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alexi\Documents\scolaire\IPSA\AeroIpsa\SP02\STABTRAJ\DERNIERE_VERSION\"/>
    </mc:Choice>
  </mc:AlternateContent>
  <xr:revisionPtr revIDLastSave="0" documentId="13_ncr:1_{5EED01D9-8734-483B-BA84-07408065F53A}" xr6:coauthVersionLast="47" xr6:coauthVersionMax="47" xr10:uidLastSave="{00000000-0000-0000-0000-000000000000}"/>
  <bookViews>
    <workbookView xWindow="0" yWindow="0" windowWidth="14400" windowHeight="15750" xr2:uid="{8F734721-2CB3-9848-BC12-36F644E3359A}"/>
  </bookViews>
  <sheets>
    <sheet name="Stabilito" sheetId="6" r:id="rId1"/>
    <sheet name="Trajecto" sheetId="1" r:id="rId2"/>
    <sheet name="Courbes" sheetId="2" r:id="rId3"/>
    <sheet name="Propu" sheetId="4" r:id="rId4"/>
    <sheet name="Calculs" sheetId="3" r:id="rId5"/>
    <sheet name="Abaco" sheetId="8" r:id="rId6"/>
    <sheet name="Info" sheetId="5" r:id="rId7"/>
    <sheet name="Controle" sheetId="7" r:id="rId8"/>
  </sheets>
  <definedNames>
    <definedName name="_xlnm._FilterDatabase" localSheetId="3" hidden="1">Propu!$O$307:$P$335</definedName>
    <definedName name="a_prop">Abaco!$G$41:$G$67</definedName>
    <definedName name="Acc_max">Trajecto!$L$24</definedName>
    <definedName name="acc_x">Calculs!$D$4:$D$1004</definedName>
    <definedName name="acc_xz">Calculs!$F$4:$F$1004</definedName>
    <definedName name="acc_z">Calculs!$E$4:$E$1004</definedName>
    <definedName name="Alt_para">Trajecto!$I$27</definedName>
    <definedName name="alt_prop">Abaco!$J$41:$J$67</definedName>
    <definedName name="Alt_rampe">Trajecto!$C$20</definedName>
    <definedName name="Alt_sat">Trajecto!$I$25</definedName>
    <definedName name="Altitude_culmi">Trajecto!$I$26</definedName>
    <definedName name="b_bal">Abaco!$I$41:$I$67</definedName>
    <definedName name="b_prop">Abaco!$H$41:$H$67</definedName>
    <definedName name="Beta">Calculs!$M$4:$M$1004</definedName>
    <definedName name="Beta_rampe">Trajecto!$C$19</definedName>
    <definedName name="BetaD">Calculs!$N$4:$N$1004</definedName>
    <definedName name="CdP">Propu!$B$3:$Y$4</definedName>
    <definedName name="CdP_P">Propu!$B$4:$Y$4</definedName>
    <definedName name="CdP_t">Propu!$B$3:$Y$3</definedName>
    <definedName name="Club">Stabilito!$C$9</definedName>
    <definedName name="Cn">Stabilito!$H$28</definedName>
    <definedName name="Cn0">Stabilito!$I$28</definedName>
    <definedName name="Cnai" localSheetId="0">Stabilito!$O$19</definedName>
    <definedName name="Cnai0">Stabilito!$P$19</definedName>
    <definedName name="Cnail" localSheetId="0">Stabilito!$O$20</definedName>
    <definedName name="Cnc" localSheetId="0">Stabilito!$O$21</definedName>
    <definedName name="Cni" localSheetId="0">Stabilito!$O$22</definedName>
    <definedName name="Cni0">Stabilito!$P$22</definedName>
    <definedName name="Cnj" localSheetId="0">Stabilito!$O$23</definedName>
    <definedName name="Cno" localSheetId="0">Stabilito!$O$18</definedName>
    <definedName name="Cnr" localSheetId="0">Stabilito!$O$24</definedName>
    <definedName name="Combustion">Propu!$X$2</definedName>
    <definedName name="CritCnmax" localSheetId="0">Stabilito!$J$28</definedName>
    <definedName name="CritCnmin" localSheetId="0">Stabilito!$G$28</definedName>
    <definedName name="CritFinessemax" localSheetId="0">Stabilito!$J$27</definedName>
    <definedName name="CritFinessemin" localSheetId="0">Stabilito!$G$27</definedName>
    <definedName name="CritMsCnmax" localSheetId="0">Stabilito!$J$30</definedName>
    <definedName name="CritMsCnmin" localSheetId="0">Stabilito!$G$30</definedName>
    <definedName name="CritMsmax" localSheetId="0">Stabilito!$J$29</definedName>
    <definedName name="CritMsmin" localSheetId="0">Stabilito!$G$29</definedName>
    <definedName name="Cx">Trajecto!$C$15</definedName>
    <definedName name="Cx_para">Trajecto!$C$28</definedName>
    <definedName name="Cx_satellite">Trajecto!$D$28</definedName>
    <definedName name="D_ail">Stabilito!$C$34</definedName>
    <definedName name="D_can" localSheetId="0">Stabilito!$D$34</definedName>
    <definedName name="D_int" localSheetId="0">Stabilito!$E$34</definedName>
    <definedName name="D_og">Stabilito!$C$23</definedName>
    <definedName name="D_ref">Stabilito!$C$14</definedName>
    <definedName name="D_var">Abaco!$B$41:$B$67</definedName>
    <definedName name="D1j">Stabilito!$M$7</definedName>
    <definedName name="D1r">Stabilito!$O$7</definedName>
    <definedName name="D2j">Stabilito!$M$8</definedName>
    <definedName name="D2r">Stabilito!$O$8</definedName>
    <definedName name="Débit">Calculs!$R$4:$R$1004</definedName>
    <definedName name="Depotage">Propu!$Z$2</definedName>
    <definedName name="Diam_propu">Propu!$T$2</definedName>
    <definedName name="Dt_para">Trajecto!$C$31</definedName>
    <definedName name="Dt_satellite">Trajecto!$D$31</definedName>
    <definedName name="Dx_para">Trajecto!$C$33</definedName>
    <definedName name="Dx_sat">Trajecto!$D$33</definedName>
    <definedName name="E_ail">Stabilito!$C$30</definedName>
    <definedName name="E_can">Stabilito!$D$30</definedName>
    <definedName name="E_int" localSheetId="0">Stabilito!$E$30</definedName>
    <definedName name="ep_ail">Stabilito!$C$31</definedName>
    <definedName name="ep_can">Stabilito!$D$31</definedName>
    <definedName name="ep_int" localSheetId="0">Stabilito!$E$31</definedName>
    <definedName name="Event">Calculs!$Y$4:$Y$1004</definedName>
    <definedName name="Event_para">Calculs!$Z$4:$Z$1004</definedName>
    <definedName name="Event_sat">Calculs!$AA$4:$AA$1004</definedName>
    <definedName name="f_ail" localSheetId="0">Stabilito!$C$35</definedName>
    <definedName name="f_can" localSheetId="0">Stabilito!$D$35</definedName>
    <definedName name="f_int" localSheetId="0">Stabilito!$E$35</definedName>
    <definedName name="Finesse">Stabilito!$H$27</definedName>
    <definedName name="Forme_ogive">Stabilito!$C$21</definedName>
    <definedName name="g">Info!$E$51</definedName>
    <definedName name="i_P">Calculs!$P$4:$P$1004</definedName>
    <definedName name="I_total">Propu!$D$2</definedName>
    <definedName name="ISP">Propu!$F$2</definedName>
    <definedName name="l_j">Stabilito!$M$6</definedName>
    <definedName name="l_r">Stabilito!$O$6</definedName>
    <definedName name="L_rampe">Trajecto!$C$18</definedName>
    <definedName name="Lang">Stabilito!$M$2</definedName>
    <definedName name="Liste_µfu">Propu!$F$307:$F$336</definedName>
    <definedName name="Liste_fusex">Propu!$R$307:$R$336</definedName>
    <definedName name="Liste_H2O">Propu!$C$307:$D$336</definedName>
    <definedName name="Liste_minif">Propu!$L$307:$M$336</definedName>
    <definedName name="Liste_minifT">Propu!$O$307:$O$336</definedName>
    <definedName name="Liste_propu">Propu!$A$307:$A$317</definedName>
    <definedName name="Liste_RC">Propu!$I$307:$J$336</definedName>
    <definedName name="Long_ogive">Stabilito!$C$22</definedName>
    <definedName name="Long_propu">Propu!$R$2</definedName>
    <definedName name="Long_tot">Stabilito!$C$13</definedName>
    <definedName name="m">Calculs!$S$4:$S$1004</definedName>
    <definedName name="m_ail">Stabilito!$C$27</definedName>
    <definedName name="m_bal">Abaco!$F$41:$F$67</definedName>
    <definedName name="m_can">Stabilito!$D$27</definedName>
    <definedName name="m_int" localSheetId="0">Stabilito!$E$27</definedName>
    <definedName name="m_poudre">Propu!$J$2</definedName>
    <definedName name="m_prop">Abaco!$E$41:$E$67</definedName>
    <definedName name="m_satellite">Trajecto!$D$24</definedName>
    <definedName name="m_tot">Trajecto!$C$10</definedName>
    <definedName name="m_var">Abaco!$D$41:$D$67</definedName>
    <definedName name="m_vide">Trajecto!$C$24</definedName>
    <definedName name="Masse_ail">Controle!$H$63</definedName>
    <definedName name="MassePlein">Stabilito!$M$14</definedName>
    <definedName name="MasseSans">Stabilito!$P$14</definedName>
    <definedName name="MasseVide">Stabilito!$N$14</definedName>
    <definedName name="Menu_Empennage">Stabilito!$B$111:$B$112</definedName>
    <definedName name="Menu_Lang">Stabilito!$B$93:$B$94</definedName>
    <definedName name="Menu_Ogive">Stabilito!$B$107:$B$109</definedName>
    <definedName name="Menu_sat">Trajecto!$B$104:$B$105</definedName>
    <definedName name="Menu_Transitions">Stabilito!$B$114:$B$115</definedName>
    <definedName name="Menu_Type">Stabilito!$B$96:$B$100</definedName>
    <definedName name="Menu_with_motor">Stabilito!$B$103:$B$105</definedName>
    <definedName name="MpropuPlein">Propu!$H$2</definedName>
    <definedName name="MpropuVide">Propu!$L$2</definedName>
    <definedName name="MS_Cn_max">Stabilito!$I$30</definedName>
    <definedName name="MS_Cn_max0">Stabilito!#REF!</definedName>
    <definedName name="MS_Cn_min">Stabilito!$H$30</definedName>
    <definedName name="MS_Cn_min0">Stabilito!#REF!</definedName>
    <definedName name="MS_max">Stabilito!$I$29</definedName>
    <definedName name="MS_max0">Stabilito!#REF!</definedName>
    <definedName name="MS_min">Stabilito!$H$29</definedName>
    <definedName name="MS_min0">Stabilito!#REF!</definedName>
    <definedName name="n_ail">Stabilito!$C$28</definedName>
    <definedName name="n_can">Stabilito!$D$28</definedName>
    <definedName name="n_int" localSheetId="0">Stabilito!$E$28</definedName>
    <definedName name="Nb_diam">Stabilito!$M$4</definedName>
    <definedName name="Nb_sat">Trajecto!$D$23</definedName>
    <definedName name="Nom">Stabilito!$C$8</definedName>
    <definedName name="p_ail">Stabilito!$C$29</definedName>
    <definedName name="p_can">Stabilito!$D$29</definedName>
    <definedName name="p_int" localSheetId="0">Stabilito!$E$29</definedName>
    <definedName name="pas">Calculs!$A$4:$A$1004</definedName>
    <definedName name="Poids">Calculs!$T$4:$T$1004</definedName>
    <definedName name="Portee_balistique">Trajecto!$J$28</definedName>
    <definedName name="pos_x">Calculs!$J$4:$J$1004</definedName>
    <definedName name="pos_xz">Calculs!$L$4:$L$1004</definedName>
    <definedName name="pos_z">Calculs!$K$4:$K$1004</definedName>
    <definedName name="pos_z_montant">Calculs!$AE$4:$AE$1004</definedName>
    <definedName name="Poussee">Calculs!$Q$4:$Q$1004</definedName>
    <definedName name="Propu">Stabilito!$C$17</definedName>
    <definedName name="Q_ail">Stabilito!$C$32</definedName>
    <definedName name="Q_can">Stabilito!$D$32</definedName>
    <definedName name="Q_int" localSheetId="0">Stabilito!$E$32</definedName>
    <definedName name="Q_var">Abaco!$C$41:$C$67</definedName>
    <definedName name="R_rampe">Calculs!$U$4:$U$1004</definedName>
    <definedName name="Rho">Calculs!$V$4:$V$1004</definedName>
    <definedName name="Rho_moyen">Info!$E$52</definedName>
    <definedName name="S_ail">Controle!$H$64</definedName>
    <definedName name="S_para">Trajecto!$C$27</definedName>
    <definedName name="S_para_croix">Trajecto!$B$47</definedName>
    <definedName name="S_para_rond">Trajecto!$B$55</definedName>
    <definedName name="S_satellite">Trajecto!$D$27</definedName>
    <definedName name="Sref">Trajecto!$C$14</definedName>
    <definedName name="sS">Trajecto!$F$132</definedName>
    <definedName name="t">Calculs!$B$4:$B$1004</definedName>
    <definedName name="T_balistique">Trajecto!$H$28</definedName>
    <definedName name="T_ini">Trajecto!$H$40</definedName>
    <definedName name="T_para">Trajecto!$C$113</definedName>
    <definedName name="T_satellite">Trajecto!$D$26</definedName>
    <definedName name="Temps_culmi">Trajecto!$H$26</definedName>
    <definedName name="Temps_fin_propu">Propu!$X$3</definedName>
    <definedName name="Trainee">Calculs!$W$4:$W$1004</definedName>
    <definedName name="tT_fus">Trajecto!$F$133</definedName>
    <definedName name="tT_sat">Trajecto!$F$150</definedName>
    <definedName name="Type_fusee">Stabilito!$C$10</definedName>
    <definedName name="Type_masquage" localSheetId="5">Stabilito!$C$26</definedName>
    <definedName name="Type_masquage" localSheetId="0">Stabilito!$C$26</definedName>
    <definedName name="Type_propu">Propu!$V$2</definedName>
    <definedName name="V_ini">Trajecto!$K$40</definedName>
    <definedName name="V_ouv_sat">Trajecto!$K$25</definedName>
    <definedName name="V_ouverture">Trajecto!$K$27</definedName>
    <definedName name="V_para">Trajecto!$C$30</definedName>
    <definedName name="V_prop">Abaco!$K$41:$K$67</definedName>
    <definedName name="V_satellite">Trajecto!$D$30</definedName>
    <definedName name="V_vent">Trajecto!$C$29</definedName>
    <definedName name="V_vent_sat">Trajecto!$D$29</definedName>
    <definedName name="Version" localSheetId="0">Stabilito!$Q$36</definedName>
    <definedName name="Version" localSheetId="1">Trajecto!$N$35</definedName>
    <definedName name="Vit_culmi">Trajecto!$K$26</definedName>
    <definedName name="Vit_max">Trajecto!$K$24</definedName>
    <definedName name="vit_x">Calculs!$G$4:$G$1004</definedName>
    <definedName name="vit_xz">Calculs!$I$4:$I$1004</definedName>
    <definedName name="vit_z">Calculs!$H$4:$H$1004</definedName>
    <definedName name="Vsortie_de_rampe">Trajecto!$K$23</definedName>
    <definedName name="X_ail">Stabilito!$C$33</definedName>
    <definedName name="X_can">Stabilito!$D$33</definedName>
    <definedName name="X_culmi">Trajecto!$J$26</definedName>
    <definedName name="X_ini">Trajecto!$J$40</definedName>
    <definedName name="X_int" localSheetId="0">Stabilito!$E$33</definedName>
    <definedName name="X_j">Stabilito!$M$9</definedName>
    <definedName name="X_para">Trajecto!$J$27</definedName>
    <definedName name="X_r">Stabilito!$O$9</definedName>
    <definedName name="X_satellite">Trajecto!$J$25</definedName>
    <definedName name="XcgPlein">Stabilito!$M$15</definedName>
    <definedName name="XcgSans">Stabilito!$P$15</definedName>
    <definedName name="XcgVide">Stabilito!$N$15</definedName>
    <definedName name="XCp" localSheetId="0">Stabilito!$H$31</definedName>
    <definedName name="XCp0">Stabilito!$I$31</definedName>
    <definedName name="XCpa" localSheetId="0">Stabilito!$M$20</definedName>
    <definedName name="XCpai" localSheetId="0">Stabilito!$M$19</definedName>
    <definedName name="XCpai0">Stabilito!$N$19</definedName>
    <definedName name="XCpc" localSheetId="0">Stabilito!$M$21</definedName>
    <definedName name="XCpi" localSheetId="0">Stabilito!$M$22</definedName>
    <definedName name="XCpi0">Stabilito!$N$22</definedName>
    <definedName name="XCpj" localSheetId="0">Stabilito!$M$23</definedName>
    <definedName name="XCpo" localSheetId="0">Stabilito!$M$18</definedName>
    <definedName name="XCpr" localSheetId="0">Stabilito!$M$24</definedName>
    <definedName name="XpropuPlein">Propu!$N$2</definedName>
    <definedName name="XpropuRef">Stabilito!$C$18</definedName>
    <definedName name="XpropuVide">Propu!$P$2</definedName>
    <definedName name="Z_ini">Trajecto!$I$40</definedName>
    <definedName name="_xlnm.Print_Area" localSheetId="5">Abaco!$A$1:$M$35</definedName>
    <definedName name="_xlnm.Print_Area" localSheetId="2">Courbes!$A$1:$K$78</definedName>
    <definedName name="_xlnm.Print_Area" localSheetId="0">Stabilito!$A$1:$Q$37</definedName>
    <definedName name="_xlnm.Print_Area" localSheetId="1">Trajecto!$A$1:$N$35</definedName>
    <definedName name="zZ_fus">Trajecto!$F$134</definedName>
    <definedName name="zZ_sat">Trajecto!$F$151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6" l="1"/>
  <c r="O8" i="6"/>
  <c r="O7" i="6"/>
  <c r="M8" i="6"/>
  <c r="M7" i="6"/>
  <c r="C18" i="6" l="1"/>
  <c r="F27" i="7" l="1"/>
  <c r="M23" i="6"/>
  <c r="C172" i="6"/>
  <c r="I317" i="4"/>
  <c r="I316" i="4"/>
  <c r="I315" i="4"/>
  <c r="I314" i="4"/>
  <c r="I313" i="4"/>
  <c r="I312" i="4"/>
  <c r="I311" i="4"/>
  <c r="I310" i="4"/>
  <c r="I309" i="4"/>
  <c r="I308" i="4"/>
  <c r="I307" i="4"/>
  <c r="L311" i="4"/>
  <c r="D103" i="4"/>
  <c r="E103" i="4"/>
  <c r="F103" i="4"/>
  <c r="G103" i="4"/>
  <c r="F105" i="4" s="1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S98" i="4"/>
  <c r="T98" i="4"/>
  <c r="U98" i="4"/>
  <c r="V98" i="4"/>
  <c r="W98" i="4"/>
  <c r="X98" i="4"/>
  <c r="D98" i="4"/>
  <c r="E98" i="4"/>
  <c r="F98" i="4"/>
  <c r="G98" i="4"/>
  <c r="H98" i="4"/>
  <c r="I98" i="4"/>
  <c r="J98" i="4"/>
  <c r="K98" i="4"/>
  <c r="L98" i="4"/>
  <c r="K100" i="4" s="1"/>
  <c r="M98" i="4"/>
  <c r="N98" i="4"/>
  <c r="O98" i="4"/>
  <c r="O100" i="4" s="1"/>
  <c r="P98" i="4"/>
  <c r="Q98" i="4"/>
  <c r="R98" i="4"/>
  <c r="C103" i="4"/>
  <c r="C98" i="4"/>
  <c r="X104" i="4"/>
  <c r="W104" i="4"/>
  <c r="V104" i="4"/>
  <c r="U104" i="4"/>
  <c r="T105" i="4" s="1"/>
  <c r="T104" i="4"/>
  <c r="S104" i="4"/>
  <c r="R104" i="4"/>
  <c r="Q104" i="4"/>
  <c r="P105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B105" i="4" s="1"/>
  <c r="L102" i="4"/>
  <c r="J102" i="4" s="1"/>
  <c r="H102" i="4"/>
  <c r="B102" i="4"/>
  <c r="X99" i="4"/>
  <c r="W99" i="4"/>
  <c r="V100" i="4" s="1"/>
  <c r="V99" i="4"/>
  <c r="U99" i="4"/>
  <c r="T99" i="4"/>
  <c r="S99" i="4"/>
  <c r="R99" i="4"/>
  <c r="Q99" i="4"/>
  <c r="P99" i="4"/>
  <c r="O99" i="4"/>
  <c r="N99" i="4"/>
  <c r="M100" i="4"/>
  <c r="M99" i="4"/>
  <c r="L99" i="4"/>
  <c r="K99" i="4"/>
  <c r="J99" i="4"/>
  <c r="I99" i="4"/>
  <c r="H99" i="4"/>
  <c r="G99" i="4"/>
  <c r="G100" i="4" s="1"/>
  <c r="F99" i="4"/>
  <c r="E99" i="4"/>
  <c r="D99" i="4"/>
  <c r="C99" i="4"/>
  <c r="B99" i="4"/>
  <c r="L97" i="4"/>
  <c r="H97" i="4"/>
  <c r="B97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J92" i="4"/>
  <c r="B92" i="4"/>
  <c r="O334" i="4"/>
  <c r="O333" i="4"/>
  <c r="O332" i="4"/>
  <c r="O33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J198" i="4"/>
  <c r="B198" i="4"/>
  <c r="E5" i="7"/>
  <c r="H7" i="7"/>
  <c r="E7" i="7"/>
  <c r="E6" i="7"/>
  <c r="H9" i="7"/>
  <c r="K25" i="7"/>
  <c r="K24" i="7"/>
  <c r="J26" i="7"/>
  <c r="J25" i="7"/>
  <c r="J24" i="7"/>
  <c r="J23" i="7"/>
  <c r="G27" i="7"/>
  <c r="G26" i="7"/>
  <c r="F26" i="7"/>
  <c r="G25" i="7"/>
  <c r="F25" i="7"/>
  <c r="G24" i="7"/>
  <c r="F24" i="7"/>
  <c r="G23" i="7"/>
  <c r="F23" i="7"/>
  <c r="D27" i="7"/>
  <c r="D24" i="7"/>
  <c r="B31" i="6"/>
  <c r="B30" i="6"/>
  <c r="B29" i="6"/>
  <c r="B28" i="6"/>
  <c r="B27" i="6"/>
  <c r="B35" i="6"/>
  <c r="B34" i="6"/>
  <c r="B33" i="6"/>
  <c r="B32" i="6"/>
  <c r="U35" i="7"/>
  <c r="U34" i="7"/>
  <c r="U33" i="7"/>
  <c r="U32" i="7"/>
  <c r="U31" i="7"/>
  <c r="U30" i="7"/>
  <c r="P32" i="7"/>
  <c r="P31" i="7"/>
  <c r="Q34" i="7"/>
  <c r="P29" i="7"/>
  <c r="Q17" i="7"/>
  <c r="U16" i="7"/>
  <c r="Q12" i="7"/>
  <c r="U11" i="7"/>
  <c r="Q3" i="7"/>
  <c r="E17" i="7"/>
  <c r="E16" i="7"/>
  <c r="E15" i="7"/>
  <c r="E13" i="7"/>
  <c r="B52" i="1"/>
  <c r="B50" i="1"/>
  <c r="B55" i="1"/>
  <c r="D27" i="1"/>
  <c r="I69" i="7" s="1"/>
  <c r="D24" i="1"/>
  <c r="C18" i="1"/>
  <c r="H8" i="7" s="1"/>
  <c r="C161" i="6"/>
  <c r="C162" i="6"/>
  <c r="C160" i="6"/>
  <c r="C159" i="6"/>
  <c r="C158" i="6"/>
  <c r="C25" i="6"/>
  <c r="M21" i="6"/>
  <c r="H6" i="7"/>
  <c r="F108" i="1"/>
  <c r="C113" i="1" s="1"/>
  <c r="C152" i="1"/>
  <c r="C150" i="1"/>
  <c r="C148" i="1"/>
  <c r="N33" i="1"/>
  <c r="C19" i="6"/>
  <c r="C131" i="1"/>
  <c r="B25" i="1"/>
  <c r="L310" i="4"/>
  <c r="L309" i="4"/>
  <c r="J30" i="6"/>
  <c r="E190" i="6" s="1"/>
  <c r="G30" i="6"/>
  <c r="E184" i="6" s="1"/>
  <c r="J29" i="6"/>
  <c r="B188" i="6" s="1"/>
  <c r="G29" i="6"/>
  <c r="J28" i="6"/>
  <c r="C185" i="6" s="1"/>
  <c r="J27" i="6"/>
  <c r="G28" i="6"/>
  <c r="C183" i="6" s="1"/>
  <c r="G27" i="6"/>
  <c r="W35" i="6"/>
  <c r="B100" i="6"/>
  <c r="L308" i="4"/>
  <c r="L307" i="4"/>
  <c r="B97" i="6"/>
  <c r="B98" i="6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S235" i="4"/>
  <c r="S234" i="4"/>
  <c r="T234" i="4" s="1"/>
  <c r="U234" i="4" s="1"/>
  <c r="J233" i="4"/>
  <c r="B233" i="4"/>
  <c r="O311" i="4"/>
  <c r="O310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V130" i="4"/>
  <c r="U131" i="4" s="1"/>
  <c r="T131" i="4"/>
  <c r="J128" i="4"/>
  <c r="B128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T125" i="4"/>
  <c r="S126" i="4" s="1"/>
  <c r="J123" i="4"/>
  <c r="B123" i="4"/>
  <c r="O330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V250" i="4"/>
  <c r="W250" i="4" s="1"/>
  <c r="V249" i="4"/>
  <c r="W249" i="4" s="1"/>
  <c r="X249" i="4" s="1"/>
  <c r="J248" i="4"/>
  <c r="B248" i="4"/>
  <c r="O327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S230" i="4"/>
  <c r="T230" i="4" s="1"/>
  <c r="U230" i="4" s="1"/>
  <c r="S229" i="4"/>
  <c r="T229" i="4" s="1"/>
  <c r="U229" i="4" s="1"/>
  <c r="V229" i="4" s="1"/>
  <c r="W229" i="4" s="1"/>
  <c r="J228" i="4"/>
  <c r="B228" i="4"/>
  <c r="O33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S206" i="4"/>
  <c r="R206" i="4"/>
  <c r="J203" i="4"/>
  <c r="B203" i="4"/>
  <c r="O326" i="4"/>
  <c r="O325" i="4"/>
  <c r="O324" i="4"/>
  <c r="O323" i="4"/>
  <c r="O328" i="4"/>
  <c r="O329" i="4"/>
  <c r="O335" i="4"/>
  <c r="O313" i="4"/>
  <c r="O314" i="4"/>
  <c r="O315" i="4"/>
  <c r="O316" i="4"/>
  <c r="O317" i="4"/>
  <c r="O309" i="4"/>
  <c r="O312" i="4"/>
  <c r="O318" i="4"/>
  <c r="O319" i="4"/>
  <c r="O320" i="4"/>
  <c r="O321" i="4"/>
  <c r="O322" i="4"/>
  <c r="O308" i="4"/>
  <c r="O307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J223" i="4"/>
  <c r="B223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T220" i="4"/>
  <c r="U220" i="4" s="1"/>
  <c r="R221" i="4"/>
  <c r="T219" i="4"/>
  <c r="U219" i="4" s="1"/>
  <c r="V219" i="4" s="1"/>
  <c r="W219" i="4" s="1"/>
  <c r="J218" i="4"/>
  <c r="B218" i="4"/>
  <c r="V244" i="4"/>
  <c r="W244" i="4" s="1"/>
  <c r="W239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J243" i="4"/>
  <c r="B243" i="4"/>
  <c r="J241" i="4"/>
  <c r="I241" i="4"/>
  <c r="H241" i="4"/>
  <c r="G241" i="4"/>
  <c r="F241" i="4"/>
  <c r="E241" i="4"/>
  <c r="D241" i="4"/>
  <c r="C241" i="4"/>
  <c r="B241" i="4"/>
  <c r="J238" i="4"/>
  <c r="B238" i="4"/>
  <c r="L189" i="4"/>
  <c r="M189" i="4" s="1"/>
  <c r="R324" i="4"/>
  <c r="R325" i="4"/>
  <c r="R326" i="4"/>
  <c r="R327" i="4"/>
  <c r="R328" i="4"/>
  <c r="R329" i="4"/>
  <c r="S190" i="4"/>
  <c r="T190" i="4" s="1"/>
  <c r="U190" i="4" s="1"/>
  <c r="J191" i="4"/>
  <c r="I191" i="4"/>
  <c r="H191" i="4"/>
  <c r="G191" i="4"/>
  <c r="F191" i="4"/>
  <c r="E191" i="4"/>
  <c r="D191" i="4"/>
  <c r="C191" i="4"/>
  <c r="B191" i="4"/>
  <c r="J188" i="4"/>
  <c r="B188" i="4"/>
  <c r="S195" i="4"/>
  <c r="T195" i="4" s="1"/>
  <c r="S194" i="4"/>
  <c r="T194" i="4" s="1"/>
  <c r="U194" i="4" s="1"/>
  <c r="V194" i="4" s="1"/>
  <c r="W194" i="4" s="1"/>
  <c r="X194" i="4" s="1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J193" i="4"/>
  <c r="B193" i="4"/>
  <c r="B208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S210" i="4"/>
  <c r="T210" i="4" s="1"/>
  <c r="S209" i="4"/>
  <c r="J208" i="4"/>
  <c r="A2" i="4"/>
  <c r="B133" i="4"/>
  <c r="B4" i="3"/>
  <c r="AD4" i="3" s="1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J133" i="4"/>
  <c r="N4" i="3"/>
  <c r="M4" i="3" s="1"/>
  <c r="J4" i="3"/>
  <c r="K4" i="3"/>
  <c r="V4" i="3" s="1"/>
  <c r="I4" i="3"/>
  <c r="B113" i="4"/>
  <c r="C35" i="6"/>
  <c r="M18" i="6"/>
  <c r="C184" i="6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U115" i="4"/>
  <c r="T116" i="4" s="1"/>
  <c r="J113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T160" i="4"/>
  <c r="S161" i="4" s="1"/>
  <c r="X159" i="4"/>
  <c r="L158" i="4"/>
  <c r="J158" i="4" s="1"/>
  <c r="B47" i="1"/>
  <c r="C27" i="1" s="1"/>
  <c r="D29" i="1"/>
  <c r="B29" i="4"/>
  <c r="C29" i="4"/>
  <c r="D29" i="4"/>
  <c r="E29" i="4"/>
  <c r="F29" i="4"/>
  <c r="G29" i="4"/>
  <c r="H29" i="4"/>
  <c r="D26" i="4" s="1"/>
  <c r="F26" i="4" s="1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J26" i="4"/>
  <c r="B34" i="4"/>
  <c r="C34" i="4"/>
  <c r="D34" i="4"/>
  <c r="E34" i="4"/>
  <c r="F34" i="4"/>
  <c r="G34" i="4"/>
  <c r="H34" i="4"/>
  <c r="D31" i="4" s="1"/>
  <c r="F31" i="4" s="1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J31" i="4"/>
  <c r="B39" i="4"/>
  <c r="C39" i="4"/>
  <c r="D39" i="4"/>
  <c r="E39" i="4"/>
  <c r="F39" i="4"/>
  <c r="G39" i="4"/>
  <c r="H39" i="4"/>
  <c r="D36" i="4" s="1"/>
  <c r="F36" i="4" s="1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J36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J41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J46" i="4"/>
  <c r="B54" i="4"/>
  <c r="C54" i="4"/>
  <c r="D54" i="4"/>
  <c r="E54" i="4"/>
  <c r="F54" i="4"/>
  <c r="G54" i="4"/>
  <c r="D51" i="4" s="1"/>
  <c r="F51" i="4" s="1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J5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J56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J61" i="4"/>
  <c r="B70" i="4"/>
  <c r="C70" i="4"/>
  <c r="D70" i="4"/>
  <c r="E70" i="4"/>
  <c r="F70" i="4"/>
  <c r="G70" i="4"/>
  <c r="H70" i="4"/>
  <c r="D67" i="4" s="1"/>
  <c r="F67" i="4" s="1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J67" i="4"/>
  <c r="B75" i="4"/>
  <c r="C75" i="4"/>
  <c r="D75" i="4"/>
  <c r="E75" i="4"/>
  <c r="F75" i="4"/>
  <c r="G75" i="4"/>
  <c r="H75" i="4"/>
  <c r="D72" i="4" s="1"/>
  <c r="F72" i="4" s="1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J72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J77" i="4"/>
  <c r="C84" i="4"/>
  <c r="B84" i="4"/>
  <c r="D84" i="4"/>
  <c r="C85" i="4" s="1"/>
  <c r="E84" i="4"/>
  <c r="F84" i="4"/>
  <c r="G84" i="4"/>
  <c r="H84" i="4"/>
  <c r="G85" i="4" s="1"/>
  <c r="I84" i="4"/>
  <c r="I85" i="4" s="1"/>
  <c r="J84" i="4"/>
  <c r="K84" i="4"/>
  <c r="L84" i="4"/>
  <c r="M84" i="4"/>
  <c r="N84" i="4"/>
  <c r="O84" i="4"/>
  <c r="P84" i="4"/>
  <c r="P85" i="4" s="1"/>
  <c r="Q84" i="4"/>
  <c r="Q85" i="4" s="1"/>
  <c r="R84" i="4"/>
  <c r="S84" i="4"/>
  <c r="T84" i="4"/>
  <c r="U84" i="4"/>
  <c r="V84" i="4"/>
  <c r="W84" i="4"/>
  <c r="V85" i="4" s="1"/>
  <c r="X84" i="4"/>
  <c r="X85" i="4" s="1"/>
  <c r="H82" i="4"/>
  <c r="J82" i="4" s="1"/>
  <c r="L82" i="4"/>
  <c r="C89" i="4"/>
  <c r="B89" i="4"/>
  <c r="D89" i="4"/>
  <c r="E89" i="4"/>
  <c r="F89" i="4"/>
  <c r="G89" i="4"/>
  <c r="G90" i="4" s="1"/>
  <c r="H89" i="4"/>
  <c r="I89" i="4"/>
  <c r="J89" i="4"/>
  <c r="K89" i="4"/>
  <c r="L89" i="4"/>
  <c r="M89" i="4"/>
  <c r="N89" i="4"/>
  <c r="O89" i="4"/>
  <c r="O90" i="4" s="1"/>
  <c r="P89" i="4"/>
  <c r="Q89" i="4"/>
  <c r="R89" i="4"/>
  <c r="S89" i="4"/>
  <c r="T89" i="4"/>
  <c r="U89" i="4"/>
  <c r="V89" i="4"/>
  <c r="W89" i="4"/>
  <c r="V90" i="4" s="1"/>
  <c r="X89" i="4"/>
  <c r="H87" i="4"/>
  <c r="J87" i="4" s="1"/>
  <c r="L87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T110" i="4"/>
  <c r="S111" i="4" s="1"/>
  <c r="J108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T120" i="4"/>
  <c r="S121" i="4" s="1"/>
  <c r="J118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J138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J143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J148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J153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J163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J168" i="4"/>
  <c r="B176" i="4"/>
  <c r="C176" i="4"/>
  <c r="D176" i="4"/>
  <c r="E176" i="4"/>
  <c r="F176" i="4"/>
  <c r="D173" i="4" s="1"/>
  <c r="F173" i="4" s="1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J173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J178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T185" i="4"/>
  <c r="U185" i="4" s="1"/>
  <c r="X184" i="4"/>
  <c r="L183" i="4"/>
  <c r="J183" i="4" s="1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J213" i="4"/>
  <c r="B256" i="4"/>
  <c r="D253" i="4" s="1"/>
  <c r="F253" i="4" s="1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J253" i="4"/>
  <c r="B261" i="4"/>
  <c r="C261" i="4"/>
  <c r="D258" i="4" s="1"/>
  <c r="F258" i="4" s="1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J258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J264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J269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J274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J279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J284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J289" i="4"/>
  <c r="B297" i="4"/>
  <c r="D294" i="4" s="1"/>
  <c r="F294" i="4" s="1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J294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J299" i="4"/>
  <c r="A306" i="4"/>
  <c r="B26" i="4"/>
  <c r="N26" i="4"/>
  <c r="B31" i="4"/>
  <c r="N31" i="4"/>
  <c r="B36" i="4"/>
  <c r="N36" i="4"/>
  <c r="B41" i="4"/>
  <c r="N41" i="4"/>
  <c r="B46" i="4"/>
  <c r="N46" i="4"/>
  <c r="B51" i="4"/>
  <c r="N51" i="4"/>
  <c r="B56" i="4"/>
  <c r="N56" i="4"/>
  <c r="B61" i="4"/>
  <c r="N61" i="4"/>
  <c r="B67" i="4"/>
  <c r="B72" i="4"/>
  <c r="B77" i="4"/>
  <c r="B82" i="4"/>
  <c r="B87" i="4"/>
  <c r="B108" i="4"/>
  <c r="B118" i="4"/>
  <c r="B138" i="4"/>
  <c r="B143" i="4"/>
  <c r="B148" i="4"/>
  <c r="B153" i="4"/>
  <c r="B158" i="4"/>
  <c r="B163" i="4"/>
  <c r="B168" i="4"/>
  <c r="B173" i="4"/>
  <c r="B178" i="4"/>
  <c r="B183" i="4"/>
  <c r="B213" i="4"/>
  <c r="B253" i="4"/>
  <c r="B258" i="4"/>
  <c r="B264" i="4"/>
  <c r="B269" i="4"/>
  <c r="B274" i="4"/>
  <c r="B279" i="4"/>
  <c r="B284" i="4"/>
  <c r="B289" i="4"/>
  <c r="B294" i="4"/>
  <c r="B299" i="4"/>
  <c r="E116" i="7"/>
  <c r="F94" i="7"/>
  <c r="F85" i="7"/>
  <c r="H118" i="7"/>
  <c r="H111" i="7"/>
  <c r="E102" i="7"/>
  <c r="E103" i="7"/>
  <c r="E104" i="7"/>
  <c r="E100" i="7"/>
  <c r="H105" i="7"/>
  <c r="J105" i="7"/>
  <c r="J101" i="7"/>
  <c r="J97" i="7"/>
  <c r="F97" i="7"/>
  <c r="J88" i="7"/>
  <c r="J84" i="7"/>
  <c r="F90" i="7"/>
  <c r="F82" i="7"/>
  <c r="D85" i="7"/>
  <c r="D83" i="7"/>
  <c r="D81" i="7"/>
  <c r="D80" i="7"/>
  <c r="B19" i="6"/>
  <c r="F311" i="4"/>
  <c r="F310" i="4"/>
  <c r="C21" i="5"/>
  <c r="C20" i="5"/>
  <c r="C26" i="5"/>
  <c r="C22" i="5"/>
  <c r="C17" i="5"/>
  <c r="C19" i="5"/>
  <c r="C16" i="5"/>
  <c r="C15" i="5"/>
  <c r="L2" i="6"/>
  <c r="C307" i="4"/>
  <c r="F307" i="4"/>
  <c r="R307" i="4"/>
  <c r="C308" i="4"/>
  <c r="F308" i="4"/>
  <c r="R308" i="4"/>
  <c r="C309" i="4"/>
  <c r="F309" i="4"/>
  <c r="C310" i="4"/>
  <c r="C311" i="4"/>
  <c r="C312" i="4"/>
  <c r="C313" i="4"/>
  <c r="C314" i="4"/>
  <c r="B146" i="2"/>
  <c r="B35" i="1"/>
  <c r="B36" i="6"/>
  <c r="B15" i="8"/>
  <c r="B76" i="2"/>
  <c r="B11" i="8"/>
  <c r="B107" i="1"/>
  <c r="F42" i="5"/>
  <c r="B71" i="8"/>
  <c r="B78" i="8"/>
  <c r="B79" i="8" s="1"/>
  <c r="C5" i="8"/>
  <c r="B76" i="8"/>
  <c r="B77" i="8" s="1"/>
  <c r="B74" i="8"/>
  <c r="B73" i="8"/>
  <c r="B10" i="8"/>
  <c r="C4" i="8"/>
  <c r="C16" i="8"/>
  <c r="C14" i="8"/>
  <c r="C12" i="8"/>
  <c r="B12" i="8"/>
  <c r="C9" i="8"/>
  <c r="C8" i="8"/>
  <c r="B8" i="8"/>
  <c r="C7" i="8"/>
  <c r="N36" i="6"/>
  <c r="C50" i="5"/>
  <c r="C52" i="5"/>
  <c r="T18" i="6"/>
  <c r="S17" i="6"/>
  <c r="S19" i="6"/>
  <c r="S18" i="6"/>
  <c r="S13" i="6"/>
  <c r="S14" i="6"/>
  <c r="S12" i="6"/>
  <c r="T16" i="6"/>
  <c r="T11" i="6"/>
  <c r="L38" i="6"/>
  <c r="B93" i="1"/>
  <c r="B79" i="2"/>
  <c r="H64" i="7"/>
  <c r="H63" i="7" s="1"/>
  <c r="E59" i="7"/>
  <c r="E55" i="7"/>
  <c r="H52" i="7"/>
  <c r="E45" i="7"/>
  <c r="D45" i="7"/>
  <c r="E44" i="7"/>
  <c r="D44" i="7"/>
  <c r="E46" i="7"/>
  <c r="D46" i="7"/>
  <c r="E43" i="7"/>
  <c r="D43" i="7"/>
  <c r="E41" i="7"/>
  <c r="E50" i="7"/>
  <c r="E48" i="7"/>
  <c r="E47" i="7"/>
  <c r="H50" i="7"/>
  <c r="E51" i="7"/>
  <c r="C31" i="7"/>
  <c r="C5" i="5"/>
  <c r="C6" i="5"/>
  <c r="C7" i="5"/>
  <c r="C8" i="5"/>
  <c r="C10" i="5"/>
  <c r="C11" i="5"/>
  <c r="C12" i="5"/>
  <c r="C13" i="5"/>
  <c r="C23" i="5"/>
  <c r="C25" i="5"/>
  <c r="C28" i="5"/>
  <c r="C33" i="5"/>
  <c r="F34" i="5"/>
  <c r="F35" i="5"/>
  <c r="F36" i="5"/>
  <c r="F37" i="5"/>
  <c r="F38" i="5"/>
  <c r="F39" i="5"/>
  <c r="F40" i="5"/>
  <c r="C51" i="5"/>
  <c r="A1" i="4"/>
  <c r="A3" i="4"/>
  <c r="A4" i="4"/>
  <c r="B77" i="2"/>
  <c r="B78" i="2"/>
  <c r="B131" i="2"/>
  <c r="B133" i="2"/>
  <c r="B134" i="2"/>
  <c r="B135" i="2"/>
  <c r="B137" i="2"/>
  <c r="B138" i="2"/>
  <c r="B140" i="2"/>
  <c r="B141" i="2"/>
  <c r="B144" i="2"/>
  <c r="C4" i="1"/>
  <c r="C6" i="1"/>
  <c r="C7" i="1"/>
  <c r="C23" i="1" s="1"/>
  <c r="B8" i="1"/>
  <c r="C8" i="1"/>
  <c r="C9" i="1"/>
  <c r="B10" i="1"/>
  <c r="B11" i="1"/>
  <c r="C11" i="1"/>
  <c r="C13" i="1"/>
  <c r="C17" i="1"/>
  <c r="B18" i="1"/>
  <c r="B19" i="1"/>
  <c r="C22" i="1"/>
  <c r="G22" i="1"/>
  <c r="H22" i="1"/>
  <c r="J22" i="1"/>
  <c r="K22" i="1"/>
  <c r="F23" i="1"/>
  <c r="B24" i="1"/>
  <c r="F24" i="1"/>
  <c r="B26" i="1"/>
  <c r="F25" i="1"/>
  <c r="H25" i="1"/>
  <c r="F27" i="1"/>
  <c r="B29" i="1"/>
  <c r="F28" i="1"/>
  <c r="B30" i="1"/>
  <c r="B31" i="1"/>
  <c r="H31" i="1"/>
  <c r="B32" i="1"/>
  <c r="F32" i="1"/>
  <c r="B33" i="1"/>
  <c r="F33" i="1"/>
  <c r="F34" i="1"/>
  <c r="A38" i="1"/>
  <c r="F38" i="1"/>
  <c r="H38" i="1"/>
  <c r="J38" i="1"/>
  <c r="K38" i="1"/>
  <c r="F40" i="1"/>
  <c r="M40" i="1"/>
  <c r="F41" i="1"/>
  <c r="B42" i="1"/>
  <c r="F42" i="1"/>
  <c r="F43" i="1"/>
  <c r="B44" i="1"/>
  <c r="F45" i="1"/>
  <c r="F46" i="1"/>
  <c r="F47" i="1"/>
  <c r="L47" i="1"/>
  <c r="F48" i="1"/>
  <c r="H48" i="1"/>
  <c r="F49" i="1"/>
  <c r="I49" i="1"/>
  <c r="L49" i="1"/>
  <c r="M49" i="1"/>
  <c r="B102" i="1"/>
  <c r="B109" i="1"/>
  <c r="B110" i="1"/>
  <c r="B111" i="1"/>
  <c r="B112" i="1"/>
  <c r="B113" i="1"/>
  <c r="B117" i="1"/>
  <c r="C140" i="1"/>
  <c r="C142" i="1"/>
  <c r="C144" i="1"/>
  <c r="B148" i="1"/>
  <c r="B149" i="1" s="1"/>
  <c r="C4" i="6"/>
  <c r="C6" i="6"/>
  <c r="L6" i="6"/>
  <c r="C7" i="6"/>
  <c r="L7" i="6"/>
  <c r="B8" i="6"/>
  <c r="L8" i="6"/>
  <c r="L9" i="6"/>
  <c r="B11" i="6"/>
  <c r="M11" i="6"/>
  <c r="N11" i="6"/>
  <c r="P11" i="6"/>
  <c r="B12" i="6"/>
  <c r="L12" i="6"/>
  <c r="B13" i="6"/>
  <c r="L13" i="6"/>
  <c r="B14" i="6"/>
  <c r="L14" i="6"/>
  <c r="L15" i="6"/>
  <c r="C16" i="6"/>
  <c r="B18" i="6"/>
  <c r="L18" i="6"/>
  <c r="L19" i="6"/>
  <c r="C20" i="6"/>
  <c r="L20" i="6"/>
  <c r="B21" i="6"/>
  <c r="L21" i="6"/>
  <c r="B22" i="6"/>
  <c r="L22" i="6"/>
  <c r="B23" i="6"/>
  <c r="D25" i="6"/>
  <c r="F26" i="6"/>
  <c r="H26" i="6"/>
  <c r="E27" i="6"/>
  <c r="F28" i="6"/>
  <c r="F29" i="6"/>
  <c r="F30" i="6"/>
  <c r="E31" i="6"/>
  <c r="E32" i="6"/>
  <c r="D35" i="6"/>
  <c r="B91" i="6"/>
  <c r="B96" i="6"/>
  <c r="B103" i="6"/>
  <c r="B104" i="6"/>
  <c r="B105" i="6"/>
  <c r="B107" i="6"/>
  <c r="B108" i="6"/>
  <c r="B109" i="6"/>
  <c r="B114" i="6"/>
  <c r="B115" i="6"/>
  <c r="B117" i="6"/>
  <c r="B118" i="6"/>
  <c r="B119" i="6"/>
  <c r="B121" i="6"/>
  <c r="C124" i="6"/>
  <c r="E124" i="6"/>
  <c r="C125" i="6"/>
  <c r="C126" i="6" s="1"/>
  <c r="C127" i="6" s="1"/>
  <c r="D125" i="6"/>
  <c r="E125" i="6" s="1"/>
  <c r="C130" i="6"/>
  <c r="C131" i="6"/>
  <c r="E131" i="6"/>
  <c r="B137" i="6"/>
  <c r="B140" i="6"/>
  <c r="B143" i="6"/>
  <c r="B146" i="6"/>
  <c r="B155" i="6"/>
  <c r="E175" i="6"/>
  <c r="C176" i="6"/>
  <c r="F176" i="6"/>
  <c r="G176" i="6"/>
  <c r="H176" i="6"/>
  <c r="C177" i="6"/>
  <c r="F177" i="6"/>
  <c r="G177" i="6"/>
  <c r="H177" i="6"/>
  <c r="C178" i="6"/>
  <c r="F178" i="6"/>
  <c r="G178" i="6"/>
  <c r="H178" i="6"/>
  <c r="C179" i="6"/>
  <c r="F179" i="6"/>
  <c r="G179" i="6"/>
  <c r="H179" i="6"/>
  <c r="C180" i="6"/>
  <c r="D180" i="6"/>
  <c r="E180" i="6" s="1"/>
  <c r="F180" i="6"/>
  <c r="G180" i="6"/>
  <c r="H180" i="6"/>
  <c r="U120" i="4"/>
  <c r="V120" i="4" s="1"/>
  <c r="W120" i="4" s="1"/>
  <c r="X120" i="4" s="1"/>
  <c r="U110" i="4"/>
  <c r="V110" i="4" s="1"/>
  <c r="U85" i="4"/>
  <c r="S85" i="4"/>
  <c r="M85" i="4"/>
  <c r="K85" i="4"/>
  <c r="R211" i="4"/>
  <c r="D223" i="4"/>
  <c r="F223" i="4" s="1"/>
  <c r="V115" i="4"/>
  <c r="U116" i="4" s="1"/>
  <c r="U90" i="4"/>
  <c r="S90" i="4"/>
  <c r="M90" i="4"/>
  <c r="K90" i="4"/>
  <c r="E90" i="4"/>
  <c r="T209" i="4"/>
  <c r="U209" i="4" s="1"/>
  <c r="V209" i="4"/>
  <c r="W209" i="4"/>
  <c r="D213" i="4"/>
  <c r="F213" i="4" s="1"/>
  <c r="E85" i="4"/>
  <c r="N85" i="4"/>
  <c r="J85" i="4"/>
  <c r="F85" i="4"/>
  <c r="B85" i="4"/>
  <c r="X90" i="4"/>
  <c r="T90" i="4"/>
  <c r="R90" i="4"/>
  <c r="P90" i="4"/>
  <c r="L90" i="4"/>
  <c r="J90" i="4"/>
  <c r="D77" i="4"/>
  <c r="F77" i="4" s="1"/>
  <c r="D56" i="4"/>
  <c r="F56" i="4" s="1"/>
  <c r="D46" i="4"/>
  <c r="F46" i="4" s="1"/>
  <c r="D41" i="4"/>
  <c r="F41" i="4" s="1"/>
  <c r="U160" i="4"/>
  <c r="T161" i="4" s="1"/>
  <c r="R196" i="4"/>
  <c r="K191" i="4"/>
  <c r="T206" i="4"/>
  <c r="B189" i="6"/>
  <c r="S221" i="4"/>
  <c r="N189" i="4"/>
  <c r="O189" i="4" s="1"/>
  <c r="L191" i="4"/>
  <c r="S246" i="4"/>
  <c r="L241" i="4"/>
  <c r="K241" i="4"/>
  <c r="R246" i="4"/>
  <c r="W115" i="4"/>
  <c r="V116" i="4" s="1"/>
  <c r="U206" i="4"/>
  <c r="M241" i="4"/>
  <c r="V245" i="4"/>
  <c r="W245" i="4" s="1"/>
  <c r="T246" i="4"/>
  <c r="V206" i="4"/>
  <c r="N241" i="4"/>
  <c r="X240" i="4"/>
  <c r="W206" i="4"/>
  <c r="X206" i="4"/>
  <c r="O241" i="4"/>
  <c r="P241" i="4"/>
  <c r="Q241" i="4"/>
  <c r="R241" i="4"/>
  <c r="S241" i="4"/>
  <c r="T241" i="4"/>
  <c r="U241" i="4"/>
  <c r="X239" i="4"/>
  <c r="V241" i="4"/>
  <c r="C197" i="6"/>
  <c r="B197" i="6" s="1"/>
  <c r="W130" i="4"/>
  <c r="U125" i="4"/>
  <c r="V125" i="4" s="1"/>
  <c r="W125" i="4" s="1"/>
  <c r="V126" i="4" s="1"/>
  <c r="V131" i="4"/>
  <c r="X130" i="4"/>
  <c r="X131" i="4" s="1"/>
  <c r="C198" i="6"/>
  <c r="B75" i="8"/>
  <c r="E29" i="1"/>
  <c r="I71" i="7"/>
  <c r="H4" i="3"/>
  <c r="B2" i="4"/>
  <c r="S186" i="4"/>
  <c r="B186" i="6"/>
  <c r="L4" i="3"/>
  <c r="B202" i="6"/>
  <c r="G4" i="3"/>
  <c r="S201" i="4"/>
  <c r="R201" i="4"/>
  <c r="W110" i="4"/>
  <c r="U111" i="4"/>
  <c r="V220" i="4"/>
  <c r="W220" i="4" s="1"/>
  <c r="T221" i="4"/>
  <c r="V234" i="4"/>
  <c r="W234" i="4" s="1"/>
  <c r="X234" i="4" s="1"/>
  <c r="V185" i="4"/>
  <c r="W185" i="4" s="1"/>
  <c r="X185" i="4" s="1"/>
  <c r="W186" i="4" s="1"/>
  <c r="T186" i="4"/>
  <c r="V190" i="4"/>
  <c r="S231" i="4"/>
  <c r="N191" i="4"/>
  <c r="P189" i="4"/>
  <c r="Q189" i="4" s="1"/>
  <c r="U210" i="4"/>
  <c r="T211" i="4" s="1"/>
  <c r="S211" i="4"/>
  <c r="M191" i="4"/>
  <c r="T111" i="4"/>
  <c r="T201" i="4"/>
  <c r="V210" i="4"/>
  <c r="U211" i="4" s="1"/>
  <c r="U221" i="4"/>
  <c r="X125" i="4"/>
  <c r="W126" i="4" s="1"/>
  <c r="T231" i="4"/>
  <c r="V230" i="4"/>
  <c r="U201" i="4"/>
  <c r="X200" i="4"/>
  <c r="X201" i="4" s="1"/>
  <c r="V201" i="4"/>
  <c r="W201" i="4"/>
  <c r="X100" i="4"/>
  <c r="L105" i="4"/>
  <c r="C105" i="4"/>
  <c r="G105" i="4"/>
  <c r="K105" i="4"/>
  <c r="O105" i="4"/>
  <c r="S100" i="4"/>
  <c r="U100" i="4"/>
  <c r="D92" i="4"/>
  <c r="F92" i="4"/>
  <c r="H100" i="4"/>
  <c r="Q100" i="4"/>
  <c r="Q105" i="4"/>
  <c r="B143" i="1"/>
  <c r="B142" i="1"/>
  <c r="B146" i="1"/>
  <c r="B144" i="1"/>
  <c r="B141" i="1"/>
  <c r="B145" i="1"/>
  <c r="B140" i="1"/>
  <c r="C146" i="1"/>
  <c r="C147" i="1" s="1"/>
  <c r="C141" i="1"/>
  <c r="C143" i="1"/>
  <c r="C139" i="1"/>
  <c r="C138" i="1"/>
  <c r="B154" i="1"/>
  <c r="B150" i="1"/>
  <c r="B152" i="1"/>
  <c r="C149" i="1"/>
  <c r="B153" i="1"/>
  <c r="C151" i="1"/>
  <c r="B151" i="1"/>
  <c r="D3" i="4"/>
  <c r="X4" i="4"/>
  <c r="J2" i="4"/>
  <c r="T2" i="4"/>
  <c r="U4" i="4"/>
  <c r="P2" i="4"/>
  <c r="V2" i="4"/>
  <c r="W3" i="4"/>
  <c r="C3" i="4"/>
  <c r="V3" i="4"/>
  <c r="P4" i="4"/>
  <c r="Q3" i="4"/>
  <c r="X2" i="4"/>
  <c r="F4" i="4"/>
  <c r="F3" i="4"/>
  <c r="B4" i="4"/>
  <c r="O4" i="4"/>
  <c r="J4" i="4"/>
  <c r="L4" i="4"/>
  <c r="B3" i="4"/>
  <c r="K4" i="4"/>
  <c r="R3" i="4"/>
  <c r="H3" i="4"/>
  <c r="C4" i="4"/>
  <c r="G3" i="4"/>
  <c r="H4" i="4"/>
  <c r="X3" i="4"/>
  <c r="E4" i="4"/>
  <c r="O3" i="4"/>
  <c r="N2" i="4"/>
  <c r="I3" i="4"/>
  <c r="S4" i="4"/>
  <c r="U3" i="4"/>
  <c r="L2" i="4"/>
  <c r="Y4" i="4"/>
  <c r="Y3" i="4"/>
  <c r="W4" i="4"/>
  <c r="N3" i="4"/>
  <c r="Q4" i="4"/>
  <c r="P3" i="4"/>
  <c r="N4" i="4"/>
  <c r="G4" i="4"/>
  <c r="S3" i="4"/>
  <c r="T3" i="4"/>
  <c r="M4" i="4"/>
  <c r="E3" i="4"/>
  <c r="B108" i="1" l="1"/>
  <c r="H17" i="7"/>
  <c r="B131" i="1"/>
  <c r="B106" i="1"/>
  <c r="H27" i="1"/>
  <c r="AE4" i="3"/>
  <c r="U195" i="4"/>
  <c r="T196" i="4" s="1"/>
  <c r="S196" i="4"/>
  <c r="X250" i="4"/>
  <c r="W251" i="4" s="1"/>
  <c r="V251" i="4"/>
  <c r="D128" i="4"/>
  <c r="D299" i="4"/>
  <c r="F299" i="4" s="1"/>
  <c r="D274" i="4"/>
  <c r="F274" i="4" s="1"/>
  <c r="E100" i="4"/>
  <c r="R100" i="4"/>
  <c r="H105" i="4"/>
  <c r="D102" i="4" s="1"/>
  <c r="F102" i="4" s="1"/>
  <c r="V105" i="4"/>
  <c r="D289" i="4"/>
  <c r="F289" i="4" s="1"/>
  <c r="D284" i="4"/>
  <c r="F284" i="4" s="1"/>
  <c r="D279" i="4"/>
  <c r="F279" i="4" s="1"/>
  <c r="D269" i="4"/>
  <c r="F269" i="4" s="1"/>
  <c r="D264" i="4"/>
  <c r="F264" i="4" s="1"/>
  <c r="D163" i="4"/>
  <c r="F163" i="4" s="1"/>
  <c r="D138" i="4"/>
  <c r="F138" i="4" s="1"/>
  <c r="O191" i="4"/>
  <c r="H85" i="4"/>
  <c r="O85" i="4"/>
  <c r="R231" i="4"/>
  <c r="J97" i="4"/>
  <c r="T100" i="4"/>
  <c r="I105" i="4"/>
  <c r="W105" i="4"/>
  <c r="X105" i="4"/>
  <c r="X115" i="4"/>
  <c r="I100" i="4"/>
  <c r="N100" i="4"/>
  <c r="D105" i="4"/>
  <c r="J105" i="4"/>
  <c r="R105" i="4"/>
  <c r="W210" i="4"/>
  <c r="V211" i="4" s="1"/>
  <c r="D61" i="4"/>
  <c r="F61" i="4" s="1"/>
  <c r="W131" i="4"/>
  <c r="D198" i="4"/>
  <c r="F198" i="4" s="1"/>
  <c r="W85" i="4"/>
  <c r="D148" i="4"/>
  <c r="F148" i="4" s="1"/>
  <c r="B90" i="4"/>
  <c r="R85" i="4"/>
  <c r="D133" i="4"/>
  <c r="F133" i="4" s="1"/>
  <c r="C100" i="4"/>
  <c r="J100" i="4"/>
  <c r="P100" i="4"/>
  <c r="E105" i="4"/>
  <c r="M105" i="4"/>
  <c r="S105" i="4"/>
  <c r="X241" i="4"/>
  <c r="D203" i="4"/>
  <c r="F203" i="4" s="1"/>
  <c r="H90" i="4"/>
  <c r="U251" i="4"/>
  <c r="D248" i="4" s="1"/>
  <c r="A307" i="4" a="1"/>
  <c r="A329" i="4" s="1"/>
  <c r="U121" i="4"/>
  <c r="V186" i="4"/>
  <c r="U186" i="4"/>
  <c r="V160" i="4"/>
  <c r="T121" i="4"/>
  <c r="D100" i="4"/>
  <c r="L100" i="4"/>
  <c r="N105" i="4"/>
  <c r="U105" i="4"/>
  <c r="C196" i="6"/>
  <c r="A335" i="4"/>
  <c r="A323" i="4"/>
  <c r="A316" i="4"/>
  <c r="A321" i="4"/>
  <c r="A327" i="4"/>
  <c r="E183" i="6"/>
  <c r="A319" i="4"/>
  <c r="A310" i="4"/>
  <c r="E192" i="6"/>
  <c r="A320" i="4"/>
  <c r="A308" i="4"/>
  <c r="A313" i="4"/>
  <c r="A331" i="4"/>
  <c r="A307" i="4"/>
  <c r="C182" i="6"/>
  <c r="E193" i="6"/>
  <c r="B201" i="6"/>
  <c r="C201" i="6" s="1"/>
  <c r="A333" i="4"/>
  <c r="A330" i="4"/>
  <c r="A309" i="4"/>
  <c r="E188" i="6"/>
  <c r="E191" i="6"/>
  <c r="A315" i="4"/>
  <c r="C195" i="6"/>
  <c r="E189" i="6"/>
  <c r="D30" i="1"/>
  <c r="E24" i="1"/>
  <c r="H67" i="7"/>
  <c r="B157" i="1"/>
  <c r="E8" i="7"/>
  <c r="H69" i="7"/>
  <c r="E127" i="7"/>
  <c r="D25" i="7"/>
  <c r="C173" i="6"/>
  <c r="T14" i="6"/>
  <c r="O24" i="6"/>
  <c r="O23" i="6"/>
  <c r="D179" i="6"/>
  <c r="E179" i="6" s="1"/>
  <c r="T17" i="6"/>
  <c r="C144" i="6"/>
  <c r="C147" i="6"/>
  <c r="C143" i="6"/>
  <c r="C141" i="6"/>
  <c r="E33" i="6"/>
  <c r="C138" i="6"/>
  <c r="C132" i="6"/>
  <c r="C133" i="6"/>
  <c r="C136" i="6"/>
  <c r="C137" i="6"/>
  <c r="C134" i="6"/>
  <c r="C145" i="6"/>
  <c r="C139" i="6"/>
  <c r="C135" i="6"/>
  <c r="T19" i="6"/>
  <c r="C148" i="6"/>
  <c r="M20" i="6"/>
  <c r="C142" i="6"/>
  <c r="C146" i="6"/>
  <c r="C140" i="6"/>
  <c r="E42" i="7"/>
  <c r="J90" i="7"/>
  <c r="F118" i="7" s="1"/>
  <c r="D177" i="6"/>
  <c r="E177" i="6" s="1"/>
  <c r="D178" i="6"/>
  <c r="E178" i="6" s="1"/>
  <c r="D176" i="6"/>
  <c r="E176" i="6" s="1"/>
  <c r="B67" i="8"/>
  <c r="C67" i="8" s="1"/>
  <c r="B56" i="8"/>
  <c r="C56" i="8" s="1"/>
  <c r="B58" i="8"/>
  <c r="C58" i="8" s="1"/>
  <c r="B60" i="8"/>
  <c r="C60" i="8" s="1"/>
  <c r="O21" i="6"/>
  <c r="B66" i="8"/>
  <c r="C66" i="8" s="1"/>
  <c r="B63" i="8"/>
  <c r="C63" i="8" s="1"/>
  <c r="B59" i="8"/>
  <c r="C59" i="8" s="1"/>
  <c r="B65" i="8"/>
  <c r="C65" i="8" s="1"/>
  <c r="B64" i="8"/>
  <c r="C64" i="8" s="1"/>
  <c r="C15" i="8"/>
  <c r="B57" i="8"/>
  <c r="C57" i="8" s="1"/>
  <c r="C14" i="1"/>
  <c r="B61" i="8"/>
  <c r="C61" i="8" s="1"/>
  <c r="O18" i="6"/>
  <c r="B52" i="8"/>
  <c r="C52" i="8" s="1"/>
  <c r="D26" i="7"/>
  <c r="E40" i="7"/>
  <c r="B54" i="8"/>
  <c r="C54" i="8" s="1"/>
  <c r="B62" i="8"/>
  <c r="C62" i="8" s="1"/>
  <c r="B55" i="8"/>
  <c r="C55" i="8" s="1"/>
  <c r="B51" i="8"/>
  <c r="C51" i="8" s="1"/>
  <c r="B53" i="8"/>
  <c r="C53" i="8" s="1"/>
  <c r="H27" i="6"/>
  <c r="H12" i="7" s="1"/>
  <c r="B50" i="8"/>
  <c r="C50" i="8" s="1"/>
  <c r="D126" i="6"/>
  <c r="E182" i="6"/>
  <c r="E186" i="6"/>
  <c r="B196" i="6"/>
  <c r="E185" i="6"/>
  <c r="E14" i="7"/>
  <c r="B199" i="6"/>
  <c r="B200" i="6"/>
  <c r="C200" i="6" s="1"/>
  <c r="C210" i="6"/>
  <c r="C207" i="6"/>
  <c r="C208" i="6"/>
  <c r="C205" i="6"/>
  <c r="C209" i="6"/>
  <c r="C206" i="6"/>
  <c r="B48" i="8"/>
  <c r="C48" i="8" s="1"/>
  <c r="B46" i="8"/>
  <c r="C46" i="8" s="1"/>
  <c r="B49" i="8"/>
  <c r="C49" i="8" s="1"/>
  <c r="D174" i="6"/>
  <c r="B45" i="8"/>
  <c r="C45" i="8" s="1"/>
  <c r="B42" i="8"/>
  <c r="C42" i="8" s="1"/>
  <c r="B41" i="8"/>
  <c r="C41" i="8" s="1"/>
  <c r="B43" i="8"/>
  <c r="C43" i="8" s="1"/>
  <c r="D172" i="6"/>
  <c r="B44" i="8"/>
  <c r="C44" i="8" s="1"/>
  <c r="B47" i="8"/>
  <c r="C47" i="8" s="1"/>
  <c r="D170" i="6"/>
  <c r="D171" i="6"/>
  <c r="D173" i="6"/>
  <c r="N13" i="6"/>
  <c r="A5" i="3"/>
  <c r="B5" i="3" s="1"/>
  <c r="M13" i="6"/>
  <c r="N12" i="6"/>
  <c r="R189" i="4"/>
  <c r="P191" i="4"/>
  <c r="X186" i="4"/>
  <c r="D183" i="4" s="1"/>
  <c r="F183" i="4" s="1"/>
  <c r="W190" i="4"/>
  <c r="V246" i="4"/>
  <c r="X245" i="4"/>
  <c r="W230" i="4"/>
  <c r="U231" i="4"/>
  <c r="X220" i="4"/>
  <c r="V221" i="4"/>
  <c r="X126" i="4"/>
  <c r="X110" i="4"/>
  <c r="V111" i="4"/>
  <c r="U126" i="4"/>
  <c r="V121" i="4"/>
  <c r="X210" i="4"/>
  <c r="W121" i="4"/>
  <c r="X121" i="4"/>
  <c r="V195" i="4"/>
  <c r="T126" i="4"/>
  <c r="W241" i="4"/>
  <c r="D238" i="4" s="1"/>
  <c r="F238" i="4" s="1"/>
  <c r="N90" i="4"/>
  <c r="AC4" i="3"/>
  <c r="U246" i="4"/>
  <c r="W90" i="4"/>
  <c r="X251" i="4"/>
  <c r="T235" i="4"/>
  <c r="R236" i="4"/>
  <c r="F90" i="4"/>
  <c r="C90" i="4"/>
  <c r="D90" i="4"/>
  <c r="T85" i="4"/>
  <c r="L85" i="4"/>
  <c r="D85" i="4"/>
  <c r="D178" i="4"/>
  <c r="F178" i="4" s="1"/>
  <c r="D168" i="4"/>
  <c r="F168" i="4" s="1"/>
  <c r="D153" i="4"/>
  <c r="F153" i="4" s="1"/>
  <c r="D143" i="4"/>
  <c r="F143" i="4" s="1"/>
  <c r="Q90" i="4"/>
  <c r="I90" i="4"/>
  <c r="A328" i="4"/>
  <c r="A332" i="4"/>
  <c r="A322" i="4"/>
  <c r="W160" i="4"/>
  <c r="U161" i="4"/>
  <c r="B187" i="6"/>
  <c r="B100" i="4"/>
  <c r="F100" i="4"/>
  <c r="W100" i="4"/>
  <c r="H46" i="1"/>
  <c r="E187" i="6"/>
  <c r="I4" i="4"/>
  <c r="D2" i="4"/>
  <c r="V4" i="4"/>
  <c r="Z2" i="4"/>
  <c r="D4" i="4"/>
  <c r="R2" i="4"/>
  <c r="R4" i="4"/>
  <c r="T4" i="4"/>
  <c r="M3" i="4"/>
  <c r="K3" i="4"/>
  <c r="L3" i="4"/>
  <c r="J3" i="4"/>
  <c r="H2" i="4"/>
  <c r="P14" i="6" l="1"/>
  <c r="D48" i="8" s="1"/>
  <c r="H18" i="7"/>
  <c r="F107" i="1"/>
  <c r="F106" i="1"/>
  <c r="F105" i="1"/>
  <c r="F103" i="1"/>
  <c r="F104" i="1"/>
  <c r="A312" i="4"/>
  <c r="A311" i="4"/>
  <c r="A317" i="4"/>
  <c r="A336" i="4"/>
  <c r="D97" i="4"/>
  <c r="F97" i="4" s="1"/>
  <c r="D82" i="4"/>
  <c r="A324" i="4"/>
  <c r="A325" i="4"/>
  <c r="A314" i="4"/>
  <c r="A326" i="4"/>
  <c r="A334" i="4"/>
  <c r="A318" i="4"/>
  <c r="W116" i="4"/>
  <c r="X116" i="4"/>
  <c r="D87" i="4"/>
  <c r="F87" i="4" s="1"/>
  <c r="I68" i="7"/>
  <c r="R27" i="1"/>
  <c r="K49" i="1"/>
  <c r="I16" i="7"/>
  <c r="D156" i="6"/>
  <c r="D162" i="6"/>
  <c r="E162" i="6" s="1"/>
  <c r="D160" i="6"/>
  <c r="E160" i="6" s="1"/>
  <c r="D159" i="6"/>
  <c r="E159" i="6" s="1"/>
  <c r="D161" i="6"/>
  <c r="E161" i="6" s="1"/>
  <c r="D158" i="6"/>
  <c r="E158" i="6" s="1"/>
  <c r="C166" i="6"/>
  <c r="C167" i="6"/>
  <c r="C163" i="6"/>
  <c r="S27" i="6"/>
  <c r="H45" i="7"/>
  <c r="D168" i="6"/>
  <c r="D169" i="6" s="1"/>
  <c r="E52" i="7"/>
  <c r="E56" i="7"/>
  <c r="E30" i="6"/>
  <c r="D141" i="6"/>
  <c r="D145" i="6"/>
  <c r="O20" i="6"/>
  <c r="D144" i="6"/>
  <c r="D137" i="6"/>
  <c r="D142" i="6"/>
  <c r="E53" i="7"/>
  <c r="D147" i="6"/>
  <c r="D146" i="6"/>
  <c r="D155" i="6"/>
  <c r="D148" i="6"/>
  <c r="D143" i="6"/>
  <c r="E34" i="6"/>
  <c r="D139" i="6"/>
  <c r="D157" i="6"/>
  <c r="D135" i="6"/>
  <c r="E135" i="6" s="1"/>
  <c r="W4" i="3"/>
  <c r="H51" i="7"/>
  <c r="D140" i="6"/>
  <c r="C168" i="6"/>
  <c r="C169" i="6" s="1"/>
  <c r="D136" i="6"/>
  <c r="E136" i="6" s="1"/>
  <c r="D134" i="6"/>
  <c r="E134" i="6" s="1"/>
  <c r="D132" i="6"/>
  <c r="E132" i="6" s="1"/>
  <c r="E57" i="7"/>
  <c r="D138" i="6"/>
  <c r="D133" i="6"/>
  <c r="E133" i="6" s="1"/>
  <c r="E126" i="6"/>
  <c r="D127" i="6"/>
  <c r="E18" i="7"/>
  <c r="C171" i="6"/>
  <c r="T12" i="6"/>
  <c r="C174" i="6"/>
  <c r="E101" i="7"/>
  <c r="E49" i="7"/>
  <c r="T13" i="6"/>
  <c r="C170" i="6"/>
  <c r="D46" i="8"/>
  <c r="D45" i="8"/>
  <c r="D55" i="8"/>
  <c r="D58" i="8"/>
  <c r="D50" i="8"/>
  <c r="D65" i="8"/>
  <c r="M14" i="6"/>
  <c r="D57" i="8"/>
  <c r="D51" i="8"/>
  <c r="D41" i="8"/>
  <c r="D66" i="8"/>
  <c r="D59" i="8"/>
  <c r="D67" i="8"/>
  <c r="D61" i="8"/>
  <c r="D47" i="8"/>
  <c r="D60" i="8"/>
  <c r="D42" i="8"/>
  <c r="D56" i="8"/>
  <c r="D44" i="8"/>
  <c r="D62" i="8"/>
  <c r="D52" i="8"/>
  <c r="D64" i="8"/>
  <c r="D63" i="8"/>
  <c r="D53" i="8"/>
  <c r="M12" i="6"/>
  <c r="F82" i="4"/>
  <c r="D118" i="4"/>
  <c r="F118" i="4" s="1"/>
  <c r="X190" i="4"/>
  <c r="V161" i="4"/>
  <c r="X160" i="4"/>
  <c r="U235" i="4"/>
  <c r="S236" i="4"/>
  <c r="V231" i="4"/>
  <c r="X230" i="4"/>
  <c r="P5" i="3"/>
  <c r="Q5" i="3" s="1"/>
  <c r="AD5" i="3"/>
  <c r="A6" i="3"/>
  <c r="B6" i="3" s="1"/>
  <c r="AA5" i="3"/>
  <c r="AC5" i="3"/>
  <c r="Z5" i="3"/>
  <c r="C204" i="6"/>
  <c r="X221" i="4"/>
  <c r="W221" i="4"/>
  <c r="D218" i="4" s="1"/>
  <c r="F218" i="4" s="1"/>
  <c r="D123" i="4"/>
  <c r="W246" i="4"/>
  <c r="D243" i="4" s="1"/>
  <c r="F243" i="4" s="1"/>
  <c r="X246" i="4"/>
  <c r="X111" i="4"/>
  <c r="W111" i="4"/>
  <c r="D108" i="4" s="1"/>
  <c r="S189" i="4"/>
  <c r="Q191" i="4"/>
  <c r="U196" i="4"/>
  <c r="W195" i="4"/>
  <c r="X211" i="4"/>
  <c r="W211" i="4"/>
  <c r="F2" i="4"/>
  <c r="D54" i="8" l="1"/>
  <c r="F54" i="8" s="1"/>
  <c r="I54" i="8" s="1"/>
  <c r="D43" i="8"/>
  <c r="F43" i="8" s="1"/>
  <c r="I43" i="8" s="1"/>
  <c r="D49" i="8"/>
  <c r="E49" i="8" s="1"/>
  <c r="H41" i="7"/>
  <c r="E107" i="7"/>
  <c r="N14" i="6"/>
  <c r="P15" i="6" s="1"/>
  <c r="E11" i="7"/>
  <c r="H5" i="7"/>
  <c r="C10" i="8"/>
  <c r="D113" i="4"/>
  <c r="F113" i="4" s="1"/>
  <c r="D208" i="4"/>
  <c r="F208" i="4" s="1"/>
  <c r="I28" i="6"/>
  <c r="C191" i="6" s="1"/>
  <c r="D166" i="6"/>
  <c r="E166" i="6" s="1"/>
  <c r="D167" i="6"/>
  <c r="E167" i="6" s="1"/>
  <c r="D164" i="6"/>
  <c r="E164" i="6" s="1"/>
  <c r="D165" i="6"/>
  <c r="E165" i="6" s="1"/>
  <c r="D163" i="6"/>
  <c r="E163" i="6" s="1"/>
  <c r="E29" i="6"/>
  <c r="E28" i="6"/>
  <c r="E127" i="6"/>
  <c r="R5" i="3"/>
  <c r="P6" i="3"/>
  <c r="Q6" i="3" s="1"/>
  <c r="R6" i="3" s="1"/>
  <c r="AA6" i="3"/>
  <c r="A7" i="3"/>
  <c r="B7" i="3" s="1"/>
  <c r="AC6" i="3"/>
  <c r="Z6" i="3"/>
  <c r="AD6" i="3"/>
  <c r="F108" i="4"/>
  <c r="F56" i="8"/>
  <c r="I56" i="8" s="1"/>
  <c r="E56" i="8"/>
  <c r="F66" i="8"/>
  <c r="I66" i="8" s="1"/>
  <c r="E66" i="8"/>
  <c r="F58" i="8"/>
  <c r="I58" i="8" s="1"/>
  <c r="E58" i="8"/>
  <c r="V196" i="4"/>
  <c r="X195" i="4"/>
  <c r="E48" i="8"/>
  <c r="F48" i="8"/>
  <c r="I48" i="8" s="1"/>
  <c r="F53" i="8"/>
  <c r="I53" i="8" s="1"/>
  <c r="E53" i="8"/>
  <c r="F42" i="8"/>
  <c r="I42" i="8" s="1"/>
  <c r="E42" i="8"/>
  <c r="F41" i="8"/>
  <c r="I41" i="8" s="1"/>
  <c r="E41" i="8"/>
  <c r="E55" i="8"/>
  <c r="F55" i="8"/>
  <c r="I55" i="8" s="1"/>
  <c r="F63" i="8"/>
  <c r="I63" i="8" s="1"/>
  <c r="E63" i="8"/>
  <c r="E60" i="8"/>
  <c r="F60" i="8"/>
  <c r="I60" i="8" s="1"/>
  <c r="F51" i="8"/>
  <c r="I51" i="8" s="1"/>
  <c r="E51" i="8"/>
  <c r="F45" i="8"/>
  <c r="I45" i="8" s="1"/>
  <c r="E45" i="8"/>
  <c r="F47" i="8"/>
  <c r="I47" i="8" s="1"/>
  <c r="E47" i="8"/>
  <c r="E54" i="8"/>
  <c r="F52" i="8"/>
  <c r="I52" i="8" s="1"/>
  <c r="E52" i="8"/>
  <c r="F61" i="8"/>
  <c r="I61" i="8" s="1"/>
  <c r="E61" i="8"/>
  <c r="F107" i="7"/>
  <c r="C10" i="1"/>
  <c r="S4" i="3" s="1"/>
  <c r="J41" i="7"/>
  <c r="E58" i="7"/>
  <c r="H65" i="7" s="1"/>
  <c r="C11" i="8"/>
  <c r="F46" i="8"/>
  <c r="I46" i="8" s="1"/>
  <c r="E46" i="8"/>
  <c r="E62" i="8"/>
  <c r="F62" i="8"/>
  <c r="I62" i="8" s="1"/>
  <c r="F67" i="8"/>
  <c r="I67" i="8" s="1"/>
  <c r="E67" i="8"/>
  <c r="F65" i="8"/>
  <c r="I65" i="8" s="1"/>
  <c r="E65" i="8"/>
  <c r="W231" i="4"/>
  <c r="X231" i="4"/>
  <c r="D228" i="4" s="1"/>
  <c r="F228" i="4" s="1"/>
  <c r="X191" i="4"/>
  <c r="F64" i="8"/>
  <c r="I64" i="8" s="1"/>
  <c r="E64" i="8"/>
  <c r="F57" i="8"/>
  <c r="I57" i="8" s="1"/>
  <c r="E57" i="8"/>
  <c r="T189" i="4"/>
  <c r="R191" i="4"/>
  <c r="T236" i="4"/>
  <c r="V235" i="4"/>
  <c r="X161" i="4"/>
  <c r="W161" i="4"/>
  <c r="D158" i="4" s="1"/>
  <c r="F158" i="4" s="1"/>
  <c r="F44" i="8"/>
  <c r="I44" i="8" s="1"/>
  <c r="E44" i="8"/>
  <c r="E59" i="8"/>
  <c r="F59" i="8"/>
  <c r="I59" i="8" s="1"/>
  <c r="F50" i="8"/>
  <c r="I50" i="8" s="1"/>
  <c r="E50" i="8"/>
  <c r="E43" i="8" l="1"/>
  <c r="H43" i="8" s="1"/>
  <c r="M15" i="6"/>
  <c r="F108" i="7" s="1"/>
  <c r="E108" i="7"/>
  <c r="D23" i="7"/>
  <c r="H42" i="7"/>
  <c r="F49" i="8"/>
  <c r="I49" i="8" s="1"/>
  <c r="N15" i="6"/>
  <c r="E110" i="7"/>
  <c r="I41" i="7"/>
  <c r="C24" i="1"/>
  <c r="D153" i="6"/>
  <c r="C192" i="6"/>
  <c r="C164" i="6"/>
  <c r="C165" i="6"/>
  <c r="M22" i="6"/>
  <c r="E35" i="6"/>
  <c r="O22" i="6" s="1"/>
  <c r="O19" i="6" s="1"/>
  <c r="H60" i="8"/>
  <c r="G60" i="8"/>
  <c r="H65" i="8"/>
  <c r="G65" i="8"/>
  <c r="H67" i="8"/>
  <c r="G67" i="8"/>
  <c r="Z7" i="3"/>
  <c r="A8" i="3"/>
  <c r="B8" i="3" s="1"/>
  <c r="AC7" i="3"/>
  <c r="AD7" i="3"/>
  <c r="P7" i="3"/>
  <c r="Q7" i="3" s="1"/>
  <c r="R7" i="3" s="1"/>
  <c r="AA7" i="3"/>
  <c r="H59" i="8"/>
  <c r="G59" i="8"/>
  <c r="W235" i="4"/>
  <c r="U236" i="4"/>
  <c r="U189" i="4"/>
  <c r="S191" i="4"/>
  <c r="G46" i="8"/>
  <c r="H46" i="8"/>
  <c r="H47" i="8"/>
  <c r="G47" i="8"/>
  <c r="H42" i="8"/>
  <c r="G42" i="8"/>
  <c r="H56" i="8"/>
  <c r="G56" i="8"/>
  <c r="H52" i="8"/>
  <c r="G52" i="8"/>
  <c r="T4" i="3"/>
  <c r="U4" i="3" s="1"/>
  <c r="S5" i="3"/>
  <c r="H55" i="8"/>
  <c r="G55" i="8"/>
  <c r="H48" i="8"/>
  <c r="G48" i="8"/>
  <c r="H44" i="8"/>
  <c r="G44" i="8"/>
  <c r="H57" i="8"/>
  <c r="G57" i="8"/>
  <c r="H53" i="8"/>
  <c r="G53" i="8"/>
  <c r="W196" i="4"/>
  <c r="X196" i="4"/>
  <c r="H64" i="8"/>
  <c r="G64" i="8"/>
  <c r="G45" i="8"/>
  <c r="H45" i="8"/>
  <c r="H58" i="8"/>
  <c r="G58" i="8"/>
  <c r="H51" i="8"/>
  <c r="G51" i="8"/>
  <c r="G41" i="8"/>
  <c r="H41" i="8"/>
  <c r="H66" i="8"/>
  <c r="G66" i="8"/>
  <c r="H63" i="8"/>
  <c r="G63" i="8"/>
  <c r="H50" i="8"/>
  <c r="G50" i="8"/>
  <c r="H62" i="8"/>
  <c r="G62" i="8"/>
  <c r="H61" i="8"/>
  <c r="G61" i="8"/>
  <c r="H54" i="8"/>
  <c r="G54" i="8"/>
  <c r="H49" i="8"/>
  <c r="G49" i="8"/>
  <c r="G43" i="8" l="1"/>
  <c r="K43" i="8" s="1"/>
  <c r="M43" i="8" s="1"/>
  <c r="C155" i="6"/>
  <c r="J42" i="7"/>
  <c r="C149" i="6"/>
  <c r="C30" i="1"/>
  <c r="H71" i="7"/>
  <c r="C150" i="6"/>
  <c r="I42" i="7"/>
  <c r="D193" i="4"/>
  <c r="F193" i="4" s="1"/>
  <c r="H28" i="6"/>
  <c r="M19" i="6"/>
  <c r="K57" i="8"/>
  <c r="M57" i="8" s="1"/>
  <c r="K52" i="8"/>
  <c r="M52" i="8" s="1"/>
  <c r="K65" i="8"/>
  <c r="M65" i="8" s="1"/>
  <c r="J46" i="8"/>
  <c r="J42" i="8"/>
  <c r="J45" i="8"/>
  <c r="K44" i="8"/>
  <c r="M44" i="8" s="1"/>
  <c r="K60" i="8"/>
  <c r="M60" i="8" s="1"/>
  <c r="K54" i="8"/>
  <c r="M54" i="8" s="1"/>
  <c r="J53" i="8"/>
  <c r="J59" i="8"/>
  <c r="J67" i="8"/>
  <c r="J51" i="8"/>
  <c r="K62" i="8"/>
  <c r="M62" i="8" s="1"/>
  <c r="J61" i="8"/>
  <c r="J41" i="8"/>
  <c r="J58" i="8"/>
  <c r="J55" i="8"/>
  <c r="K47" i="8"/>
  <c r="M47" i="8" s="1"/>
  <c r="K67" i="8"/>
  <c r="M67" i="8" s="1"/>
  <c r="J64" i="8"/>
  <c r="J43" i="8"/>
  <c r="J56" i="8"/>
  <c r="J63" i="8"/>
  <c r="K49" i="8"/>
  <c r="M49" i="8" s="1"/>
  <c r="K50" i="8"/>
  <c r="M50" i="8" s="1"/>
  <c r="J66" i="8"/>
  <c r="K48" i="8"/>
  <c r="M48" i="8" s="1"/>
  <c r="P8" i="3"/>
  <c r="Q8" i="3" s="1"/>
  <c r="R8" i="3" s="1"/>
  <c r="Z8" i="3"/>
  <c r="AD8" i="3"/>
  <c r="AA8" i="3"/>
  <c r="AC8" i="3"/>
  <c r="A9" i="3"/>
  <c r="B9" i="3" s="1"/>
  <c r="J50" i="8"/>
  <c r="K61" i="8"/>
  <c r="M61" i="8" s="1"/>
  <c r="K66" i="8"/>
  <c r="M66" i="8" s="1"/>
  <c r="K58" i="8"/>
  <c r="M58" i="8" s="1"/>
  <c r="J57" i="8"/>
  <c r="K55" i="8"/>
  <c r="M55" i="8" s="1"/>
  <c r="K56" i="8"/>
  <c r="M56" i="8" s="1"/>
  <c r="J47" i="8"/>
  <c r="V236" i="4"/>
  <c r="X235" i="4"/>
  <c r="K53" i="8"/>
  <c r="M53" i="8" s="1"/>
  <c r="K59" i="8"/>
  <c r="M59" i="8" s="1"/>
  <c r="J65" i="8"/>
  <c r="T5" i="3"/>
  <c r="S6" i="3"/>
  <c r="K46" i="8"/>
  <c r="M46" i="8" s="1"/>
  <c r="J49" i="8"/>
  <c r="J62" i="8"/>
  <c r="K45" i="8"/>
  <c r="M45" i="8" s="1"/>
  <c r="J44" i="8"/>
  <c r="K63" i="8"/>
  <c r="M63" i="8" s="1"/>
  <c r="K41" i="8"/>
  <c r="M41" i="8" s="1"/>
  <c r="K42" i="8"/>
  <c r="M42" i="8" s="1"/>
  <c r="K51" i="8"/>
  <c r="M51" i="8" s="1"/>
  <c r="K64" i="8"/>
  <c r="M64" i="8" s="1"/>
  <c r="J60" i="8"/>
  <c r="V189" i="4"/>
  <c r="T191" i="4"/>
  <c r="J54" i="8"/>
  <c r="J48" i="8"/>
  <c r="J52" i="8"/>
  <c r="P28" i="1" l="1"/>
  <c r="K47" i="1"/>
  <c r="H16" i="7"/>
  <c r="P27" i="1"/>
  <c r="H68" i="7"/>
  <c r="L54" i="8"/>
  <c r="L57" i="8"/>
  <c r="C194" i="6"/>
  <c r="C190" i="6"/>
  <c r="S28" i="6"/>
  <c r="C193" i="6"/>
  <c r="D152" i="6"/>
  <c r="H46" i="7"/>
  <c r="H13" i="7"/>
  <c r="L52" i="8"/>
  <c r="L65" i="8"/>
  <c r="L44" i="8"/>
  <c r="L50" i="8"/>
  <c r="L60" i="8"/>
  <c r="L43" i="8"/>
  <c r="L49" i="8"/>
  <c r="L67" i="8"/>
  <c r="L41" i="8"/>
  <c r="L56" i="8"/>
  <c r="L66" i="8"/>
  <c r="L58" i="8"/>
  <c r="L42" i="8"/>
  <c r="L62" i="8"/>
  <c r="L51" i="8"/>
  <c r="L48" i="8"/>
  <c r="L47" i="8"/>
  <c r="AD9" i="3"/>
  <c r="AC9" i="3"/>
  <c r="AA9" i="3"/>
  <c r="P9" i="3"/>
  <c r="Q9" i="3" s="1"/>
  <c r="R9" i="3" s="1"/>
  <c r="Z9" i="3"/>
  <c r="A10" i="3"/>
  <c r="B10" i="3" s="1"/>
  <c r="W189" i="4"/>
  <c r="U191" i="4"/>
  <c r="AH5" i="3"/>
  <c r="D5" i="3"/>
  <c r="AG5" i="3"/>
  <c r="E5" i="3"/>
  <c r="H5" i="3" s="1"/>
  <c r="L61" i="8"/>
  <c r="L46" i="8"/>
  <c r="L59" i="8"/>
  <c r="L64" i="8"/>
  <c r="W236" i="4"/>
  <c r="X236" i="4"/>
  <c r="D233" i="4" s="1"/>
  <c r="L55" i="8"/>
  <c r="L53" i="8"/>
  <c r="L63" i="8"/>
  <c r="S7" i="3"/>
  <c r="T6" i="3"/>
  <c r="L45" i="8"/>
  <c r="T7" i="3" l="1"/>
  <c r="S8" i="3"/>
  <c r="V191" i="4"/>
  <c r="W191" i="4"/>
  <c r="D188" i="4" s="1"/>
  <c r="K5" i="3"/>
  <c r="AA10" i="3"/>
  <c r="P10" i="3"/>
  <c r="Q10" i="3" s="1"/>
  <c r="R10" i="3" s="1"/>
  <c r="AD10" i="3"/>
  <c r="Z10" i="3"/>
  <c r="A11" i="3"/>
  <c r="B11" i="3" s="1"/>
  <c r="AC10" i="3"/>
  <c r="F5" i="3"/>
  <c r="G5" i="3"/>
  <c r="AC11" i="3" l="1"/>
  <c r="AD11" i="3"/>
  <c r="A12" i="3"/>
  <c r="B12" i="3" s="1"/>
  <c r="P11" i="3"/>
  <c r="Q11" i="3" s="1"/>
  <c r="R11" i="3" s="1"/>
  <c r="Z11" i="3"/>
  <c r="AA11" i="3"/>
  <c r="V5" i="3"/>
  <c r="AE5" i="3"/>
  <c r="F188" i="4"/>
  <c r="N34" i="1"/>
  <c r="M36" i="6"/>
  <c r="S9" i="3"/>
  <c r="T8" i="3"/>
  <c r="J5" i="3"/>
  <c r="I5" i="3"/>
  <c r="M5" i="3"/>
  <c r="N5" i="3" s="1"/>
  <c r="W5" i="3" l="1"/>
  <c r="P12" i="3"/>
  <c r="Q12" i="3" s="1"/>
  <c r="R12" i="3" s="1"/>
  <c r="Z12" i="3"/>
  <c r="A13" i="3"/>
  <c r="B13" i="3" s="1"/>
  <c r="AD12" i="3"/>
  <c r="AA12" i="3"/>
  <c r="AC12" i="3"/>
  <c r="L5" i="3"/>
  <c r="S10" i="3"/>
  <c r="T9" i="3"/>
  <c r="AG6" i="3" l="1"/>
  <c r="AH6" i="3"/>
  <c r="U5" i="3"/>
  <c r="E6" i="3" s="1"/>
  <c r="H6" i="3" s="1"/>
  <c r="AD13" i="3"/>
  <c r="P13" i="3"/>
  <c r="Q13" i="3" s="1"/>
  <c r="R13" i="3" s="1"/>
  <c r="AC13" i="3"/>
  <c r="Z13" i="3"/>
  <c r="A14" i="3"/>
  <c r="B14" i="3" s="1"/>
  <c r="AA13" i="3"/>
  <c r="T10" i="3"/>
  <c r="S11" i="3"/>
  <c r="AC14" i="3" l="1"/>
  <c r="AA14" i="3"/>
  <c r="Z14" i="3"/>
  <c r="AD14" i="3"/>
  <c r="A15" i="3"/>
  <c r="B15" i="3" s="1"/>
  <c r="P14" i="3"/>
  <c r="Q14" i="3" s="1"/>
  <c r="R14" i="3" s="1"/>
  <c r="K6" i="3"/>
  <c r="D6" i="3"/>
  <c r="S12" i="3"/>
  <c r="T11" i="3"/>
  <c r="P15" i="3" l="1"/>
  <c r="Q15" i="3" s="1"/>
  <c r="R15" i="3" s="1"/>
  <c r="AA15" i="3"/>
  <c r="Z15" i="3"/>
  <c r="AC15" i="3"/>
  <c r="AD15" i="3"/>
  <c r="A16" i="3"/>
  <c r="B16" i="3" s="1"/>
  <c r="T12" i="3"/>
  <c r="S13" i="3"/>
  <c r="V6" i="3"/>
  <c r="AE6" i="3"/>
  <c r="F6" i="3"/>
  <c r="G6" i="3"/>
  <c r="P16" i="3" l="1"/>
  <c r="Q16" i="3" s="1"/>
  <c r="R16" i="3" s="1"/>
  <c r="A17" i="3"/>
  <c r="B17" i="3" s="1"/>
  <c r="AA16" i="3"/>
  <c r="AC16" i="3"/>
  <c r="AD16" i="3"/>
  <c r="Z16" i="3"/>
  <c r="I6" i="3"/>
  <c r="W6" i="3" s="1"/>
  <c r="J6" i="3"/>
  <c r="M6" i="3"/>
  <c r="N6" i="3" s="1"/>
  <c r="S14" i="3"/>
  <c r="T13" i="3"/>
  <c r="T14" i="3" l="1"/>
  <c r="S15" i="3"/>
  <c r="L6" i="3"/>
  <c r="A18" i="3"/>
  <c r="B18" i="3" s="1"/>
  <c r="AC17" i="3"/>
  <c r="AD17" i="3"/>
  <c r="Z17" i="3"/>
  <c r="AA17" i="3"/>
  <c r="P17" i="3"/>
  <c r="Q17" i="3" s="1"/>
  <c r="R17" i="3" s="1"/>
  <c r="AC18" i="3" l="1"/>
  <c r="P18" i="3"/>
  <c r="Q18" i="3" s="1"/>
  <c r="R18" i="3" s="1"/>
  <c r="Z18" i="3"/>
  <c r="AD18" i="3"/>
  <c r="AA18" i="3"/>
  <c r="A19" i="3"/>
  <c r="B19" i="3" s="1"/>
  <c r="AG7" i="3"/>
  <c r="U6" i="3"/>
  <c r="E7" i="3" s="1"/>
  <c r="H7" i="3" s="1"/>
  <c r="AH7" i="3"/>
  <c r="Y5" i="3"/>
  <c r="S16" i="3"/>
  <c r="T15" i="3"/>
  <c r="K7" i="3" l="1"/>
  <c r="AC19" i="3"/>
  <c r="A20" i="3"/>
  <c r="B20" i="3" s="1"/>
  <c r="AA19" i="3"/>
  <c r="P19" i="3"/>
  <c r="Q19" i="3" s="1"/>
  <c r="R19" i="3" s="1"/>
  <c r="Z19" i="3"/>
  <c r="AD19" i="3"/>
  <c r="T16" i="3"/>
  <c r="S17" i="3"/>
  <c r="D7" i="3"/>
  <c r="A21" i="3" l="1"/>
  <c r="B21" i="3" s="1"/>
  <c r="AA20" i="3"/>
  <c r="AC20" i="3"/>
  <c r="AD20" i="3"/>
  <c r="Z20" i="3"/>
  <c r="P20" i="3"/>
  <c r="Q20" i="3" s="1"/>
  <c r="R20" i="3" s="1"/>
  <c r="F7" i="3"/>
  <c r="G7" i="3"/>
  <c r="V7" i="3"/>
  <c r="AE7" i="3"/>
  <c r="T17" i="3"/>
  <c r="S18" i="3"/>
  <c r="AA21" i="3" l="1"/>
  <c r="AD21" i="3"/>
  <c r="AC21" i="3"/>
  <c r="A22" i="3"/>
  <c r="B22" i="3" s="1"/>
  <c r="P21" i="3"/>
  <c r="Q21" i="3" s="1"/>
  <c r="R21" i="3" s="1"/>
  <c r="Z21" i="3"/>
  <c r="T18" i="3"/>
  <c r="S19" i="3"/>
  <c r="I7" i="3"/>
  <c r="J7" i="3"/>
  <c r="M7" i="3"/>
  <c r="N7" i="3" s="1"/>
  <c r="AC22" i="3" l="1"/>
  <c r="Z22" i="3"/>
  <c r="AD22" i="3"/>
  <c r="P22" i="3"/>
  <c r="Q22" i="3" s="1"/>
  <c r="R22" i="3" s="1"/>
  <c r="AA22" i="3"/>
  <c r="A23" i="3"/>
  <c r="B23" i="3" s="1"/>
  <c r="S20" i="3"/>
  <c r="T19" i="3"/>
  <c r="L7" i="3"/>
  <c r="W7" i="3"/>
  <c r="AC23" i="3" l="1"/>
  <c r="P23" i="3"/>
  <c r="Q23" i="3" s="1"/>
  <c r="R23" i="3" s="1"/>
  <c r="A24" i="3"/>
  <c r="B24" i="3" s="1"/>
  <c r="AA23" i="3"/>
  <c r="Z23" i="3"/>
  <c r="AD23" i="3"/>
  <c r="AH8" i="3"/>
  <c r="U7" i="3"/>
  <c r="E8" i="3" s="1"/>
  <c r="H8" i="3" s="1"/>
  <c r="AG8" i="3"/>
  <c r="Y6" i="3"/>
  <c r="S21" i="3"/>
  <c r="T20" i="3"/>
  <c r="D8" i="3" l="1"/>
  <c r="F8" i="3" s="1"/>
  <c r="K8" i="3"/>
  <c r="T21" i="3"/>
  <c r="S22" i="3"/>
  <c r="AC24" i="3"/>
  <c r="AA24" i="3"/>
  <c r="AD24" i="3"/>
  <c r="A25" i="3"/>
  <c r="B25" i="3" s="1"/>
  <c r="Z24" i="3"/>
  <c r="P24" i="3"/>
  <c r="Q24" i="3" s="1"/>
  <c r="R24" i="3" s="1"/>
  <c r="G8" i="3" l="1"/>
  <c r="I8" i="3" s="1"/>
  <c r="Z25" i="3"/>
  <c r="P25" i="3"/>
  <c r="Q25" i="3" s="1"/>
  <c r="R25" i="3" s="1"/>
  <c r="AD25" i="3"/>
  <c r="A26" i="3"/>
  <c r="B26" i="3" s="1"/>
  <c r="AC25" i="3"/>
  <c r="AA25" i="3"/>
  <c r="V8" i="3"/>
  <c r="AE8" i="3"/>
  <c r="S23" i="3"/>
  <c r="T22" i="3"/>
  <c r="M8" i="3" l="1"/>
  <c r="N8" i="3" s="1"/>
  <c r="J8" i="3"/>
  <c r="L8" i="3" s="1"/>
  <c r="AD26" i="3"/>
  <c r="AC26" i="3"/>
  <c r="Z26" i="3"/>
  <c r="A27" i="3"/>
  <c r="B27" i="3" s="1"/>
  <c r="AA26" i="3"/>
  <c r="P26" i="3"/>
  <c r="Q26" i="3" s="1"/>
  <c r="R26" i="3" s="1"/>
  <c r="W8" i="3"/>
  <c r="S24" i="3"/>
  <c r="T23" i="3"/>
  <c r="AA27" i="3" l="1"/>
  <c r="A28" i="3"/>
  <c r="B28" i="3" s="1"/>
  <c r="P27" i="3"/>
  <c r="Q27" i="3" s="1"/>
  <c r="R27" i="3" s="1"/>
  <c r="AD27" i="3"/>
  <c r="AC27" i="3"/>
  <c r="Z27" i="3"/>
  <c r="T24" i="3"/>
  <c r="S25" i="3"/>
  <c r="U8" i="3"/>
  <c r="D9" i="3" s="1"/>
  <c r="AH9" i="3"/>
  <c r="AG9" i="3"/>
  <c r="Y7" i="3"/>
  <c r="E9" i="3" l="1"/>
  <c r="H9" i="3" s="1"/>
  <c r="K9" i="3" s="1"/>
  <c r="A29" i="3"/>
  <c r="B29" i="3" s="1"/>
  <c r="AC28" i="3"/>
  <c r="P28" i="3"/>
  <c r="Q28" i="3" s="1"/>
  <c r="R28" i="3" s="1"/>
  <c r="AA28" i="3"/>
  <c r="Z28" i="3"/>
  <c r="AD28" i="3"/>
  <c r="S26" i="3"/>
  <c r="T25" i="3"/>
  <c r="G9" i="3"/>
  <c r="F9" i="3" l="1"/>
  <c r="V9" i="3"/>
  <c r="AE9" i="3"/>
  <c r="I9" i="3"/>
  <c r="J9" i="3"/>
  <c r="M9" i="3"/>
  <c r="N9" i="3" s="1"/>
  <c r="S27" i="3"/>
  <c r="T26" i="3"/>
  <c r="AC29" i="3"/>
  <c r="P29" i="3"/>
  <c r="Q29" i="3" s="1"/>
  <c r="R29" i="3" s="1"/>
  <c r="AD29" i="3"/>
  <c r="Z29" i="3"/>
  <c r="A30" i="3"/>
  <c r="B30" i="3" s="1"/>
  <c r="AA29" i="3"/>
  <c r="L9" i="3" l="1"/>
  <c r="P30" i="3"/>
  <c r="Q30" i="3" s="1"/>
  <c r="R30" i="3" s="1"/>
  <c r="Z30" i="3"/>
  <c r="AD30" i="3"/>
  <c r="A31" i="3"/>
  <c r="B31" i="3" s="1"/>
  <c r="AC30" i="3"/>
  <c r="AA30" i="3"/>
  <c r="T27" i="3"/>
  <c r="S28" i="3"/>
  <c r="W9" i="3"/>
  <c r="AC31" i="3" l="1"/>
  <c r="Z31" i="3"/>
  <c r="AA31" i="3"/>
  <c r="A32" i="3"/>
  <c r="B32" i="3" s="1"/>
  <c r="AD31" i="3"/>
  <c r="P31" i="3"/>
  <c r="Q31" i="3" s="1"/>
  <c r="R31" i="3" s="1"/>
  <c r="S29" i="3"/>
  <c r="T28" i="3"/>
  <c r="AG10" i="3"/>
  <c r="AH10" i="3"/>
  <c r="U9" i="3"/>
  <c r="D10" i="3" s="1"/>
  <c r="Y8" i="3"/>
  <c r="AA32" i="3" l="1"/>
  <c r="AC32" i="3"/>
  <c r="AD32" i="3"/>
  <c r="Z32" i="3"/>
  <c r="P32" i="3"/>
  <c r="Q32" i="3" s="1"/>
  <c r="R32" i="3" s="1"/>
  <c r="A33" i="3"/>
  <c r="B33" i="3" s="1"/>
  <c r="G10" i="3"/>
  <c r="E10" i="3"/>
  <c r="H10" i="3" s="1"/>
  <c r="T29" i="3"/>
  <c r="S30" i="3"/>
  <c r="AC33" i="3" l="1"/>
  <c r="A34" i="3"/>
  <c r="B34" i="3" s="1"/>
  <c r="Z33" i="3"/>
  <c r="AD33" i="3"/>
  <c r="P33" i="3"/>
  <c r="Q33" i="3" s="1"/>
  <c r="R33" i="3" s="1"/>
  <c r="AA33" i="3"/>
  <c r="K10" i="3"/>
  <c r="S31" i="3"/>
  <c r="T30" i="3"/>
  <c r="I10" i="3"/>
  <c r="J10" i="3"/>
  <c r="M10" i="3"/>
  <c r="N10" i="3" s="1"/>
  <c r="F10" i="3"/>
  <c r="L10" i="3" l="1"/>
  <c r="S32" i="3"/>
  <c r="T31" i="3"/>
  <c r="V10" i="3"/>
  <c r="W10" i="3" s="1"/>
  <c r="AE10" i="3"/>
  <c r="AA34" i="3"/>
  <c r="AD34" i="3"/>
  <c r="AC34" i="3"/>
  <c r="Z34" i="3"/>
  <c r="A35" i="3"/>
  <c r="B35" i="3" s="1"/>
  <c r="P34" i="3"/>
  <c r="Q34" i="3" s="1"/>
  <c r="R34" i="3" s="1"/>
  <c r="AC35" i="3" l="1"/>
  <c r="AA35" i="3"/>
  <c r="AD35" i="3"/>
  <c r="Z35" i="3"/>
  <c r="P35" i="3"/>
  <c r="Q35" i="3" s="1"/>
  <c r="R35" i="3" s="1"/>
  <c r="A36" i="3"/>
  <c r="B36" i="3" s="1"/>
  <c r="T32" i="3"/>
  <c r="S33" i="3"/>
  <c r="AG11" i="3"/>
  <c r="AH11" i="3"/>
  <c r="U10" i="3"/>
  <c r="D11" i="3" s="1"/>
  <c r="Y9" i="3"/>
  <c r="E11" i="3" l="1"/>
  <c r="H11" i="3" s="1"/>
  <c r="K11" i="3" s="1"/>
  <c r="A37" i="3"/>
  <c r="B37" i="3" s="1"/>
  <c r="AC36" i="3"/>
  <c r="P36" i="3"/>
  <c r="Q36" i="3" s="1"/>
  <c r="R36" i="3" s="1"/>
  <c r="AD36" i="3"/>
  <c r="AA36" i="3"/>
  <c r="Z36" i="3"/>
  <c r="G11" i="3"/>
  <c r="S34" i="3"/>
  <c r="T33" i="3"/>
  <c r="F11" i="3" l="1"/>
  <c r="P37" i="3"/>
  <c r="Q37" i="3" s="1"/>
  <c r="R37" i="3" s="1"/>
  <c r="A38" i="3"/>
  <c r="B38" i="3" s="1"/>
  <c r="Z37" i="3"/>
  <c r="AC37" i="3"/>
  <c r="AD37" i="3"/>
  <c r="AA37" i="3"/>
  <c r="V11" i="3"/>
  <c r="AE11" i="3"/>
  <c r="I11" i="3"/>
  <c r="J11" i="3"/>
  <c r="M11" i="3"/>
  <c r="N11" i="3" s="1"/>
  <c r="S35" i="3"/>
  <c r="T34" i="3"/>
  <c r="P38" i="3" l="1"/>
  <c r="Q38" i="3" s="1"/>
  <c r="R38" i="3" s="1"/>
  <c r="Z38" i="3"/>
  <c r="AC38" i="3"/>
  <c r="A39" i="3"/>
  <c r="B39" i="3" s="1"/>
  <c r="AD38" i="3"/>
  <c r="AA38" i="3"/>
  <c r="L11" i="3"/>
  <c r="S36" i="3"/>
  <c r="T35" i="3"/>
  <c r="W11" i="3"/>
  <c r="AC39" i="3" l="1"/>
  <c r="AD39" i="3"/>
  <c r="Z39" i="3"/>
  <c r="AA39" i="3"/>
  <c r="A40" i="3"/>
  <c r="B40" i="3" s="1"/>
  <c r="P39" i="3"/>
  <c r="Q39" i="3" s="1"/>
  <c r="R39" i="3" s="1"/>
  <c r="T36" i="3"/>
  <c r="S37" i="3"/>
  <c r="AG12" i="3"/>
  <c r="AH12" i="3"/>
  <c r="U11" i="3"/>
  <c r="D12" i="3" s="1"/>
  <c r="Y10" i="3"/>
  <c r="E12" i="3" l="1"/>
  <c r="H12" i="3" s="1"/>
  <c r="K12" i="3" s="1"/>
  <c r="AA40" i="3"/>
  <c r="AC40" i="3"/>
  <c r="AD40" i="3"/>
  <c r="P40" i="3"/>
  <c r="Q40" i="3" s="1"/>
  <c r="R40" i="3" s="1"/>
  <c r="Z40" i="3"/>
  <c r="A41" i="3"/>
  <c r="B41" i="3" s="1"/>
  <c r="G12" i="3"/>
  <c r="S38" i="3"/>
  <c r="T37" i="3"/>
  <c r="F12" i="3" l="1"/>
  <c r="A42" i="3"/>
  <c r="B42" i="3" s="1"/>
  <c r="Z41" i="3"/>
  <c r="AC41" i="3"/>
  <c r="AA41" i="3"/>
  <c r="AD41" i="3"/>
  <c r="P41" i="3"/>
  <c r="Q41" i="3" s="1"/>
  <c r="R41" i="3" s="1"/>
  <c r="T38" i="3"/>
  <c r="S39" i="3"/>
  <c r="V12" i="3"/>
  <c r="AE12" i="3"/>
  <c r="I12" i="3"/>
  <c r="J12" i="3"/>
  <c r="M12" i="3"/>
  <c r="N12" i="3" s="1"/>
  <c r="T39" i="3" l="1"/>
  <c r="S40" i="3"/>
  <c r="W12" i="3"/>
  <c r="AD42" i="3"/>
  <c r="AC42" i="3"/>
  <c r="A43" i="3"/>
  <c r="B43" i="3" s="1"/>
  <c r="P42" i="3"/>
  <c r="Q42" i="3" s="1"/>
  <c r="R42" i="3" s="1"/>
  <c r="Z42" i="3"/>
  <c r="AA42" i="3"/>
  <c r="L12" i="3"/>
  <c r="AD43" i="3" l="1"/>
  <c r="P43" i="3"/>
  <c r="Q43" i="3" s="1"/>
  <c r="R43" i="3" s="1"/>
  <c r="AC43" i="3"/>
  <c r="Z43" i="3"/>
  <c r="A44" i="3"/>
  <c r="B44" i="3" s="1"/>
  <c r="AA43" i="3"/>
  <c r="AH13" i="3"/>
  <c r="U12" i="3"/>
  <c r="D13" i="3" s="1"/>
  <c r="AG13" i="3"/>
  <c r="Y11" i="3"/>
  <c r="T40" i="3"/>
  <c r="S41" i="3"/>
  <c r="E13" i="3" l="1"/>
  <c r="H13" i="3" s="1"/>
  <c r="K13" i="3" s="1"/>
  <c r="G13" i="3"/>
  <c r="A45" i="3"/>
  <c r="B45" i="3" s="1"/>
  <c r="AC44" i="3"/>
  <c r="AD44" i="3"/>
  <c r="AA44" i="3"/>
  <c r="P44" i="3"/>
  <c r="Q44" i="3" s="1"/>
  <c r="R44" i="3" s="1"/>
  <c r="Z44" i="3"/>
  <c r="S42" i="3"/>
  <c r="T41" i="3"/>
  <c r="F13" i="3" l="1"/>
  <c r="V13" i="3"/>
  <c r="AE13" i="3"/>
  <c r="I13" i="3"/>
  <c r="J13" i="3"/>
  <c r="M13" i="3"/>
  <c r="N13" i="3" s="1"/>
  <c r="T42" i="3"/>
  <c r="S43" i="3"/>
  <c r="AA45" i="3"/>
  <c r="A46" i="3"/>
  <c r="B46" i="3" s="1"/>
  <c r="Z45" i="3"/>
  <c r="AC45" i="3"/>
  <c r="P45" i="3"/>
  <c r="Q45" i="3" s="1"/>
  <c r="R45" i="3" s="1"/>
  <c r="AD45" i="3"/>
  <c r="AD46" i="3" l="1"/>
  <c r="P46" i="3"/>
  <c r="Q46" i="3" s="1"/>
  <c r="R46" i="3" s="1"/>
  <c r="AC46" i="3"/>
  <c r="AA46" i="3"/>
  <c r="A47" i="3"/>
  <c r="B47" i="3" s="1"/>
  <c r="Z46" i="3"/>
  <c r="T43" i="3"/>
  <c r="S44" i="3"/>
  <c r="W13" i="3"/>
  <c r="L13" i="3"/>
  <c r="AD47" i="3" l="1"/>
  <c r="P47" i="3"/>
  <c r="Q47" i="3" s="1"/>
  <c r="R47" i="3" s="1"/>
  <c r="A48" i="3"/>
  <c r="B48" i="3" s="1"/>
  <c r="Z47" i="3"/>
  <c r="AA47" i="3"/>
  <c r="AC47" i="3"/>
  <c r="U13" i="3"/>
  <c r="E14" i="3" s="1"/>
  <c r="H14" i="3" s="1"/>
  <c r="AH14" i="3"/>
  <c r="AG14" i="3"/>
  <c r="Y12" i="3"/>
  <c r="T44" i="3"/>
  <c r="S45" i="3"/>
  <c r="D14" i="3" l="1"/>
  <c r="F14" i="3" s="1"/>
  <c r="P48" i="3"/>
  <c r="Q48" i="3" s="1"/>
  <c r="R48" i="3" s="1"/>
  <c r="AA48" i="3"/>
  <c r="AD48" i="3"/>
  <c r="AC48" i="3"/>
  <c r="A49" i="3"/>
  <c r="B49" i="3" s="1"/>
  <c r="Z48" i="3"/>
  <c r="K14" i="3"/>
  <c r="S46" i="3"/>
  <c r="T45" i="3"/>
  <c r="G14" i="3" l="1"/>
  <c r="M14" i="3" s="1"/>
  <c r="N14" i="3" s="1"/>
  <c r="AC49" i="3"/>
  <c r="AD49" i="3"/>
  <c r="P49" i="3"/>
  <c r="Q49" i="3" s="1"/>
  <c r="R49" i="3" s="1"/>
  <c r="AA49" i="3"/>
  <c r="Z49" i="3"/>
  <c r="A50" i="3"/>
  <c r="B50" i="3" s="1"/>
  <c r="S47" i="3"/>
  <c r="T46" i="3"/>
  <c r="V14" i="3"/>
  <c r="AE14" i="3"/>
  <c r="J14" i="3" l="1"/>
  <c r="L14" i="3" s="1"/>
  <c r="I14" i="3"/>
  <c r="W14" i="3" s="1"/>
  <c r="P50" i="3"/>
  <c r="Q50" i="3" s="1"/>
  <c r="R50" i="3" s="1"/>
  <c r="A51" i="3"/>
  <c r="B51" i="3" s="1"/>
  <c r="AC50" i="3"/>
  <c r="Z50" i="3"/>
  <c r="AA50" i="3"/>
  <c r="AD50" i="3"/>
  <c r="T47" i="3"/>
  <c r="S48" i="3"/>
  <c r="AD51" i="3" l="1"/>
  <c r="AC51" i="3"/>
  <c r="AA51" i="3"/>
  <c r="P51" i="3"/>
  <c r="Q51" i="3" s="1"/>
  <c r="R51" i="3" s="1"/>
  <c r="Z51" i="3"/>
  <c r="A52" i="3"/>
  <c r="B52" i="3" s="1"/>
  <c r="S49" i="3"/>
  <c r="T48" i="3"/>
  <c r="AG15" i="3"/>
  <c r="AH15" i="3"/>
  <c r="U14" i="3"/>
  <c r="D15" i="3" s="1"/>
  <c r="Y13" i="3"/>
  <c r="AD52" i="3" l="1"/>
  <c r="AA52" i="3"/>
  <c r="Z52" i="3"/>
  <c r="AC52" i="3"/>
  <c r="A53" i="3"/>
  <c r="B53" i="3" s="1"/>
  <c r="P52" i="3"/>
  <c r="Q52" i="3" s="1"/>
  <c r="R52" i="3" s="1"/>
  <c r="G15" i="3"/>
  <c r="E15" i="3"/>
  <c r="H15" i="3" s="1"/>
  <c r="S50" i="3"/>
  <c r="T49" i="3"/>
  <c r="AA53" i="3" l="1"/>
  <c r="AC53" i="3"/>
  <c r="AD53" i="3"/>
  <c r="A54" i="3"/>
  <c r="B54" i="3" s="1"/>
  <c r="P53" i="3"/>
  <c r="Q53" i="3" s="1"/>
  <c r="R53" i="3" s="1"/>
  <c r="Z53" i="3"/>
  <c r="T50" i="3"/>
  <c r="S51" i="3"/>
  <c r="I15" i="3"/>
  <c r="J15" i="3"/>
  <c r="M15" i="3"/>
  <c r="N15" i="3" s="1"/>
  <c r="K15" i="3"/>
  <c r="F15" i="3"/>
  <c r="AC54" i="3" l="1"/>
  <c r="A55" i="3"/>
  <c r="B55" i="3" s="1"/>
  <c r="Z54" i="3"/>
  <c r="P54" i="3"/>
  <c r="Q54" i="3" s="1"/>
  <c r="R54" i="3" s="1"/>
  <c r="AA54" i="3"/>
  <c r="AD54" i="3"/>
  <c r="L15" i="3"/>
  <c r="T51" i="3"/>
  <c r="S52" i="3"/>
  <c r="V15" i="3"/>
  <c r="W15" i="3" s="1"/>
  <c r="AE15" i="3"/>
  <c r="Z55" i="3" l="1"/>
  <c r="P55" i="3"/>
  <c r="Q55" i="3" s="1"/>
  <c r="R55" i="3" s="1"/>
  <c r="AD55" i="3"/>
  <c r="A56" i="3"/>
  <c r="B56" i="3" s="1"/>
  <c r="AC55" i="3"/>
  <c r="AA55" i="3"/>
  <c r="S53" i="3"/>
  <c r="T52" i="3"/>
  <c r="U15" i="3"/>
  <c r="D16" i="3" s="1"/>
  <c r="AH16" i="3"/>
  <c r="AG16" i="3"/>
  <c r="Y14" i="3"/>
  <c r="E16" i="3" l="1"/>
  <c r="H16" i="3" s="1"/>
  <c r="K16" i="3" s="1"/>
  <c r="AA56" i="3"/>
  <c r="P56" i="3"/>
  <c r="Q56" i="3" s="1"/>
  <c r="R56" i="3" s="1"/>
  <c r="A57" i="3"/>
  <c r="B57" i="3" s="1"/>
  <c r="Z56" i="3"/>
  <c r="AD56" i="3"/>
  <c r="AC56" i="3"/>
  <c r="G16" i="3"/>
  <c r="S54" i="3"/>
  <c r="T53" i="3"/>
  <c r="F16" i="3" l="1"/>
  <c r="AA57" i="3"/>
  <c r="A58" i="3"/>
  <c r="B58" i="3" s="1"/>
  <c r="AC57" i="3"/>
  <c r="P57" i="3"/>
  <c r="Q57" i="3" s="1"/>
  <c r="R57" i="3" s="1"/>
  <c r="AD57" i="3"/>
  <c r="Z57" i="3"/>
  <c r="V16" i="3"/>
  <c r="AE16" i="3"/>
  <c r="S55" i="3"/>
  <c r="T54" i="3"/>
  <c r="I16" i="3"/>
  <c r="J16" i="3"/>
  <c r="M16" i="3"/>
  <c r="N16" i="3" s="1"/>
  <c r="AD58" i="3" l="1"/>
  <c r="AA58" i="3"/>
  <c r="A59" i="3"/>
  <c r="B59" i="3" s="1"/>
  <c r="P58" i="3"/>
  <c r="Q58" i="3" s="1"/>
  <c r="R58" i="3" s="1"/>
  <c r="AC58" i="3"/>
  <c r="Z58" i="3"/>
  <c r="S56" i="3"/>
  <c r="T55" i="3"/>
  <c r="W16" i="3"/>
  <c r="L16" i="3"/>
  <c r="AH17" i="3" l="1"/>
  <c r="AG17" i="3"/>
  <c r="U16" i="3"/>
  <c r="E17" i="3" s="1"/>
  <c r="H17" i="3" s="1"/>
  <c r="Y15" i="3"/>
  <c r="P59" i="3"/>
  <c r="Q59" i="3" s="1"/>
  <c r="R59" i="3" s="1"/>
  <c r="AA59" i="3"/>
  <c r="Z59" i="3"/>
  <c r="A60" i="3"/>
  <c r="B60" i="3" s="1"/>
  <c r="AC59" i="3"/>
  <c r="AD59" i="3"/>
  <c r="T56" i="3"/>
  <c r="S57" i="3"/>
  <c r="D17" i="3" l="1"/>
  <c r="F17" i="3" s="1"/>
  <c r="AA60" i="3"/>
  <c r="AD60" i="3"/>
  <c r="Z60" i="3"/>
  <c r="AC60" i="3"/>
  <c r="P60" i="3"/>
  <c r="Q60" i="3" s="1"/>
  <c r="R60" i="3" s="1"/>
  <c r="A61" i="3"/>
  <c r="B61" i="3" s="1"/>
  <c r="K17" i="3"/>
  <c r="T57" i="3"/>
  <c r="S58" i="3"/>
  <c r="G17" i="3" l="1"/>
  <c r="I17" i="3" s="1"/>
  <c r="Z61" i="3"/>
  <c r="AA61" i="3"/>
  <c r="P61" i="3"/>
  <c r="Q61" i="3" s="1"/>
  <c r="R61" i="3" s="1"/>
  <c r="AD61" i="3"/>
  <c r="AC61" i="3"/>
  <c r="A62" i="3"/>
  <c r="B62" i="3" s="1"/>
  <c r="T58" i="3"/>
  <c r="S59" i="3"/>
  <c r="V17" i="3"/>
  <c r="AE17" i="3"/>
  <c r="J17" i="3" l="1"/>
  <c r="L17" i="3" s="1"/>
  <c r="M17" i="3"/>
  <c r="N17" i="3" s="1"/>
  <c r="Z62" i="3"/>
  <c r="AC62" i="3"/>
  <c r="AD62" i="3"/>
  <c r="A63" i="3"/>
  <c r="B63" i="3" s="1"/>
  <c r="P62" i="3"/>
  <c r="Q62" i="3" s="1"/>
  <c r="R62" i="3" s="1"/>
  <c r="AA62" i="3"/>
  <c r="W17" i="3"/>
  <c r="S60" i="3"/>
  <c r="T59" i="3"/>
  <c r="A64" i="3" l="1"/>
  <c r="B64" i="3" s="1"/>
  <c r="AD63" i="3"/>
  <c r="AC63" i="3"/>
  <c r="Z63" i="3"/>
  <c r="AA63" i="3"/>
  <c r="P63" i="3"/>
  <c r="Q63" i="3" s="1"/>
  <c r="R63" i="3" s="1"/>
  <c r="AH18" i="3"/>
  <c r="AG18" i="3"/>
  <c r="U17" i="3"/>
  <c r="E18" i="3" s="1"/>
  <c r="H18" i="3" s="1"/>
  <c r="Y16" i="3"/>
  <c r="S61" i="3"/>
  <c r="T60" i="3"/>
  <c r="D18" i="3" l="1"/>
  <c r="G18" i="3" s="1"/>
  <c r="T61" i="3"/>
  <c r="S62" i="3"/>
  <c r="K18" i="3"/>
  <c r="P64" i="3"/>
  <c r="Q64" i="3" s="1"/>
  <c r="R64" i="3" s="1"/>
  <c r="A65" i="3"/>
  <c r="B65" i="3" s="1"/>
  <c r="AA64" i="3"/>
  <c r="Z64" i="3"/>
  <c r="AC64" i="3"/>
  <c r="AD64" i="3"/>
  <c r="F18" i="3" l="1"/>
  <c r="V18" i="3"/>
  <c r="AE18" i="3"/>
  <c r="AC65" i="3"/>
  <c r="Z65" i="3"/>
  <c r="AA65" i="3"/>
  <c r="A66" i="3"/>
  <c r="B66" i="3" s="1"/>
  <c r="P65" i="3"/>
  <c r="Q65" i="3" s="1"/>
  <c r="R65" i="3" s="1"/>
  <c r="AD65" i="3"/>
  <c r="S63" i="3"/>
  <c r="T62" i="3"/>
  <c r="I18" i="3"/>
  <c r="J18" i="3"/>
  <c r="M18" i="3"/>
  <c r="N18" i="3" s="1"/>
  <c r="A67" i="3" l="1"/>
  <c r="B67" i="3" s="1"/>
  <c r="AA66" i="3"/>
  <c r="Z66" i="3"/>
  <c r="AD66" i="3"/>
  <c r="P66" i="3"/>
  <c r="Q66" i="3" s="1"/>
  <c r="R66" i="3" s="1"/>
  <c r="AC66" i="3"/>
  <c r="W18" i="3"/>
  <c r="S64" i="3"/>
  <c r="T63" i="3"/>
  <c r="L18" i="3"/>
  <c r="A68" i="3" l="1"/>
  <c r="B68" i="3" s="1"/>
  <c r="AA67" i="3"/>
  <c r="AD67" i="3"/>
  <c r="AC67" i="3"/>
  <c r="Z67" i="3"/>
  <c r="P67" i="3"/>
  <c r="Q67" i="3" s="1"/>
  <c r="R67" i="3" s="1"/>
  <c r="AG19" i="3"/>
  <c r="U18" i="3"/>
  <c r="D19" i="3" s="1"/>
  <c r="AH19" i="3"/>
  <c r="Y17" i="3"/>
  <c r="T64" i="3"/>
  <c r="S65" i="3"/>
  <c r="E19" i="3" l="1"/>
  <c r="H19" i="3" s="1"/>
  <c r="K19" i="3" s="1"/>
  <c r="Z68" i="3"/>
  <c r="A69" i="3"/>
  <c r="B69" i="3" s="1"/>
  <c r="AC68" i="3"/>
  <c r="AD68" i="3"/>
  <c r="AA68" i="3"/>
  <c r="P68" i="3"/>
  <c r="Q68" i="3" s="1"/>
  <c r="R68" i="3" s="1"/>
  <c r="G19" i="3"/>
  <c r="T65" i="3"/>
  <c r="S66" i="3"/>
  <c r="F19" i="3" l="1"/>
  <c r="S67" i="3"/>
  <c r="T66" i="3"/>
  <c r="I19" i="3"/>
  <c r="J19" i="3"/>
  <c r="M19" i="3"/>
  <c r="N19" i="3" s="1"/>
  <c r="V19" i="3"/>
  <c r="AE19" i="3"/>
  <c r="A70" i="3"/>
  <c r="B70" i="3" s="1"/>
  <c r="AC69" i="3"/>
  <c r="AA69" i="3"/>
  <c r="Z69" i="3"/>
  <c r="P69" i="3"/>
  <c r="Q69" i="3" s="1"/>
  <c r="R69" i="3" s="1"/>
  <c r="AD69" i="3"/>
  <c r="W19" i="3" l="1"/>
  <c r="AA70" i="3"/>
  <c r="A71" i="3"/>
  <c r="B71" i="3" s="1"/>
  <c r="AD70" i="3"/>
  <c r="AC70" i="3"/>
  <c r="P70" i="3"/>
  <c r="Q70" i="3" s="1"/>
  <c r="R70" i="3" s="1"/>
  <c r="Z70" i="3"/>
  <c r="L19" i="3"/>
  <c r="S68" i="3"/>
  <c r="T67" i="3"/>
  <c r="P71" i="3" l="1"/>
  <c r="Q71" i="3" s="1"/>
  <c r="R71" i="3" s="1"/>
  <c r="A72" i="3"/>
  <c r="B72" i="3" s="1"/>
  <c r="Z71" i="3"/>
  <c r="AC71" i="3"/>
  <c r="AD71" i="3"/>
  <c r="AA71" i="3"/>
  <c r="AH20" i="3"/>
  <c r="U19" i="3"/>
  <c r="E20" i="3" s="1"/>
  <c r="H20" i="3" s="1"/>
  <c r="AG20" i="3"/>
  <c r="Y18" i="3"/>
  <c r="S69" i="3"/>
  <c r="T68" i="3"/>
  <c r="K20" i="3" l="1"/>
  <c r="S70" i="3"/>
  <c r="T69" i="3"/>
  <c r="D20" i="3"/>
  <c r="P72" i="3"/>
  <c r="Q72" i="3" s="1"/>
  <c r="R72" i="3" s="1"/>
  <c r="AD72" i="3"/>
  <c r="AC72" i="3"/>
  <c r="Z72" i="3"/>
  <c r="AA72" i="3"/>
  <c r="A73" i="3"/>
  <c r="B73" i="3" s="1"/>
  <c r="Z73" i="3" l="1"/>
  <c r="AD73" i="3"/>
  <c r="AC73" i="3"/>
  <c r="P73" i="3"/>
  <c r="Q73" i="3" s="1"/>
  <c r="R73" i="3" s="1"/>
  <c r="A74" i="3"/>
  <c r="B74" i="3" s="1"/>
  <c r="AA73" i="3"/>
  <c r="F20" i="3"/>
  <c r="G20" i="3"/>
  <c r="T70" i="3"/>
  <c r="S71" i="3"/>
  <c r="V20" i="3"/>
  <c r="AE20" i="3"/>
  <c r="Z74" i="3" l="1"/>
  <c r="AD74" i="3"/>
  <c r="AC74" i="3"/>
  <c r="P74" i="3"/>
  <c r="Q74" i="3" s="1"/>
  <c r="R74" i="3" s="1"/>
  <c r="AA74" i="3"/>
  <c r="A75" i="3"/>
  <c r="B75" i="3" s="1"/>
  <c r="I20" i="3"/>
  <c r="W20" i="3" s="1"/>
  <c r="J20" i="3"/>
  <c r="M20" i="3"/>
  <c r="N20" i="3" s="1"/>
  <c r="T71" i="3"/>
  <c r="S72" i="3"/>
  <c r="AC75" i="3" l="1"/>
  <c r="P75" i="3"/>
  <c r="Q75" i="3" s="1"/>
  <c r="R75" i="3" s="1"/>
  <c r="AD75" i="3"/>
  <c r="Z75" i="3"/>
  <c r="A76" i="3"/>
  <c r="B76" i="3" s="1"/>
  <c r="AA75" i="3"/>
  <c r="S73" i="3"/>
  <c r="T72" i="3"/>
  <c r="L20" i="3"/>
  <c r="A77" i="3" l="1"/>
  <c r="B77" i="3" s="1"/>
  <c r="AD76" i="3"/>
  <c r="AC76" i="3"/>
  <c r="Z76" i="3"/>
  <c r="AA76" i="3"/>
  <c r="P76" i="3"/>
  <c r="Q76" i="3" s="1"/>
  <c r="R76" i="3" s="1"/>
  <c r="AG21" i="3"/>
  <c r="U20" i="3"/>
  <c r="E21" i="3" s="1"/>
  <c r="H21" i="3" s="1"/>
  <c r="AH21" i="3"/>
  <c r="Y19" i="3"/>
  <c r="S74" i="3"/>
  <c r="T73" i="3"/>
  <c r="K21" i="3" l="1"/>
  <c r="AD77" i="3"/>
  <c r="A78" i="3"/>
  <c r="B78" i="3" s="1"/>
  <c r="AC77" i="3"/>
  <c r="AA77" i="3"/>
  <c r="Z77" i="3"/>
  <c r="P77" i="3"/>
  <c r="Q77" i="3" s="1"/>
  <c r="R77" i="3" s="1"/>
  <c r="T74" i="3"/>
  <c r="S75" i="3"/>
  <c r="D21" i="3"/>
  <c r="AD78" i="3" l="1"/>
  <c r="P78" i="3"/>
  <c r="Q78" i="3" s="1"/>
  <c r="R78" i="3" s="1"/>
  <c r="Z78" i="3"/>
  <c r="A79" i="3"/>
  <c r="B79" i="3" s="1"/>
  <c r="AC78" i="3"/>
  <c r="AA78" i="3"/>
  <c r="S76" i="3"/>
  <c r="T75" i="3"/>
  <c r="V21" i="3"/>
  <c r="AE21" i="3"/>
  <c r="F21" i="3"/>
  <c r="G21" i="3"/>
  <c r="I21" i="3" l="1"/>
  <c r="W21" i="3" s="1"/>
  <c r="J21" i="3"/>
  <c r="M21" i="3"/>
  <c r="N21" i="3" s="1"/>
  <c r="P79" i="3"/>
  <c r="Q79" i="3" s="1"/>
  <c r="R79" i="3" s="1"/>
  <c r="A80" i="3"/>
  <c r="B80" i="3" s="1"/>
  <c r="AA79" i="3"/>
  <c r="AD79" i="3"/>
  <c r="Z79" i="3"/>
  <c r="AC79" i="3"/>
  <c r="S77" i="3"/>
  <c r="T76" i="3"/>
  <c r="P80" i="3" l="1"/>
  <c r="Q80" i="3" s="1"/>
  <c r="R80" i="3" s="1"/>
  <c r="AA80" i="3"/>
  <c r="Z80" i="3"/>
  <c r="AC80" i="3"/>
  <c r="A81" i="3"/>
  <c r="B81" i="3" s="1"/>
  <c r="AD80" i="3"/>
  <c r="T77" i="3"/>
  <c r="S78" i="3"/>
  <c r="L21" i="3"/>
  <c r="AC81" i="3" l="1"/>
  <c r="A82" i="3"/>
  <c r="B82" i="3" s="1"/>
  <c r="AA81" i="3"/>
  <c r="P81" i="3"/>
  <c r="Q81" i="3" s="1"/>
  <c r="R81" i="3" s="1"/>
  <c r="Z81" i="3"/>
  <c r="AD81" i="3"/>
  <c r="AG22" i="3"/>
  <c r="U21" i="3"/>
  <c r="D22" i="3" s="1"/>
  <c r="AH22" i="3"/>
  <c r="Y20" i="3"/>
  <c r="T78" i="3"/>
  <c r="S79" i="3"/>
  <c r="E22" i="3" l="1"/>
  <c r="H22" i="3" s="1"/>
  <c r="K22" i="3" s="1"/>
  <c r="G22" i="3"/>
  <c r="S80" i="3"/>
  <c r="T79" i="3"/>
  <c r="Z82" i="3"/>
  <c r="A83" i="3"/>
  <c r="B83" i="3" s="1"/>
  <c r="AD82" i="3"/>
  <c r="P82" i="3"/>
  <c r="Q82" i="3" s="1"/>
  <c r="R82" i="3" s="1"/>
  <c r="AC82" i="3"/>
  <c r="AA82" i="3"/>
  <c r="F22" i="3" l="1"/>
  <c r="V22" i="3"/>
  <c r="AE22" i="3"/>
  <c r="AD83" i="3"/>
  <c r="AC83" i="3"/>
  <c r="P83" i="3"/>
  <c r="Q83" i="3" s="1"/>
  <c r="R83" i="3" s="1"/>
  <c r="Z83" i="3"/>
  <c r="AA83" i="3"/>
  <c r="A84" i="3"/>
  <c r="B84" i="3" s="1"/>
  <c r="T80" i="3"/>
  <c r="S81" i="3"/>
  <c r="I22" i="3"/>
  <c r="J22" i="3"/>
  <c r="M22" i="3"/>
  <c r="N22" i="3" s="1"/>
  <c r="T81" i="3" l="1"/>
  <c r="S82" i="3"/>
  <c r="AA84" i="3"/>
  <c r="AC84" i="3"/>
  <c r="Z84" i="3"/>
  <c r="AD84" i="3"/>
  <c r="P84" i="3"/>
  <c r="Q84" i="3" s="1"/>
  <c r="R84" i="3" s="1"/>
  <c r="A85" i="3"/>
  <c r="B85" i="3" s="1"/>
  <c r="W22" i="3"/>
  <c r="L22" i="3"/>
  <c r="AC85" i="3" l="1"/>
  <c r="AD85" i="3"/>
  <c r="P85" i="3"/>
  <c r="Q85" i="3" s="1"/>
  <c r="R85" i="3" s="1"/>
  <c r="A86" i="3"/>
  <c r="B86" i="3" s="1"/>
  <c r="AA85" i="3"/>
  <c r="Z85" i="3"/>
  <c r="T82" i="3"/>
  <c r="S83" i="3"/>
  <c r="AH23" i="3"/>
  <c r="AG23" i="3"/>
  <c r="U22" i="3"/>
  <c r="E23" i="3" s="1"/>
  <c r="H23" i="3" s="1"/>
  <c r="Y21" i="3"/>
  <c r="D23" i="3" l="1"/>
  <c r="G23" i="3" s="1"/>
  <c r="K23" i="3"/>
  <c r="Z86" i="3"/>
  <c r="P86" i="3"/>
  <c r="Q86" i="3" s="1"/>
  <c r="R86" i="3" s="1"/>
  <c r="AA86" i="3"/>
  <c r="A87" i="3"/>
  <c r="B87" i="3" s="1"/>
  <c r="AC86" i="3"/>
  <c r="AD86" i="3"/>
  <c r="S84" i="3"/>
  <c r="T83" i="3"/>
  <c r="F23" i="3" l="1"/>
  <c r="AD87" i="3"/>
  <c r="P87" i="3"/>
  <c r="Q87" i="3" s="1"/>
  <c r="R87" i="3" s="1"/>
  <c r="AA87" i="3"/>
  <c r="Z87" i="3"/>
  <c r="A88" i="3"/>
  <c r="B88" i="3" s="1"/>
  <c r="AC87" i="3"/>
  <c r="S85" i="3"/>
  <c r="T84" i="3"/>
  <c r="V23" i="3"/>
  <c r="AE23" i="3"/>
  <c r="I23" i="3"/>
  <c r="J23" i="3"/>
  <c r="M23" i="3"/>
  <c r="N23" i="3" s="1"/>
  <c r="P88" i="3" l="1"/>
  <c r="Q88" i="3" s="1"/>
  <c r="R88" i="3" s="1"/>
  <c r="AC88" i="3"/>
  <c r="A89" i="3"/>
  <c r="B89" i="3" s="1"/>
  <c r="Z88" i="3"/>
  <c r="AD88" i="3"/>
  <c r="AA88" i="3"/>
  <c r="W23" i="3"/>
  <c r="L23" i="3"/>
  <c r="T85" i="3"/>
  <c r="S86" i="3"/>
  <c r="U23" i="3" l="1"/>
  <c r="E24" i="3" s="1"/>
  <c r="H24" i="3" s="1"/>
  <c r="AG24" i="3"/>
  <c r="AH24" i="3"/>
  <c r="Y22" i="3"/>
  <c r="T86" i="3"/>
  <c r="S87" i="3"/>
  <c r="Z89" i="3"/>
  <c r="AA89" i="3"/>
  <c r="AD89" i="3"/>
  <c r="AC89" i="3"/>
  <c r="A90" i="3"/>
  <c r="B90" i="3" s="1"/>
  <c r="P89" i="3"/>
  <c r="Q89" i="3" s="1"/>
  <c r="R89" i="3" s="1"/>
  <c r="D24" i="3" l="1"/>
  <c r="G24" i="3" s="1"/>
  <c r="AC90" i="3"/>
  <c r="AA90" i="3"/>
  <c r="Z90" i="3"/>
  <c r="AD90" i="3"/>
  <c r="A91" i="3"/>
  <c r="B91" i="3" s="1"/>
  <c r="P90" i="3"/>
  <c r="Q90" i="3" s="1"/>
  <c r="R90" i="3" s="1"/>
  <c r="K24" i="3"/>
  <c r="T87" i="3"/>
  <c r="S88" i="3"/>
  <c r="F24" i="3" l="1"/>
  <c r="P91" i="3"/>
  <c r="Q91" i="3" s="1"/>
  <c r="R91" i="3" s="1"/>
  <c r="AD91" i="3"/>
  <c r="AA91" i="3"/>
  <c r="A92" i="3"/>
  <c r="B92" i="3" s="1"/>
  <c r="AC91" i="3"/>
  <c r="Z91" i="3"/>
  <c r="T88" i="3"/>
  <c r="S89" i="3"/>
  <c r="I24" i="3"/>
  <c r="J24" i="3"/>
  <c r="M24" i="3"/>
  <c r="N24" i="3" s="1"/>
  <c r="V24" i="3"/>
  <c r="AE24" i="3"/>
  <c r="W24" i="3" l="1"/>
  <c r="P92" i="3"/>
  <c r="Q92" i="3" s="1"/>
  <c r="R92" i="3" s="1"/>
  <c r="A93" i="3"/>
  <c r="B93" i="3" s="1"/>
  <c r="AC92" i="3"/>
  <c r="Z92" i="3"/>
  <c r="AA92" i="3"/>
  <c r="AD92" i="3"/>
  <c r="L24" i="3"/>
  <c r="S90" i="3"/>
  <c r="T89" i="3"/>
  <c r="A94" i="3" l="1"/>
  <c r="B94" i="3" s="1"/>
  <c r="AD93" i="3"/>
  <c r="Z93" i="3"/>
  <c r="AC93" i="3"/>
  <c r="P93" i="3"/>
  <c r="Q93" i="3" s="1"/>
  <c r="R93" i="3" s="1"/>
  <c r="AA93" i="3"/>
  <c r="AH25" i="3"/>
  <c r="U24" i="3"/>
  <c r="D25" i="3" s="1"/>
  <c r="AG25" i="3"/>
  <c r="Y23" i="3"/>
  <c r="S91" i="3"/>
  <c r="T90" i="3"/>
  <c r="E25" i="3" l="1"/>
  <c r="H25" i="3" s="1"/>
  <c r="K25" i="3" s="1"/>
  <c r="P94" i="3"/>
  <c r="Q94" i="3" s="1"/>
  <c r="R94" i="3" s="1"/>
  <c r="AC94" i="3"/>
  <c r="Z94" i="3"/>
  <c r="A95" i="3"/>
  <c r="B95" i="3" s="1"/>
  <c r="AA94" i="3"/>
  <c r="AD94" i="3"/>
  <c r="T91" i="3"/>
  <c r="S92" i="3"/>
  <c r="G25" i="3"/>
  <c r="F25" i="3" l="1"/>
  <c r="P95" i="3"/>
  <c r="Q95" i="3" s="1"/>
  <c r="R95" i="3" s="1"/>
  <c r="AA95" i="3"/>
  <c r="Z95" i="3"/>
  <c r="AC95" i="3"/>
  <c r="AD95" i="3"/>
  <c r="A96" i="3"/>
  <c r="B96" i="3" s="1"/>
  <c r="V25" i="3"/>
  <c r="AE25" i="3"/>
  <c r="I25" i="3"/>
  <c r="J25" i="3"/>
  <c r="M25" i="3"/>
  <c r="N25" i="3" s="1"/>
  <c r="S93" i="3"/>
  <c r="T92" i="3"/>
  <c r="A97" i="3" l="1"/>
  <c r="B97" i="3" s="1"/>
  <c r="P96" i="3"/>
  <c r="Q96" i="3" s="1"/>
  <c r="R96" i="3" s="1"/>
  <c r="AD96" i="3"/>
  <c r="Z96" i="3"/>
  <c r="AC96" i="3"/>
  <c r="AA96" i="3"/>
  <c r="L25" i="3"/>
  <c r="W25" i="3"/>
  <c r="T93" i="3"/>
  <c r="S94" i="3"/>
  <c r="Z97" i="3" l="1"/>
  <c r="AC97" i="3"/>
  <c r="AD97" i="3"/>
  <c r="AA97" i="3"/>
  <c r="A98" i="3"/>
  <c r="B98" i="3" s="1"/>
  <c r="P97" i="3"/>
  <c r="Q97" i="3" s="1"/>
  <c r="R97" i="3" s="1"/>
  <c r="AH26" i="3"/>
  <c r="AG26" i="3"/>
  <c r="U25" i="3"/>
  <c r="E26" i="3" s="1"/>
  <c r="H26" i="3" s="1"/>
  <c r="Y24" i="3"/>
  <c r="T94" i="3"/>
  <c r="S95" i="3"/>
  <c r="D26" i="3" l="1"/>
  <c r="G26" i="3" s="1"/>
  <c r="AA98" i="3"/>
  <c r="AD98" i="3"/>
  <c r="P98" i="3"/>
  <c r="Q98" i="3" s="1"/>
  <c r="R98" i="3" s="1"/>
  <c r="A99" i="3"/>
  <c r="B99" i="3" s="1"/>
  <c r="Z98" i="3"/>
  <c r="AC98" i="3"/>
  <c r="K26" i="3"/>
  <c r="S96" i="3"/>
  <c r="T95" i="3"/>
  <c r="F26" i="3" l="1"/>
  <c r="Z99" i="3"/>
  <c r="A100" i="3"/>
  <c r="B100" i="3" s="1"/>
  <c r="P99" i="3"/>
  <c r="Q99" i="3" s="1"/>
  <c r="R99" i="3" s="1"/>
  <c r="AC99" i="3"/>
  <c r="AA99" i="3"/>
  <c r="AD99" i="3"/>
  <c r="I26" i="3"/>
  <c r="J26" i="3"/>
  <c r="M26" i="3"/>
  <c r="N26" i="3" s="1"/>
  <c r="T96" i="3"/>
  <c r="S97" i="3"/>
  <c r="V26" i="3"/>
  <c r="AE26" i="3"/>
  <c r="W26" i="3" l="1"/>
  <c r="AC100" i="3"/>
  <c r="AA100" i="3"/>
  <c r="Z100" i="3"/>
  <c r="AD100" i="3"/>
  <c r="P100" i="3"/>
  <c r="Q100" i="3" s="1"/>
  <c r="R100" i="3" s="1"/>
  <c r="A101" i="3"/>
  <c r="B101" i="3" s="1"/>
  <c r="S98" i="3"/>
  <c r="T97" i="3"/>
  <c r="L26" i="3"/>
  <c r="AC101" i="3" l="1"/>
  <c r="Z101" i="3"/>
  <c r="P101" i="3"/>
  <c r="Q101" i="3" s="1"/>
  <c r="R101" i="3" s="1"/>
  <c r="A102" i="3"/>
  <c r="B102" i="3" s="1"/>
  <c r="AA101" i="3"/>
  <c r="AD101" i="3"/>
  <c r="AG27" i="3"/>
  <c r="AH27" i="3"/>
  <c r="U26" i="3"/>
  <c r="D27" i="3" s="1"/>
  <c r="Y25" i="3"/>
  <c r="T98" i="3"/>
  <c r="S99" i="3"/>
  <c r="E27" i="3" l="1"/>
  <c r="H27" i="3" s="1"/>
  <c r="K27" i="3" s="1"/>
  <c r="AD102" i="3"/>
  <c r="P102" i="3"/>
  <c r="Q102" i="3" s="1"/>
  <c r="R102" i="3" s="1"/>
  <c r="A103" i="3"/>
  <c r="B103" i="3" s="1"/>
  <c r="Z102" i="3"/>
  <c r="AC102" i="3"/>
  <c r="AA102" i="3"/>
  <c r="G27" i="3"/>
  <c r="S100" i="3"/>
  <c r="T99" i="3"/>
  <c r="F27" i="3" l="1"/>
  <c r="T100" i="3"/>
  <c r="S101" i="3"/>
  <c r="AD103" i="3"/>
  <c r="A104" i="3"/>
  <c r="B104" i="3" s="1"/>
  <c r="Z103" i="3"/>
  <c r="P103" i="3"/>
  <c r="Q103" i="3" s="1"/>
  <c r="R103" i="3" s="1"/>
  <c r="AA103" i="3"/>
  <c r="AC103" i="3"/>
  <c r="I27" i="3"/>
  <c r="J27" i="3"/>
  <c r="M27" i="3"/>
  <c r="N27" i="3" s="1"/>
  <c r="V27" i="3"/>
  <c r="AE27" i="3"/>
  <c r="W27" i="3" l="1"/>
  <c r="AA104" i="3"/>
  <c r="P104" i="3"/>
  <c r="Q104" i="3" s="1"/>
  <c r="R104" i="3" s="1"/>
  <c r="A105" i="3"/>
  <c r="B105" i="3" s="1"/>
  <c r="Z104" i="3"/>
  <c r="AC104" i="3"/>
  <c r="L27" i="3"/>
  <c r="S102" i="3"/>
  <c r="T101" i="3"/>
  <c r="A106" i="3" l="1"/>
  <c r="B106" i="3" s="1"/>
  <c r="AC105" i="3"/>
  <c r="Z105" i="3"/>
  <c r="P105" i="3"/>
  <c r="Q105" i="3" s="1"/>
  <c r="R105" i="3" s="1"/>
  <c r="AD105" i="3"/>
  <c r="AA105" i="3"/>
  <c r="S103" i="3"/>
  <c r="T102" i="3"/>
  <c r="U27" i="3"/>
  <c r="E28" i="3" s="1"/>
  <c r="H28" i="3" s="1"/>
  <c r="AG28" i="3"/>
  <c r="AH28" i="3"/>
  <c r="Y26" i="3"/>
  <c r="D28" i="3" l="1"/>
  <c r="F28" i="3" s="1"/>
  <c r="AA106" i="3"/>
  <c r="AC106" i="3"/>
  <c r="P106" i="3"/>
  <c r="Q106" i="3" s="1"/>
  <c r="R106" i="3" s="1"/>
  <c r="A107" i="3"/>
  <c r="B107" i="3" s="1"/>
  <c r="AD106" i="3"/>
  <c r="Z106" i="3"/>
  <c r="K28" i="3"/>
  <c r="S104" i="3"/>
  <c r="T103" i="3"/>
  <c r="G28" i="3" l="1"/>
  <c r="M28" i="3" s="1"/>
  <c r="N28" i="3" s="1"/>
  <c r="AD107" i="3"/>
  <c r="AC107" i="3"/>
  <c r="P107" i="3"/>
  <c r="Q107" i="3" s="1"/>
  <c r="R107" i="3" s="1"/>
  <c r="Z107" i="3"/>
  <c r="AA107" i="3"/>
  <c r="A108" i="3"/>
  <c r="B108" i="3" s="1"/>
  <c r="T104" i="3"/>
  <c r="S105" i="3"/>
  <c r="V28" i="3"/>
  <c r="AE28" i="3"/>
  <c r="J28" i="3" l="1"/>
  <c r="L28" i="3" s="1"/>
  <c r="I28" i="3"/>
  <c r="W28" i="3" s="1"/>
  <c r="S106" i="3"/>
  <c r="T105" i="3"/>
  <c r="Z108" i="3"/>
  <c r="AC108" i="3"/>
  <c r="P108" i="3"/>
  <c r="Q108" i="3" s="1"/>
  <c r="R108" i="3" s="1"/>
  <c r="AA108" i="3"/>
  <c r="A109" i="3"/>
  <c r="B109" i="3" s="1"/>
  <c r="AD108" i="3"/>
  <c r="A110" i="3" l="1"/>
  <c r="B110" i="3" s="1"/>
  <c r="AD109" i="3"/>
  <c r="AA109" i="3"/>
  <c r="P109" i="3"/>
  <c r="Q109" i="3" s="1"/>
  <c r="R109" i="3" s="1"/>
  <c r="Z109" i="3"/>
  <c r="AC109" i="3"/>
  <c r="U28" i="3"/>
  <c r="E29" i="3" s="1"/>
  <c r="H29" i="3" s="1"/>
  <c r="AG29" i="3"/>
  <c r="AH29" i="3"/>
  <c r="Y27" i="3"/>
  <c r="T106" i="3"/>
  <c r="S107" i="3"/>
  <c r="D29" i="3" l="1"/>
  <c r="F29" i="3" s="1"/>
  <c r="K29" i="3"/>
  <c r="AA110" i="3"/>
  <c r="AC110" i="3"/>
  <c r="A111" i="3"/>
  <c r="B111" i="3" s="1"/>
  <c r="P110" i="3"/>
  <c r="Q110" i="3" s="1"/>
  <c r="R110" i="3" s="1"/>
  <c r="AD110" i="3"/>
  <c r="Z110" i="3"/>
  <c r="T107" i="3"/>
  <c r="S108" i="3"/>
  <c r="G29" i="3" l="1"/>
  <c r="I29" i="3" s="1"/>
  <c r="AD111" i="3"/>
  <c r="Z111" i="3"/>
  <c r="A112" i="3"/>
  <c r="B112" i="3" s="1"/>
  <c r="AC111" i="3"/>
  <c r="P111" i="3"/>
  <c r="Q111" i="3" s="1"/>
  <c r="R111" i="3" s="1"/>
  <c r="AA111" i="3"/>
  <c r="V29" i="3"/>
  <c r="AE29" i="3"/>
  <c r="S109" i="3"/>
  <c r="T108" i="3"/>
  <c r="M29" i="3" l="1"/>
  <c r="N29" i="3" s="1"/>
  <c r="J29" i="3"/>
  <c r="L29" i="3" s="1"/>
  <c r="AC112" i="3"/>
  <c r="AA112" i="3"/>
  <c r="AD112" i="3"/>
  <c r="Z112" i="3"/>
  <c r="P112" i="3"/>
  <c r="Q112" i="3" s="1"/>
  <c r="R112" i="3" s="1"/>
  <c r="A113" i="3"/>
  <c r="B113" i="3" s="1"/>
  <c r="S110" i="3"/>
  <c r="T109" i="3"/>
  <c r="W29" i="3"/>
  <c r="P113" i="3" l="1"/>
  <c r="Q113" i="3" s="1"/>
  <c r="R113" i="3" s="1"/>
  <c r="AA113" i="3"/>
  <c r="A114" i="3"/>
  <c r="B114" i="3" s="1"/>
  <c r="AD113" i="3"/>
  <c r="AC113" i="3"/>
  <c r="Z113" i="3"/>
  <c r="S111" i="3"/>
  <c r="T110" i="3"/>
  <c r="AG30" i="3"/>
  <c r="AH30" i="3"/>
  <c r="U29" i="3"/>
  <c r="D30" i="3" s="1"/>
  <c r="Y28" i="3"/>
  <c r="E30" i="3" l="1"/>
  <c r="H30" i="3" s="1"/>
  <c r="K30" i="3" s="1"/>
  <c r="G30" i="3"/>
  <c r="P114" i="3"/>
  <c r="Q114" i="3" s="1"/>
  <c r="R114" i="3" s="1"/>
  <c r="AD114" i="3"/>
  <c r="AA114" i="3"/>
  <c r="Z114" i="3"/>
  <c r="AC114" i="3"/>
  <c r="A115" i="3"/>
  <c r="B115" i="3" s="1"/>
  <c r="S112" i="3"/>
  <c r="T111" i="3"/>
  <c r="F30" i="3" l="1"/>
  <c r="AC115" i="3"/>
  <c r="AA115" i="3"/>
  <c r="AD115" i="3"/>
  <c r="P115" i="3"/>
  <c r="Q115" i="3" s="1"/>
  <c r="R115" i="3" s="1"/>
  <c r="Z115" i="3"/>
  <c r="A116" i="3"/>
  <c r="B116" i="3" s="1"/>
  <c r="T112" i="3"/>
  <c r="S113" i="3"/>
  <c r="V30" i="3"/>
  <c r="AE30" i="3"/>
  <c r="I30" i="3"/>
  <c r="J30" i="3"/>
  <c r="M30" i="3"/>
  <c r="N30" i="3" s="1"/>
  <c r="AA116" i="3" l="1"/>
  <c r="A117" i="3"/>
  <c r="B117" i="3" s="1"/>
  <c r="Z116" i="3"/>
  <c r="P116" i="3"/>
  <c r="Q116" i="3" s="1"/>
  <c r="R116" i="3" s="1"/>
  <c r="AC116" i="3"/>
  <c r="AD116" i="3"/>
  <c r="T113" i="3"/>
  <c r="S114" i="3"/>
  <c r="W30" i="3"/>
  <c r="L30" i="3"/>
  <c r="T114" i="3" l="1"/>
  <c r="S115" i="3"/>
  <c r="AH31" i="3"/>
  <c r="U30" i="3"/>
  <c r="D31" i="3" s="1"/>
  <c r="AG31" i="3"/>
  <c r="Y29" i="3"/>
  <c r="AC117" i="3"/>
  <c r="Z117" i="3"/>
  <c r="P117" i="3"/>
  <c r="Q117" i="3" s="1"/>
  <c r="R117" i="3" s="1"/>
  <c r="AD117" i="3"/>
  <c r="AA117" i="3"/>
  <c r="A118" i="3"/>
  <c r="B118" i="3" s="1"/>
  <c r="E31" i="3" l="1"/>
  <c r="H31" i="3" s="1"/>
  <c r="K31" i="3" s="1"/>
  <c r="AC118" i="3"/>
  <c r="Z118" i="3"/>
  <c r="AA118" i="3"/>
  <c r="AD118" i="3"/>
  <c r="A119" i="3"/>
  <c r="B119" i="3" s="1"/>
  <c r="P118" i="3"/>
  <c r="Q118" i="3" s="1"/>
  <c r="R118" i="3" s="1"/>
  <c r="G31" i="3"/>
  <c r="S116" i="3"/>
  <c r="T115" i="3"/>
  <c r="F31" i="3" l="1"/>
  <c r="A120" i="3"/>
  <c r="B120" i="3" s="1"/>
  <c r="AD119" i="3"/>
  <c r="AA119" i="3"/>
  <c r="AC119" i="3"/>
  <c r="Z119" i="3"/>
  <c r="P119" i="3"/>
  <c r="Q119" i="3" s="1"/>
  <c r="R119" i="3" s="1"/>
  <c r="S117" i="3"/>
  <c r="T116" i="3"/>
  <c r="V31" i="3"/>
  <c r="AE31" i="3"/>
  <c r="I31" i="3"/>
  <c r="J31" i="3"/>
  <c r="M31" i="3"/>
  <c r="N31" i="3" s="1"/>
  <c r="W31" i="3" l="1"/>
  <c r="AD120" i="3"/>
  <c r="A121" i="3"/>
  <c r="B121" i="3" s="1"/>
  <c r="AC120" i="3"/>
  <c r="P120" i="3"/>
  <c r="Q120" i="3" s="1"/>
  <c r="R120" i="3" s="1"/>
  <c r="AA120" i="3"/>
  <c r="Z120" i="3"/>
  <c r="L31" i="3"/>
  <c r="T117" i="3"/>
  <c r="S118" i="3"/>
  <c r="AH32" i="3" l="1"/>
  <c r="U31" i="3"/>
  <c r="D32" i="3" s="1"/>
  <c r="AG32" i="3"/>
  <c r="Y30" i="3"/>
  <c r="T118" i="3"/>
  <c r="S119" i="3"/>
  <c r="Z121" i="3"/>
  <c r="AD121" i="3"/>
  <c r="AA121" i="3"/>
  <c r="A122" i="3"/>
  <c r="B122" i="3" s="1"/>
  <c r="P121" i="3"/>
  <c r="Q121" i="3" s="1"/>
  <c r="R121" i="3" s="1"/>
  <c r="AC121" i="3"/>
  <c r="E32" i="3" l="1"/>
  <c r="H32" i="3" s="1"/>
  <c r="K32" i="3" s="1"/>
  <c r="G32" i="3"/>
  <c r="AC122" i="3"/>
  <c r="AD122" i="3"/>
  <c r="A123" i="3"/>
  <c r="B123" i="3" s="1"/>
  <c r="Z122" i="3"/>
  <c r="AA122" i="3"/>
  <c r="P122" i="3"/>
  <c r="Q122" i="3" s="1"/>
  <c r="R122" i="3" s="1"/>
  <c r="T119" i="3"/>
  <c r="S120" i="3"/>
  <c r="F32" i="3" l="1"/>
  <c r="V32" i="3"/>
  <c r="AE32" i="3"/>
  <c r="T120" i="3"/>
  <c r="S121" i="3"/>
  <c r="AC123" i="3"/>
  <c r="P123" i="3"/>
  <c r="Q123" i="3" s="1"/>
  <c r="R123" i="3" s="1"/>
  <c r="AD123" i="3"/>
  <c r="A124" i="3"/>
  <c r="B124" i="3" s="1"/>
  <c r="Z123" i="3"/>
  <c r="AA123" i="3"/>
  <c r="I32" i="3"/>
  <c r="J32" i="3"/>
  <c r="M32" i="3"/>
  <c r="N32" i="3" s="1"/>
  <c r="Z124" i="3" l="1"/>
  <c r="AD124" i="3"/>
  <c r="A125" i="3"/>
  <c r="B125" i="3" s="1"/>
  <c r="AC124" i="3"/>
  <c r="AA124" i="3"/>
  <c r="P124" i="3"/>
  <c r="Q124" i="3" s="1"/>
  <c r="R124" i="3" s="1"/>
  <c r="T121" i="3"/>
  <c r="S122" i="3"/>
  <c r="W32" i="3"/>
  <c r="L32" i="3"/>
  <c r="U32" i="3" l="1"/>
  <c r="E33" i="3" s="1"/>
  <c r="H33" i="3" s="1"/>
  <c r="AH33" i="3"/>
  <c r="AG33" i="3"/>
  <c r="Y31" i="3"/>
  <c r="AC125" i="3"/>
  <c r="Z125" i="3"/>
  <c r="P125" i="3"/>
  <c r="Q125" i="3" s="1"/>
  <c r="R125" i="3" s="1"/>
  <c r="AD125" i="3"/>
  <c r="AA125" i="3"/>
  <c r="A126" i="3"/>
  <c r="B126" i="3" s="1"/>
  <c r="S123" i="3"/>
  <c r="T122" i="3"/>
  <c r="D33" i="3" l="1"/>
  <c r="F33" i="3" s="1"/>
  <c r="Z126" i="3"/>
  <c r="AC126" i="3"/>
  <c r="A127" i="3"/>
  <c r="B127" i="3" s="1"/>
  <c r="P126" i="3"/>
  <c r="Q126" i="3" s="1"/>
  <c r="R126" i="3" s="1"/>
  <c r="AA126" i="3"/>
  <c r="AD126" i="3"/>
  <c r="S124" i="3"/>
  <c r="T123" i="3"/>
  <c r="K33" i="3"/>
  <c r="G33" i="3" l="1"/>
  <c r="I33" i="3" s="1"/>
  <c r="AD127" i="3"/>
  <c r="AC127" i="3"/>
  <c r="Z127" i="3"/>
  <c r="P127" i="3"/>
  <c r="Q127" i="3" s="1"/>
  <c r="R127" i="3" s="1"/>
  <c r="A128" i="3"/>
  <c r="B128" i="3" s="1"/>
  <c r="AA127" i="3"/>
  <c r="V33" i="3"/>
  <c r="AE33" i="3"/>
  <c r="S125" i="3"/>
  <c r="T124" i="3"/>
  <c r="M33" i="3" l="1"/>
  <c r="N33" i="3" s="1"/>
  <c r="J33" i="3"/>
  <c r="L33" i="3" s="1"/>
  <c r="W33" i="3"/>
  <c r="AC128" i="3"/>
  <c r="Z128" i="3"/>
  <c r="AD128" i="3"/>
  <c r="AA128" i="3"/>
  <c r="A129" i="3"/>
  <c r="B129" i="3" s="1"/>
  <c r="P128" i="3"/>
  <c r="Q128" i="3" s="1"/>
  <c r="R128" i="3" s="1"/>
  <c r="T125" i="3"/>
  <c r="S126" i="3"/>
  <c r="AD129" i="3" l="1"/>
  <c r="AA129" i="3"/>
  <c r="P129" i="3"/>
  <c r="Q129" i="3" s="1"/>
  <c r="R129" i="3" s="1"/>
  <c r="A130" i="3"/>
  <c r="B130" i="3" s="1"/>
  <c r="Z129" i="3"/>
  <c r="AC129" i="3"/>
  <c r="T126" i="3"/>
  <c r="S127" i="3"/>
  <c r="AH34" i="3"/>
  <c r="AG34" i="3"/>
  <c r="U33" i="3"/>
  <c r="E34" i="3" s="1"/>
  <c r="H34" i="3" s="1"/>
  <c r="Y32" i="3"/>
  <c r="D34" i="3" l="1"/>
  <c r="F34" i="3" s="1"/>
  <c r="AA130" i="3"/>
  <c r="Z130" i="3"/>
  <c r="A131" i="3"/>
  <c r="B131" i="3" s="1"/>
  <c r="P130" i="3"/>
  <c r="Q130" i="3" s="1"/>
  <c r="R130" i="3" s="1"/>
  <c r="AC130" i="3"/>
  <c r="AD130" i="3"/>
  <c r="K34" i="3"/>
  <c r="T127" i="3"/>
  <c r="S128" i="3"/>
  <c r="G34" i="3" l="1"/>
  <c r="I34" i="3" s="1"/>
  <c r="Z131" i="3"/>
  <c r="P131" i="3"/>
  <c r="Q131" i="3" s="1"/>
  <c r="R131" i="3" s="1"/>
  <c r="AC131" i="3"/>
  <c r="A132" i="3"/>
  <c r="B132" i="3" s="1"/>
  <c r="AD131" i="3"/>
  <c r="AA131" i="3"/>
  <c r="S129" i="3"/>
  <c r="T128" i="3"/>
  <c r="V34" i="3"/>
  <c r="AE34" i="3"/>
  <c r="M34" i="3" l="1"/>
  <c r="N34" i="3" s="1"/>
  <c r="J34" i="3"/>
  <c r="L34" i="3" s="1"/>
  <c r="W34" i="3"/>
  <c r="P132" i="3"/>
  <c r="Q132" i="3" s="1"/>
  <c r="R132" i="3" s="1"/>
  <c r="AD132" i="3"/>
  <c r="AC132" i="3"/>
  <c r="Z132" i="3"/>
  <c r="A133" i="3"/>
  <c r="B133" i="3" s="1"/>
  <c r="AA132" i="3"/>
  <c r="S130" i="3"/>
  <c r="T129" i="3"/>
  <c r="AC133" i="3" l="1"/>
  <c r="AD133" i="3"/>
  <c r="P133" i="3"/>
  <c r="Q133" i="3" s="1"/>
  <c r="R133" i="3" s="1"/>
  <c r="Z133" i="3"/>
  <c r="A134" i="3"/>
  <c r="B134" i="3" s="1"/>
  <c r="AA133" i="3"/>
  <c r="T130" i="3"/>
  <c r="S131" i="3"/>
  <c r="U34" i="3"/>
  <c r="E35" i="3" s="1"/>
  <c r="H35" i="3" s="1"/>
  <c r="AH35" i="3"/>
  <c r="AG35" i="3"/>
  <c r="Y33" i="3"/>
  <c r="D35" i="3" l="1"/>
  <c r="F35" i="3" s="1"/>
  <c r="AA134" i="3"/>
  <c r="AD134" i="3"/>
  <c r="A135" i="3"/>
  <c r="B135" i="3" s="1"/>
  <c r="Z134" i="3"/>
  <c r="AC134" i="3"/>
  <c r="P134" i="3"/>
  <c r="Q134" i="3" s="1"/>
  <c r="R134" i="3" s="1"/>
  <c r="K35" i="3"/>
  <c r="T131" i="3"/>
  <c r="S132" i="3"/>
  <c r="G35" i="3" l="1"/>
  <c r="M35" i="3" s="1"/>
  <c r="N35" i="3" s="1"/>
  <c r="AC135" i="3"/>
  <c r="Z135" i="3"/>
  <c r="P135" i="3"/>
  <c r="Q135" i="3" s="1"/>
  <c r="R135" i="3" s="1"/>
  <c r="AD135" i="3"/>
  <c r="A136" i="3"/>
  <c r="B136" i="3" s="1"/>
  <c r="AA135" i="3"/>
  <c r="T132" i="3"/>
  <c r="S133" i="3"/>
  <c r="V35" i="3"/>
  <c r="AE35" i="3"/>
  <c r="J35" i="3" l="1"/>
  <c r="L35" i="3" s="1"/>
  <c r="I35" i="3"/>
  <c r="W35" i="3" s="1"/>
  <c r="AA136" i="3"/>
  <c r="Z136" i="3"/>
  <c r="P136" i="3"/>
  <c r="Q136" i="3" s="1"/>
  <c r="R136" i="3" s="1"/>
  <c r="AD136" i="3"/>
  <c r="AC136" i="3"/>
  <c r="A137" i="3"/>
  <c r="B137" i="3" s="1"/>
  <c r="T133" i="3"/>
  <c r="S134" i="3"/>
  <c r="AA137" i="3" l="1"/>
  <c r="Z137" i="3"/>
  <c r="AD137" i="3"/>
  <c r="P137" i="3"/>
  <c r="Q137" i="3" s="1"/>
  <c r="R137" i="3" s="1"/>
  <c r="AC137" i="3"/>
  <c r="A138" i="3"/>
  <c r="B138" i="3" s="1"/>
  <c r="T134" i="3"/>
  <c r="S135" i="3"/>
  <c r="AG36" i="3"/>
  <c r="AH36" i="3"/>
  <c r="U35" i="3"/>
  <c r="E36" i="3" s="1"/>
  <c r="H36" i="3" s="1"/>
  <c r="Y34" i="3"/>
  <c r="D36" i="3" l="1"/>
  <c r="F36" i="3" s="1"/>
  <c r="K36" i="3"/>
  <c r="AA138" i="3"/>
  <c r="AC138" i="3"/>
  <c r="AD138" i="3"/>
  <c r="Z138" i="3"/>
  <c r="A139" i="3"/>
  <c r="B139" i="3" s="1"/>
  <c r="P138" i="3"/>
  <c r="Q138" i="3" s="1"/>
  <c r="R138" i="3" s="1"/>
  <c r="S136" i="3"/>
  <c r="T135" i="3"/>
  <c r="G36" i="3" l="1"/>
  <c r="I36" i="3" s="1"/>
  <c r="T136" i="3"/>
  <c r="S137" i="3"/>
  <c r="A140" i="3"/>
  <c r="B140" i="3" s="1"/>
  <c r="P139" i="3"/>
  <c r="Q139" i="3" s="1"/>
  <c r="R139" i="3" s="1"/>
  <c r="AD139" i="3"/>
  <c r="AC139" i="3"/>
  <c r="Z139" i="3"/>
  <c r="AA139" i="3"/>
  <c r="V36" i="3"/>
  <c r="AE36" i="3"/>
  <c r="M36" i="3" l="1"/>
  <c r="N36" i="3" s="1"/>
  <c r="J36" i="3"/>
  <c r="L36" i="3" s="1"/>
  <c r="W36" i="3"/>
  <c r="AC140" i="3"/>
  <c r="P140" i="3"/>
  <c r="Q140" i="3" s="1"/>
  <c r="R140" i="3" s="1"/>
  <c r="AA140" i="3"/>
  <c r="AD140" i="3"/>
  <c r="Z140" i="3"/>
  <c r="A141" i="3"/>
  <c r="B141" i="3" s="1"/>
  <c r="T137" i="3"/>
  <c r="S138" i="3"/>
  <c r="P141" i="3" l="1"/>
  <c r="Q141" i="3" s="1"/>
  <c r="R141" i="3" s="1"/>
  <c r="AD141" i="3"/>
  <c r="AC141" i="3"/>
  <c r="Z141" i="3"/>
  <c r="A142" i="3"/>
  <c r="B142" i="3" s="1"/>
  <c r="AA141" i="3"/>
  <c r="AH37" i="3"/>
  <c r="U36" i="3"/>
  <c r="E37" i="3" s="1"/>
  <c r="H37" i="3" s="1"/>
  <c r="AG37" i="3"/>
  <c r="Y35" i="3"/>
  <c r="T138" i="3"/>
  <c r="S139" i="3"/>
  <c r="D37" i="3" l="1"/>
  <c r="G37" i="3" s="1"/>
  <c r="AC142" i="3"/>
  <c r="AA142" i="3"/>
  <c r="AD142" i="3"/>
  <c r="Z142" i="3"/>
  <c r="P142" i="3"/>
  <c r="Q142" i="3" s="1"/>
  <c r="R142" i="3" s="1"/>
  <c r="A143" i="3"/>
  <c r="B143" i="3" s="1"/>
  <c r="K37" i="3"/>
  <c r="S140" i="3"/>
  <c r="T139" i="3"/>
  <c r="F37" i="3" l="1"/>
  <c r="AD143" i="3"/>
  <c r="AA143" i="3"/>
  <c r="Z143" i="3"/>
  <c r="A144" i="3"/>
  <c r="B144" i="3" s="1"/>
  <c r="P143" i="3"/>
  <c r="Q143" i="3" s="1"/>
  <c r="R143" i="3" s="1"/>
  <c r="AC143" i="3"/>
  <c r="S141" i="3"/>
  <c r="T140" i="3"/>
  <c r="I37" i="3"/>
  <c r="J37" i="3"/>
  <c r="M37" i="3"/>
  <c r="N37" i="3" s="1"/>
  <c r="V37" i="3"/>
  <c r="AE37" i="3"/>
  <c r="W37" i="3" l="1"/>
  <c r="AC144" i="3"/>
  <c r="AD144" i="3"/>
  <c r="P144" i="3"/>
  <c r="Q144" i="3" s="1"/>
  <c r="R144" i="3" s="1"/>
  <c r="Z144" i="3"/>
  <c r="AA144" i="3"/>
  <c r="A145" i="3"/>
  <c r="B145" i="3" s="1"/>
  <c r="L37" i="3"/>
  <c r="S142" i="3"/>
  <c r="T141" i="3"/>
  <c r="A146" i="3" l="1"/>
  <c r="B146" i="3" s="1"/>
  <c r="Z145" i="3"/>
  <c r="AA145" i="3"/>
  <c r="AC145" i="3"/>
  <c r="AD145" i="3"/>
  <c r="P145" i="3"/>
  <c r="Q145" i="3" s="1"/>
  <c r="R145" i="3" s="1"/>
  <c r="S143" i="3"/>
  <c r="T142" i="3"/>
  <c r="AG38" i="3"/>
  <c r="U37" i="3"/>
  <c r="D38" i="3" s="1"/>
  <c r="AH38" i="3"/>
  <c r="Y36" i="3"/>
  <c r="E38" i="3" l="1"/>
  <c r="H38" i="3" s="1"/>
  <c r="K38" i="3" s="1"/>
  <c r="G38" i="3"/>
  <c r="P146" i="3"/>
  <c r="Q146" i="3" s="1"/>
  <c r="R146" i="3" s="1"/>
  <c r="AA146" i="3"/>
  <c r="AC146" i="3"/>
  <c r="Z146" i="3"/>
  <c r="AD146" i="3"/>
  <c r="A147" i="3"/>
  <c r="B147" i="3" s="1"/>
  <c r="T143" i="3"/>
  <c r="S144" i="3"/>
  <c r="F38" i="3" l="1"/>
  <c r="T144" i="3"/>
  <c r="S145" i="3"/>
  <c r="V38" i="3"/>
  <c r="AE38" i="3"/>
  <c r="AD147" i="3"/>
  <c r="AA147" i="3"/>
  <c r="Z147" i="3"/>
  <c r="A148" i="3"/>
  <c r="B148" i="3" s="1"/>
  <c r="P147" i="3"/>
  <c r="Q147" i="3" s="1"/>
  <c r="R147" i="3" s="1"/>
  <c r="AC147" i="3"/>
  <c r="I38" i="3"/>
  <c r="J38" i="3"/>
  <c r="M38" i="3"/>
  <c r="N38" i="3" s="1"/>
  <c r="W38" i="3" l="1"/>
  <c r="P148" i="3"/>
  <c r="Q148" i="3" s="1"/>
  <c r="R148" i="3" s="1"/>
  <c r="AD148" i="3"/>
  <c r="A149" i="3"/>
  <c r="B149" i="3" s="1"/>
  <c r="Z148" i="3"/>
  <c r="AA148" i="3"/>
  <c r="AC148" i="3"/>
  <c r="S146" i="3"/>
  <c r="T145" i="3"/>
  <c r="L38" i="3"/>
  <c r="Z149" i="3" l="1"/>
  <c r="A150" i="3"/>
  <c r="B150" i="3" s="1"/>
  <c r="AD149" i="3"/>
  <c r="AA149" i="3"/>
  <c r="AC149" i="3"/>
  <c r="P149" i="3"/>
  <c r="Q149" i="3" s="1"/>
  <c r="R149" i="3" s="1"/>
  <c r="U38" i="3"/>
  <c r="D39" i="3" s="1"/>
  <c r="AG39" i="3"/>
  <c r="AH39" i="3"/>
  <c r="Y37" i="3"/>
  <c r="T146" i="3"/>
  <c r="S147" i="3"/>
  <c r="E39" i="3" l="1"/>
  <c r="H39" i="3" s="1"/>
  <c r="K39" i="3" s="1"/>
  <c r="P150" i="3"/>
  <c r="Q150" i="3" s="1"/>
  <c r="R150" i="3" s="1"/>
  <c r="AA150" i="3"/>
  <c r="AC150" i="3"/>
  <c r="A151" i="3"/>
  <c r="B151" i="3" s="1"/>
  <c r="AD150" i="3"/>
  <c r="Z150" i="3"/>
  <c r="G39" i="3"/>
  <c r="S148" i="3"/>
  <c r="T147" i="3"/>
  <c r="F39" i="3" l="1"/>
  <c r="P151" i="3"/>
  <c r="Q151" i="3" s="1"/>
  <c r="R151" i="3" s="1"/>
  <c r="AC151" i="3"/>
  <c r="AD151" i="3"/>
  <c r="AA151" i="3"/>
  <c r="Z151" i="3"/>
  <c r="A152" i="3"/>
  <c r="B152" i="3" s="1"/>
  <c r="I39" i="3"/>
  <c r="J39" i="3"/>
  <c r="M39" i="3"/>
  <c r="N39" i="3" s="1"/>
  <c r="V39" i="3"/>
  <c r="AE39" i="3"/>
  <c r="T148" i="3"/>
  <c r="S149" i="3"/>
  <c r="W39" i="3" l="1"/>
  <c r="P152" i="3"/>
  <c r="Q152" i="3" s="1"/>
  <c r="R152" i="3" s="1"/>
  <c r="AC152" i="3"/>
  <c r="AA152" i="3"/>
  <c r="AD152" i="3"/>
  <c r="A153" i="3"/>
  <c r="B153" i="3" s="1"/>
  <c r="Z152" i="3"/>
  <c r="L39" i="3"/>
  <c r="T149" i="3"/>
  <c r="S150" i="3"/>
  <c r="AC153" i="3" l="1"/>
  <c r="A154" i="3"/>
  <c r="B154" i="3" s="1"/>
  <c r="Z153" i="3"/>
  <c r="AD153" i="3"/>
  <c r="P153" i="3"/>
  <c r="Q153" i="3" s="1"/>
  <c r="R153" i="3" s="1"/>
  <c r="AA153" i="3"/>
  <c r="AH40" i="3"/>
  <c r="AG40" i="3"/>
  <c r="U39" i="3"/>
  <c r="E40" i="3" s="1"/>
  <c r="H40" i="3" s="1"/>
  <c r="Y38" i="3"/>
  <c r="S151" i="3"/>
  <c r="T150" i="3"/>
  <c r="D40" i="3" l="1"/>
  <c r="F40" i="3" s="1"/>
  <c r="K40" i="3"/>
  <c r="S152" i="3"/>
  <c r="T151" i="3"/>
  <c r="AC154" i="3"/>
  <c r="P154" i="3"/>
  <c r="Q154" i="3" s="1"/>
  <c r="R154" i="3" s="1"/>
  <c r="AA154" i="3"/>
  <c r="Z154" i="3"/>
  <c r="A155" i="3"/>
  <c r="B155" i="3" s="1"/>
  <c r="AD154" i="3"/>
  <c r="G40" i="3" l="1"/>
  <c r="M40" i="3" s="1"/>
  <c r="N40" i="3" s="1"/>
  <c r="A156" i="3"/>
  <c r="B156" i="3" s="1"/>
  <c r="AD155" i="3"/>
  <c r="P155" i="3"/>
  <c r="Q155" i="3" s="1"/>
  <c r="R155" i="3" s="1"/>
  <c r="AC155" i="3"/>
  <c r="AA155" i="3"/>
  <c r="Z155" i="3"/>
  <c r="T152" i="3"/>
  <c r="S153" i="3"/>
  <c r="V40" i="3"/>
  <c r="AE40" i="3"/>
  <c r="I40" i="3" l="1"/>
  <c r="W40" i="3" s="1"/>
  <c r="J40" i="3"/>
  <c r="L40" i="3" s="1"/>
  <c r="AC156" i="3"/>
  <c r="P156" i="3"/>
  <c r="Q156" i="3" s="1"/>
  <c r="R156" i="3" s="1"/>
  <c r="AD156" i="3"/>
  <c r="Z156" i="3"/>
  <c r="A157" i="3"/>
  <c r="B157" i="3" s="1"/>
  <c r="AA156" i="3"/>
  <c r="S154" i="3"/>
  <c r="T153" i="3"/>
  <c r="A158" i="3" l="1"/>
  <c r="B158" i="3" s="1"/>
  <c r="P157" i="3"/>
  <c r="Q157" i="3" s="1"/>
  <c r="R157" i="3" s="1"/>
  <c r="AD157" i="3"/>
  <c r="Z157" i="3"/>
  <c r="AC157" i="3"/>
  <c r="AA157" i="3"/>
  <c r="AG41" i="3"/>
  <c r="AH41" i="3"/>
  <c r="U40" i="3"/>
  <c r="D41" i="3" s="1"/>
  <c r="Y39" i="3"/>
  <c r="T154" i="3"/>
  <c r="S155" i="3"/>
  <c r="E41" i="3" l="1"/>
  <c r="H41" i="3" s="1"/>
  <c r="K41" i="3" s="1"/>
  <c r="G41" i="3"/>
  <c r="P158" i="3"/>
  <c r="Q158" i="3" s="1"/>
  <c r="R158" i="3" s="1"/>
  <c r="AD158" i="3"/>
  <c r="A159" i="3"/>
  <c r="B159" i="3" s="1"/>
  <c r="AA158" i="3"/>
  <c r="Z158" i="3"/>
  <c r="AC158" i="3"/>
  <c r="S156" i="3"/>
  <c r="T155" i="3"/>
  <c r="F41" i="3" l="1"/>
  <c r="AD159" i="3"/>
  <c r="Z159" i="3"/>
  <c r="AA159" i="3"/>
  <c r="P159" i="3"/>
  <c r="Q159" i="3" s="1"/>
  <c r="R159" i="3" s="1"/>
  <c r="A160" i="3"/>
  <c r="B160" i="3" s="1"/>
  <c r="AC159" i="3"/>
  <c r="S157" i="3"/>
  <c r="T156" i="3"/>
  <c r="V41" i="3"/>
  <c r="AE41" i="3"/>
  <c r="I41" i="3"/>
  <c r="J41" i="3"/>
  <c r="M41" i="3"/>
  <c r="N41" i="3" s="1"/>
  <c r="A161" i="3" l="1"/>
  <c r="B161" i="3" s="1"/>
  <c r="P160" i="3"/>
  <c r="Q160" i="3" s="1"/>
  <c r="R160" i="3" s="1"/>
  <c r="AA160" i="3"/>
  <c r="AC160" i="3"/>
  <c r="Z160" i="3"/>
  <c r="AD160" i="3"/>
  <c r="W41" i="3"/>
  <c r="L41" i="3"/>
  <c r="S158" i="3"/>
  <c r="T157" i="3"/>
  <c r="A162" i="3" l="1"/>
  <c r="B162" i="3" s="1"/>
  <c r="AA161" i="3"/>
  <c r="Z161" i="3"/>
  <c r="AC161" i="3"/>
  <c r="AD161" i="3"/>
  <c r="P161" i="3"/>
  <c r="Q161" i="3" s="1"/>
  <c r="R161" i="3" s="1"/>
  <c r="T158" i="3"/>
  <c r="S159" i="3"/>
  <c r="AH42" i="3"/>
  <c r="U41" i="3"/>
  <c r="E42" i="3" s="1"/>
  <c r="H42" i="3" s="1"/>
  <c r="AG42" i="3"/>
  <c r="Y40" i="3"/>
  <c r="D42" i="3" l="1"/>
  <c r="F42" i="3" s="1"/>
  <c r="K42" i="3"/>
  <c r="A163" i="3"/>
  <c r="B163" i="3" s="1"/>
  <c r="Z162" i="3"/>
  <c r="AD162" i="3"/>
  <c r="AC162" i="3"/>
  <c r="AA162" i="3"/>
  <c r="P162" i="3"/>
  <c r="Q162" i="3" s="1"/>
  <c r="R162" i="3" s="1"/>
  <c r="S160" i="3"/>
  <c r="T159" i="3"/>
  <c r="G42" i="3" l="1"/>
  <c r="M42" i="3" s="1"/>
  <c r="N42" i="3" s="1"/>
  <c r="T160" i="3"/>
  <c r="S161" i="3"/>
  <c r="P163" i="3"/>
  <c r="Q163" i="3" s="1"/>
  <c r="R163" i="3" s="1"/>
  <c r="AC163" i="3"/>
  <c r="A164" i="3"/>
  <c r="B164" i="3" s="1"/>
  <c r="AA163" i="3"/>
  <c r="AD163" i="3"/>
  <c r="Z163" i="3"/>
  <c r="V42" i="3"/>
  <c r="AE42" i="3"/>
  <c r="J42" i="3" l="1"/>
  <c r="L42" i="3" s="1"/>
  <c r="I42" i="3"/>
  <c r="W42" i="3" s="1"/>
  <c r="AD164" i="3"/>
  <c r="AA164" i="3"/>
  <c r="Z164" i="3"/>
  <c r="A165" i="3"/>
  <c r="B165" i="3" s="1"/>
  <c r="AC164" i="3"/>
  <c r="P164" i="3"/>
  <c r="Q164" i="3" s="1"/>
  <c r="R164" i="3" s="1"/>
  <c r="T161" i="3"/>
  <c r="S162" i="3"/>
  <c r="AD165" i="3" l="1"/>
  <c r="A166" i="3"/>
  <c r="B166" i="3" s="1"/>
  <c r="AA165" i="3"/>
  <c r="AC165" i="3"/>
  <c r="Z165" i="3"/>
  <c r="P165" i="3"/>
  <c r="Q165" i="3" s="1"/>
  <c r="R165" i="3" s="1"/>
  <c r="T162" i="3"/>
  <c r="S163" i="3"/>
  <c r="AG43" i="3"/>
  <c r="AH43" i="3"/>
  <c r="U42" i="3"/>
  <c r="D43" i="3" s="1"/>
  <c r="Y41" i="3"/>
  <c r="E43" i="3" l="1"/>
  <c r="H43" i="3" s="1"/>
  <c r="K43" i="3" s="1"/>
  <c r="AD166" i="3"/>
  <c r="AC166" i="3"/>
  <c r="AA166" i="3"/>
  <c r="Z166" i="3"/>
  <c r="A167" i="3"/>
  <c r="B167" i="3" s="1"/>
  <c r="P166" i="3"/>
  <c r="Q166" i="3" s="1"/>
  <c r="R166" i="3" s="1"/>
  <c r="S164" i="3"/>
  <c r="T163" i="3"/>
  <c r="G43" i="3"/>
  <c r="F43" i="3" l="1"/>
  <c r="AD167" i="3"/>
  <c r="P167" i="3"/>
  <c r="Q167" i="3" s="1"/>
  <c r="R167" i="3" s="1"/>
  <c r="A168" i="3"/>
  <c r="B168" i="3" s="1"/>
  <c r="AA167" i="3"/>
  <c r="AC167" i="3"/>
  <c r="Z167" i="3"/>
  <c r="T164" i="3"/>
  <c r="S165" i="3"/>
  <c r="V43" i="3"/>
  <c r="AE43" i="3"/>
  <c r="I43" i="3"/>
  <c r="J43" i="3"/>
  <c r="M43" i="3"/>
  <c r="N43" i="3" s="1"/>
  <c r="W43" i="3" l="1"/>
  <c r="AD168" i="3"/>
  <c r="AC168" i="3"/>
  <c r="P168" i="3"/>
  <c r="Q168" i="3" s="1"/>
  <c r="R168" i="3" s="1"/>
  <c r="AA168" i="3"/>
  <c r="A169" i="3"/>
  <c r="B169" i="3" s="1"/>
  <c r="Z168" i="3"/>
  <c r="S166" i="3"/>
  <c r="T165" i="3"/>
  <c r="L43" i="3"/>
  <c r="AC169" i="3" l="1"/>
  <c r="P169" i="3"/>
  <c r="Q169" i="3" s="1"/>
  <c r="R169" i="3" s="1"/>
  <c r="AD169" i="3"/>
  <c r="Z169" i="3"/>
  <c r="AA169" i="3"/>
  <c r="A170" i="3"/>
  <c r="B170" i="3" s="1"/>
  <c r="AG44" i="3"/>
  <c r="AH44" i="3"/>
  <c r="U43" i="3"/>
  <c r="D44" i="3" s="1"/>
  <c r="Y42" i="3"/>
  <c r="T166" i="3"/>
  <c r="S167" i="3"/>
  <c r="E44" i="3" l="1"/>
  <c r="H44" i="3" s="1"/>
  <c r="K44" i="3" s="1"/>
  <c r="A171" i="3"/>
  <c r="B171" i="3" s="1"/>
  <c r="P170" i="3"/>
  <c r="Q170" i="3" s="1"/>
  <c r="R170" i="3" s="1"/>
  <c r="AA170" i="3"/>
  <c r="Z170" i="3"/>
  <c r="AD170" i="3"/>
  <c r="AC170" i="3"/>
  <c r="G44" i="3"/>
  <c r="T167" i="3"/>
  <c r="S168" i="3"/>
  <c r="F44" i="3" l="1"/>
  <c r="P171" i="3"/>
  <c r="Q171" i="3" s="1"/>
  <c r="R171" i="3" s="1"/>
  <c r="Z171" i="3"/>
  <c r="AD171" i="3"/>
  <c r="AC171" i="3"/>
  <c r="AA171" i="3"/>
  <c r="A172" i="3"/>
  <c r="B172" i="3" s="1"/>
  <c r="I44" i="3"/>
  <c r="J44" i="3"/>
  <c r="M44" i="3"/>
  <c r="N44" i="3" s="1"/>
  <c r="V44" i="3"/>
  <c r="AE44" i="3"/>
  <c r="T168" i="3"/>
  <c r="S169" i="3"/>
  <c r="W44" i="3" l="1"/>
  <c r="L44" i="3"/>
  <c r="AC172" i="3"/>
  <c r="AD172" i="3"/>
  <c r="Z172" i="3"/>
  <c r="A173" i="3"/>
  <c r="B173" i="3" s="1"/>
  <c r="AA172" i="3"/>
  <c r="P172" i="3"/>
  <c r="Q172" i="3" s="1"/>
  <c r="R172" i="3" s="1"/>
  <c r="S170" i="3"/>
  <c r="T169" i="3"/>
  <c r="AC173" i="3" l="1"/>
  <c r="AA173" i="3"/>
  <c r="A174" i="3"/>
  <c r="B174" i="3" s="1"/>
  <c r="P173" i="3"/>
  <c r="Q173" i="3" s="1"/>
  <c r="R173" i="3" s="1"/>
  <c r="AD173" i="3"/>
  <c r="Z173" i="3"/>
  <c r="S171" i="3"/>
  <c r="T170" i="3"/>
  <c r="U44" i="3"/>
  <c r="D45" i="3" s="1"/>
  <c r="AH45" i="3"/>
  <c r="AG45" i="3"/>
  <c r="Y43" i="3"/>
  <c r="E45" i="3" l="1"/>
  <c r="H45" i="3" s="1"/>
  <c r="K45" i="3" s="1"/>
  <c r="G45" i="3"/>
  <c r="AC174" i="3"/>
  <c r="AD174" i="3"/>
  <c r="AA174" i="3"/>
  <c r="P174" i="3"/>
  <c r="Q174" i="3" s="1"/>
  <c r="R174" i="3" s="1"/>
  <c r="Z174" i="3"/>
  <c r="A175" i="3"/>
  <c r="B175" i="3" s="1"/>
  <c r="S172" i="3"/>
  <c r="T171" i="3"/>
  <c r="F45" i="3" l="1"/>
  <c r="S173" i="3"/>
  <c r="T172" i="3"/>
  <c r="Z175" i="3"/>
  <c r="A176" i="3"/>
  <c r="B176" i="3" s="1"/>
  <c r="P175" i="3"/>
  <c r="Q175" i="3" s="1"/>
  <c r="R175" i="3" s="1"/>
  <c r="AD175" i="3"/>
  <c r="AA175" i="3"/>
  <c r="AC175" i="3"/>
  <c r="V45" i="3"/>
  <c r="AE45" i="3"/>
  <c r="I45" i="3"/>
  <c r="J45" i="3"/>
  <c r="M45" i="3"/>
  <c r="N45" i="3" s="1"/>
  <c r="W45" i="3" l="1"/>
  <c r="A177" i="3"/>
  <c r="B177" i="3" s="1"/>
  <c r="AA176" i="3"/>
  <c r="Z176" i="3"/>
  <c r="AC176" i="3"/>
  <c r="AD176" i="3"/>
  <c r="P176" i="3"/>
  <c r="Q176" i="3" s="1"/>
  <c r="R176" i="3" s="1"/>
  <c r="L45" i="3"/>
  <c r="S174" i="3"/>
  <c r="T173" i="3"/>
  <c r="P177" i="3" l="1"/>
  <c r="Q177" i="3" s="1"/>
  <c r="R177" i="3" s="1"/>
  <c r="A178" i="3"/>
  <c r="B178" i="3" s="1"/>
  <c r="AC177" i="3"/>
  <c r="AA177" i="3"/>
  <c r="AD177" i="3"/>
  <c r="Z177" i="3"/>
  <c r="T174" i="3"/>
  <c r="S175" i="3"/>
  <c r="U45" i="3"/>
  <c r="D46" i="3" s="1"/>
  <c r="AH46" i="3"/>
  <c r="AG46" i="3"/>
  <c r="Y44" i="3"/>
  <c r="E46" i="3" l="1"/>
  <c r="H46" i="3" s="1"/>
  <c r="K46" i="3" s="1"/>
  <c r="AC178" i="3"/>
  <c r="AD178" i="3"/>
  <c r="Z178" i="3"/>
  <c r="P178" i="3"/>
  <c r="Q178" i="3" s="1"/>
  <c r="R178" i="3" s="1"/>
  <c r="A179" i="3"/>
  <c r="B179" i="3" s="1"/>
  <c r="AA178" i="3"/>
  <c r="G46" i="3"/>
  <c r="S176" i="3"/>
  <c r="T175" i="3"/>
  <c r="F46" i="3" l="1"/>
  <c r="AA179" i="3"/>
  <c r="AC179" i="3"/>
  <c r="P179" i="3"/>
  <c r="Q179" i="3" s="1"/>
  <c r="R179" i="3" s="1"/>
  <c r="Z179" i="3"/>
  <c r="A180" i="3"/>
  <c r="B180" i="3" s="1"/>
  <c r="AD179" i="3"/>
  <c r="V46" i="3"/>
  <c r="AE46" i="3"/>
  <c r="T176" i="3"/>
  <c r="S177" i="3"/>
  <c r="I46" i="3"/>
  <c r="J46" i="3"/>
  <c r="M46" i="3"/>
  <c r="N46" i="3" s="1"/>
  <c r="AC180" i="3" l="1"/>
  <c r="A181" i="3"/>
  <c r="B181" i="3" s="1"/>
  <c r="AD180" i="3"/>
  <c r="P180" i="3"/>
  <c r="Q180" i="3" s="1"/>
  <c r="R180" i="3" s="1"/>
  <c r="Z180" i="3"/>
  <c r="AA180" i="3"/>
  <c r="S178" i="3"/>
  <c r="T177" i="3"/>
  <c r="L46" i="3"/>
  <c r="W46" i="3"/>
  <c r="AH47" i="3" l="1"/>
  <c r="U46" i="3"/>
  <c r="E47" i="3" s="1"/>
  <c r="H47" i="3" s="1"/>
  <c r="AG47" i="3"/>
  <c r="Y45" i="3"/>
  <c r="A182" i="3"/>
  <c r="B182" i="3" s="1"/>
  <c r="AD181" i="3"/>
  <c r="AA181" i="3"/>
  <c r="Z181" i="3"/>
  <c r="AC181" i="3"/>
  <c r="P181" i="3"/>
  <c r="Q181" i="3" s="1"/>
  <c r="R181" i="3" s="1"/>
  <c r="T178" i="3"/>
  <c r="S179" i="3"/>
  <c r="D47" i="3" l="1"/>
  <c r="G47" i="3" s="1"/>
  <c r="AC182" i="3"/>
  <c r="A183" i="3"/>
  <c r="B183" i="3" s="1"/>
  <c r="Z182" i="3"/>
  <c r="AD182" i="3"/>
  <c r="P182" i="3"/>
  <c r="Q182" i="3" s="1"/>
  <c r="R182" i="3" s="1"/>
  <c r="AA182" i="3"/>
  <c r="K47" i="3"/>
  <c r="S180" i="3"/>
  <c r="T179" i="3"/>
  <c r="F47" i="3" l="1"/>
  <c r="AA183" i="3"/>
  <c r="AC183" i="3"/>
  <c r="AD183" i="3"/>
  <c r="A184" i="3"/>
  <c r="B184" i="3" s="1"/>
  <c r="P183" i="3"/>
  <c r="Q183" i="3" s="1"/>
  <c r="R183" i="3" s="1"/>
  <c r="Z183" i="3"/>
  <c r="T180" i="3"/>
  <c r="S181" i="3"/>
  <c r="I47" i="3"/>
  <c r="J47" i="3"/>
  <c r="M47" i="3"/>
  <c r="N47" i="3" s="1"/>
  <c r="V47" i="3"/>
  <c r="AE47" i="3"/>
  <c r="W47" i="3" l="1"/>
  <c r="AA184" i="3"/>
  <c r="AD184" i="3"/>
  <c r="A185" i="3"/>
  <c r="B185" i="3" s="1"/>
  <c r="Z184" i="3"/>
  <c r="P184" i="3"/>
  <c r="Q184" i="3" s="1"/>
  <c r="R184" i="3" s="1"/>
  <c r="AC184" i="3"/>
  <c r="S182" i="3"/>
  <c r="T181" i="3"/>
  <c r="L47" i="3"/>
  <c r="U47" i="3" l="1"/>
  <c r="D48" i="3" s="1"/>
  <c r="AH48" i="3"/>
  <c r="AG48" i="3"/>
  <c r="Y46" i="3"/>
  <c r="AC185" i="3"/>
  <c r="AA185" i="3"/>
  <c r="AD185" i="3"/>
  <c r="A186" i="3"/>
  <c r="B186" i="3" s="1"/>
  <c r="Z185" i="3"/>
  <c r="P185" i="3"/>
  <c r="Q185" i="3" s="1"/>
  <c r="R185" i="3" s="1"/>
  <c r="T182" i="3"/>
  <c r="S183" i="3"/>
  <c r="E48" i="3" l="1"/>
  <c r="H48" i="3" s="1"/>
  <c r="K48" i="3" s="1"/>
  <c r="G48" i="3"/>
  <c r="Z186" i="3"/>
  <c r="AA186" i="3"/>
  <c r="P186" i="3"/>
  <c r="Q186" i="3" s="1"/>
  <c r="R186" i="3" s="1"/>
  <c r="AD186" i="3"/>
  <c r="A187" i="3"/>
  <c r="B187" i="3" s="1"/>
  <c r="AC186" i="3"/>
  <c r="T183" i="3"/>
  <c r="S184" i="3"/>
  <c r="F48" i="3" l="1"/>
  <c r="P187" i="3"/>
  <c r="Q187" i="3" s="1"/>
  <c r="R187" i="3" s="1"/>
  <c r="AC187" i="3"/>
  <c r="Z187" i="3"/>
  <c r="A188" i="3"/>
  <c r="B188" i="3" s="1"/>
  <c r="AA187" i="3"/>
  <c r="AD187" i="3"/>
  <c r="T184" i="3"/>
  <c r="S185" i="3"/>
  <c r="V48" i="3"/>
  <c r="AE48" i="3"/>
  <c r="I48" i="3"/>
  <c r="J48" i="3"/>
  <c r="M48" i="3"/>
  <c r="N48" i="3" s="1"/>
  <c r="W48" i="3" l="1"/>
  <c r="AA188" i="3"/>
  <c r="AC188" i="3"/>
  <c r="Z188" i="3"/>
  <c r="AD188" i="3"/>
  <c r="P188" i="3"/>
  <c r="Q188" i="3" s="1"/>
  <c r="R188" i="3" s="1"/>
  <c r="A189" i="3"/>
  <c r="B189" i="3" s="1"/>
  <c r="S186" i="3"/>
  <c r="T185" i="3"/>
  <c r="L48" i="3"/>
  <c r="AG49" i="3" l="1"/>
  <c r="AH49" i="3"/>
  <c r="U48" i="3"/>
  <c r="E49" i="3" s="1"/>
  <c r="H49" i="3" s="1"/>
  <c r="Y47" i="3"/>
  <c r="AA189" i="3"/>
  <c r="Z189" i="3"/>
  <c r="P189" i="3"/>
  <c r="Q189" i="3" s="1"/>
  <c r="R189" i="3" s="1"/>
  <c r="AC189" i="3"/>
  <c r="AD189" i="3"/>
  <c r="A190" i="3"/>
  <c r="B190" i="3" s="1"/>
  <c r="S187" i="3"/>
  <c r="T186" i="3"/>
  <c r="D49" i="3" l="1"/>
  <c r="F49" i="3" s="1"/>
  <c r="AD190" i="3"/>
  <c r="AA190" i="3"/>
  <c r="AC190" i="3"/>
  <c r="P190" i="3"/>
  <c r="Q190" i="3" s="1"/>
  <c r="R190" i="3" s="1"/>
  <c r="Z190" i="3"/>
  <c r="A191" i="3"/>
  <c r="B191" i="3" s="1"/>
  <c r="T187" i="3"/>
  <c r="S188" i="3"/>
  <c r="K49" i="3"/>
  <c r="G49" i="3" l="1"/>
  <c r="I49" i="3" s="1"/>
  <c r="Z191" i="3"/>
  <c r="P191" i="3"/>
  <c r="Q191" i="3" s="1"/>
  <c r="R191" i="3" s="1"/>
  <c r="AD191" i="3"/>
  <c r="AA191" i="3"/>
  <c r="AC191" i="3"/>
  <c r="A192" i="3"/>
  <c r="B192" i="3" s="1"/>
  <c r="V49" i="3"/>
  <c r="AE49" i="3"/>
  <c r="S189" i="3"/>
  <c r="T188" i="3"/>
  <c r="M49" i="3" l="1"/>
  <c r="N49" i="3" s="1"/>
  <c r="J49" i="3"/>
  <c r="L49" i="3" s="1"/>
  <c r="W49" i="3"/>
  <c r="P192" i="3"/>
  <c r="Q192" i="3" s="1"/>
  <c r="R192" i="3" s="1"/>
  <c r="AC192" i="3"/>
  <c r="AD192" i="3"/>
  <c r="AA192" i="3"/>
  <c r="A193" i="3"/>
  <c r="B193" i="3" s="1"/>
  <c r="Z192" i="3"/>
  <c r="T189" i="3"/>
  <c r="S190" i="3"/>
  <c r="Z193" i="3" l="1"/>
  <c r="AC193" i="3"/>
  <c r="AA193" i="3"/>
  <c r="A194" i="3"/>
  <c r="B194" i="3" s="1"/>
  <c r="AD193" i="3"/>
  <c r="P193" i="3"/>
  <c r="Q193" i="3" s="1"/>
  <c r="R193" i="3" s="1"/>
  <c r="AG50" i="3"/>
  <c r="AH50" i="3"/>
  <c r="U49" i="3"/>
  <c r="E50" i="3" s="1"/>
  <c r="H50" i="3" s="1"/>
  <c r="Y48" i="3"/>
  <c r="S191" i="3"/>
  <c r="T190" i="3"/>
  <c r="D50" i="3" l="1"/>
  <c r="F50" i="3" s="1"/>
  <c r="Z194" i="3"/>
  <c r="AC194" i="3"/>
  <c r="AD194" i="3"/>
  <c r="A195" i="3"/>
  <c r="B195" i="3" s="1"/>
  <c r="AA194" i="3"/>
  <c r="P194" i="3"/>
  <c r="Q194" i="3" s="1"/>
  <c r="R194" i="3" s="1"/>
  <c r="S192" i="3"/>
  <c r="T191" i="3"/>
  <c r="K50" i="3"/>
  <c r="G50" i="3" l="1"/>
  <c r="I50" i="3" s="1"/>
  <c r="AA195" i="3"/>
  <c r="P195" i="3"/>
  <c r="Q195" i="3" s="1"/>
  <c r="R195" i="3" s="1"/>
  <c r="Z195" i="3"/>
  <c r="AD195" i="3"/>
  <c r="AC195" i="3"/>
  <c r="A196" i="3"/>
  <c r="B196" i="3" s="1"/>
  <c r="V50" i="3"/>
  <c r="AE50" i="3"/>
  <c r="S193" i="3"/>
  <c r="T192" i="3"/>
  <c r="J50" i="3" l="1"/>
  <c r="L50" i="3" s="1"/>
  <c r="M50" i="3"/>
  <c r="N50" i="3" s="1"/>
  <c r="W50" i="3"/>
  <c r="A197" i="3"/>
  <c r="B197" i="3" s="1"/>
  <c r="Z196" i="3"/>
  <c r="AA196" i="3"/>
  <c r="P196" i="3"/>
  <c r="Q196" i="3" s="1"/>
  <c r="R196" i="3" s="1"/>
  <c r="AC196" i="3"/>
  <c r="AD196" i="3"/>
  <c r="T193" i="3"/>
  <c r="S194" i="3"/>
  <c r="AG51" i="3" l="1"/>
  <c r="AH51" i="3"/>
  <c r="U50" i="3"/>
  <c r="D51" i="3" s="1"/>
  <c r="Y49" i="3"/>
  <c r="S195" i="3"/>
  <c r="T194" i="3"/>
  <c r="AC197" i="3"/>
  <c r="Z197" i="3"/>
  <c r="AD197" i="3"/>
  <c r="A198" i="3"/>
  <c r="B198" i="3" s="1"/>
  <c r="AA197" i="3"/>
  <c r="P197" i="3"/>
  <c r="Q197" i="3" s="1"/>
  <c r="R197" i="3" s="1"/>
  <c r="E51" i="3" l="1"/>
  <c r="H51" i="3" s="1"/>
  <c r="K51" i="3" s="1"/>
  <c r="G51" i="3"/>
  <c r="A199" i="3"/>
  <c r="B199" i="3" s="1"/>
  <c r="P198" i="3"/>
  <c r="Q198" i="3" s="1"/>
  <c r="R198" i="3" s="1"/>
  <c r="AD198" i="3"/>
  <c r="AA198" i="3"/>
  <c r="Z198" i="3"/>
  <c r="AC198" i="3"/>
  <c r="T195" i="3"/>
  <c r="S196" i="3"/>
  <c r="F51" i="3" l="1"/>
  <c r="Z199" i="3"/>
  <c r="AD199" i="3"/>
  <c r="P199" i="3"/>
  <c r="Q199" i="3" s="1"/>
  <c r="R199" i="3" s="1"/>
  <c r="AA199" i="3"/>
  <c r="AC199" i="3"/>
  <c r="A200" i="3"/>
  <c r="B200" i="3" s="1"/>
  <c r="S197" i="3"/>
  <c r="T196" i="3"/>
  <c r="V51" i="3"/>
  <c r="AE51" i="3"/>
  <c r="I51" i="3"/>
  <c r="J51" i="3"/>
  <c r="M51" i="3"/>
  <c r="N51" i="3" s="1"/>
  <c r="W51" i="3" l="1"/>
  <c r="AA200" i="3"/>
  <c r="A201" i="3"/>
  <c r="B201" i="3" s="1"/>
  <c r="AD200" i="3"/>
  <c r="Z200" i="3"/>
  <c r="AC200" i="3"/>
  <c r="P200" i="3"/>
  <c r="Q200" i="3" s="1"/>
  <c r="R200" i="3" s="1"/>
  <c r="L51" i="3"/>
  <c r="S198" i="3"/>
  <c r="T197" i="3"/>
  <c r="T198" i="3" l="1"/>
  <c r="S199" i="3"/>
  <c r="AA201" i="3"/>
  <c r="P201" i="3"/>
  <c r="Q201" i="3" s="1"/>
  <c r="R201" i="3" s="1"/>
  <c r="AD201" i="3"/>
  <c r="Z201" i="3"/>
  <c r="AC201" i="3"/>
  <c r="A202" i="3"/>
  <c r="B202" i="3" s="1"/>
  <c r="U51" i="3"/>
  <c r="D52" i="3" s="1"/>
  <c r="AH52" i="3"/>
  <c r="AG52" i="3"/>
  <c r="Y50" i="3"/>
  <c r="E52" i="3" l="1"/>
  <c r="H52" i="3" s="1"/>
  <c r="K52" i="3" s="1"/>
  <c r="G52" i="3"/>
  <c r="AC202" i="3"/>
  <c r="AA202" i="3"/>
  <c r="P202" i="3"/>
  <c r="Q202" i="3" s="1"/>
  <c r="R202" i="3" s="1"/>
  <c r="AD202" i="3"/>
  <c r="Z202" i="3"/>
  <c r="A203" i="3"/>
  <c r="B203" i="3" s="1"/>
  <c r="S200" i="3"/>
  <c r="T199" i="3"/>
  <c r="F52" i="3" l="1"/>
  <c r="S201" i="3"/>
  <c r="T200" i="3"/>
  <c r="V52" i="3"/>
  <c r="AE52" i="3"/>
  <c r="AC203" i="3"/>
  <c r="Z203" i="3"/>
  <c r="A204" i="3"/>
  <c r="B204" i="3" s="1"/>
  <c r="AA203" i="3"/>
  <c r="AD203" i="3"/>
  <c r="P203" i="3"/>
  <c r="Q203" i="3" s="1"/>
  <c r="R203" i="3" s="1"/>
  <c r="I52" i="3"/>
  <c r="J52" i="3"/>
  <c r="M52" i="3"/>
  <c r="N52" i="3" s="1"/>
  <c r="W52" i="3" l="1"/>
  <c r="AC204" i="3"/>
  <c r="P204" i="3"/>
  <c r="Q204" i="3" s="1"/>
  <c r="R204" i="3" s="1"/>
  <c r="AA204" i="3"/>
  <c r="Z204" i="3"/>
  <c r="L52" i="3"/>
  <c r="S202" i="3"/>
  <c r="T201" i="3"/>
  <c r="T202" i="3" l="1"/>
  <c r="S203" i="3"/>
  <c r="AG53" i="3"/>
  <c r="AH53" i="3"/>
  <c r="U52" i="3"/>
  <c r="D53" i="3" s="1"/>
  <c r="Y51" i="3"/>
  <c r="E53" i="3" l="1"/>
  <c r="H53" i="3" s="1"/>
  <c r="K53" i="3" s="1"/>
  <c r="G53" i="3"/>
  <c r="T203" i="3"/>
  <c r="S204" i="3"/>
  <c r="F53" i="3" l="1"/>
  <c r="T204" i="3"/>
  <c r="V53" i="3"/>
  <c r="AE53" i="3"/>
  <c r="I53" i="3"/>
  <c r="J53" i="3"/>
  <c r="M53" i="3"/>
  <c r="N53" i="3" s="1"/>
  <c r="W53" i="3" l="1"/>
  <c r="L53" i="3"/>
  <c r="AH54" i="3" l="1"/>
  <c r="U53" i="3"/>
  <c r="E54" i="3" s="1"/>
  <c r="H54" i="3" s="1"/>
  <c r="AG54" i="3"/>
  <c r="Y52" i="3"/>
  <c r="D54" i="3" l="1"/>
  <c r="F54" i="3" s="1"/>
  <c r="K54" i="3"/>
  <c r="G54" i="3" l="1"/>
  <c r="I54" i="3" s="1"/>
  <c r="V54" i="3"/>
  <c r="AE54" i="3"/>
  <c r="W54" i="3" l="1"/>
  <c r="M54" i="3"/>
  <c r="N54" i="3" s="1"/>
  <c r="J54" i="3"/>
  <c r="L54" i="3" s="1"/>
  <c r="U54" i="3" l="1"/>
  <c r="D55" i="3" s="1"/>
  <c r="AH55" i="3"/>
  <c r="AG55" i="3"/>
  <c r="Y53" i="3"/>
  <c r="E55" i="3" l="1"/>
  <c r="H55" i="3" s="1"/>
  <c r="K55" i="3" s="1"/>
  <c r="G55" i="3"/>
  <c r="F55" i="3" l="1"/>
  <c r="V55" i="3"/>
  <c r="AE55" i="3"/>
  <c r="I55" i="3"/>
  <c r="J55" i="3"/>
  <c r="M55" i="3"/>
  <c r="N55" i="3" s="1"/>
  <c r="W55" i="3" l="1"/>
  <c r="L55" i="3"/>
  <c r="AG56" i="3" l="1"/>
  <c r="AH56" i="3"/>
  <c r="U55" i="3"/>
  <c r="E56" i="3" s="1"/>
  <c r="H56" i="3" s="1"/>
  <c r="Y54" i="3"/>
  <c r="K56" i="3" l="1"/>
  <c r="D56" i="3"/>
  <c r="F56" i="3" l="1"/>
  <c r="G56" i="3"/>
  <c r="V56" i="3"/>
  <c r="AE56" i="3"/>
  <c r="I56" i="3" l="1"/>
  <c r="W56" i="3" s="1"/>
  <c r="J56" i="3"/>
  <c r="M56" i="3"/>
  <c r="N56" i="3" s="1"/>
  <c r="L56" i="3" l="1"/>
  <c r="U56" i="3" l="1"/>
  <c r="D57" i="3" s="1"/>
  <c r="AG57" i="3"/>
  <c r="AH57" i="3"/>
  <c r="Y55" i="3"/>
  <c r="E57" i="3" l="1"/>
  <c r="H57" i="3" s="1"/>
  <c r="K57" i="3" s="1"/>
  <c r="G57" i="3"/>
  <c r="F57" i="3" l="1"/>
  <c r="V57" i="3"/>
  <c r="AE57" i="3"/>
  <c r="I57" i="3"/>
  <c r="J57" i="3"/>
  <c r="M57" i="3"/>
  <c r="N57" i="3" s="1"/>
  <c r="W57" i="3" l="1"/>
  <c r="L57" i="3"/>
  <c r="AH58" i="3" l="1"/>
  <c r="U57" i="3"/>
  <c r="E58" i="3" s="1"/>
  <c r="H58" i="3" s="1"/>
  <c r="AG58" i="3"/>
  <c r="Y56" i="3"/>
  <c r="D58" i="3" l="1"/>
  <c r="F58" i="3" s="1"/>
  <c r="K58" i="3"/>
  <c r="G58" i="3" l="1"/>
  <c r="I58" i="3" s="1"/>
  <c r="V58" i="3"/>
  <c r="AE58" i="3"/>
  <c r="W58" i="3" l="1"/>
  <c r="M58" i="3"/>
  <c r="N58" i="3" s="1"/>
  <c r="J58" i="3"/>
  <c r="L58" i="3" s="1"/>
  <c r="AH59" i="3" l="1"/>
  <c r="AG59" i="3"/>
  <c r="U58" i="3"/>
  <c r="D59" i="3" s="1"/>
  <c r="Y57" i="3"/>
  <c r="G59" i="3" l="1"/>
  <c r="E59" i="3"/>
  <c r="H59" i="3" s="1"/>
  <c r="K59" i="3" l="1"/>
  <c r="I59" i="3"/>
  <c r="J59" i="3"/>
  <c r="M59" i="3"/>
  <c r="N59" i="3" s="1"/>
  <c r="F59" i="3"/>
  <c r="L59" i="3" l="1"/>
  <c r="V59" i="3"/>
  <c r="W59" i="3" s="1"/>
  <c r="AE59" i="3"/>
  <c r="AH60" i="3" l="1"/>
  <c r="U59" i="3"/>
  <c r="D60" i="3" s="1"/>
  <c r="AG60" i="3"/>
  <c r="Y58" i="3"/>
  <c r="E60" i="3" l="1"/>
  <c r="H60" i="3" s="1"/>
  <c r="K60" i="3" s="1"/>
  <c r="G60" i="3"/>
  <c r="F60" i="3" l="1"/>
  <c r="V60" i="3"/>
  <c r="AE60" i="3"/>
  <c r="I60" i="3"/>
  <c r="J60" i="3"/>
  <c r="M60" i="3"/>
  <c r="N60" i="3" s="1"/>
  <c r="W60" i="3" l="1"/>
  <c r="L60" i="3"/>
  <c r="U60" i="3" l="1"/>
  <c r="D61" i="3" s="1"/>
  <c r="AH61" i="3"/>
  <c r="AG61" i="3"/>
  <c r="Y59" i="3"/>
  <c r="E61" i="3" l="1"/>
  <c r="H61" i="3" s="1"/>
  <c r="K61" i="3" s="1"/>
  <c r="G61" i="3"/>
  <c r="F61" i="3" l="1"/>
  <c r="I61" i="3"/>
  <c r="J61" i="3"/>
  <c r="M61" i="3"/>
  <c r="N61" i="3" s="1"/>
  <c r="V61" i="3"/>
  <c r="AE61" i="3"/>
  <c r="W61" i="3" l="1"/>
  <c r="L61" i="3"/>
  <c r="AG62" i="3" l="1"/>
  <c r="U61" i="3"/>
  <c r="D62" i="3" s="1"/>
  <c r="AH62" i="3"/>
  <c r="Y60" i="3"/>
  <c r="E62" i="3" l="1"/>
  <c r="H62" i="3" s="1"/>
  <c r="K62" i="3" s="1"/>
  <c r="G62" i="3"/>
  <c r="F62" i="3" l="1"/>
  <c r="V62" i="3"/>
  <c r="AE62" i="3"/>
  <c r="I62" i="3"/>
  <c r="J62" i="3"/>
  <c r="M62" i="3"/>
  <c r="N62" i="3" s="1"/>
  <c r="W62" i="3" l="1"/>
  <c r="L62" i="3"/>
  <c r="AH63" i="3" l="1"/>
  <c r="U62" i="3"/>
  <c r="D63" i="3" s="1"/>
  <c r="AG63" i="3"/>
  <c r="Y61" i="3"/>
  <c r="E63" i="3" l="1"/>
  <c r="H63" i="3" s="1"/>
  <c r="K63" i="3" s="1"/>
  <c r="G63" i="3"/>
  <c r="F63" i="3" l="1"/>
  <c r="V63" i="3"/>
  <c r="AE63" i="3"/>
  <c r="I63" i="3"/>
  <c r="J63" i="3"/>
  <c r="M63" i="3"/>
  <c r="N63" i="3" s="1"/>
  <c r="L63" i="3" l="1"/>
  <c r="W63" i="3"/>
  <c r="AH64" i="3" l="1"/>
  <c r="AG64" i="3"/>
  <c r="U63" i="3"/>
  <c r="D64" i="3" s="1"/>
  <c r="Y62" i="3"/>
  <c r="G64" i="3" l="1"/>
  <c r="E64" i="3"/>
  <c r="H64" i="3" s="1"/>
  <c r="K64" i="3" l="1"/>
  <c r="I64" i="3"/>
  <c r="J64" i="3"/>
  <c r="M64" i="3"/>
  <c r="N64" i="3" s="1"/>
  <c r="F64" i="3"/>
  <c r="L64" i="3" l="1"/>
  <c r="V64" i="3"/>
  <c r="W64" i="3" s="1"/>
  <c r="AE64" i="3"/>
  <c r="AG65" i="3" l="1"/>
  <c r="U64" i="3"/>
  <c r="E65" i="3" s="1"/>
  <c r="H65" i="3" s="1"/>
  <c r="AH65" i="3"/>
  <c r="Y63" i="3"/>
  <c r="D65" i="3" l="1"/>
  <c r="G65" i="3" s="1"/>
  <c r="K65" i="3"/>
  <c r="F65" i="3" l="1"/>
  <c r="I65" i="3"/>
  <c r="J65" i="3"/>
  <c r="M65" i="3"/>
  <c r="N65" i="3" s="1"/>
  <c r="V65" i="3"/>
  <c r="AE65" i="3"/>
  <c r="W65" i="3" l="1"/>
  <c r="L65" i="3"/>
  <c r="AH66" i="3" l="1"/>
  <c r="AG66" i="3"/>
  <c r="U65" i="3"/>
  <c r="E66" i="3" s="1"/>
  <c r="H66" i="3" s="1"/>
  <c r="Y64" i="3"/>
  <c r="K66" i="3" l="1"/>
  <c r="D66" i="3"/>
  <c r="F66" i="3" l="1"/>
  <c r="G66" i="3"/>
  <c r="V66" i="3"/>
  <c r="AE66" i="3"/>
  <c r="I66" i="3" l="1"/>
  <c r="W66" i="3" s="1"/>
  <c r="J66" i="3"/>
  <c r="M66" i="3"/>
  <c r="N66" i="3" s="1"/>
  <c r="L66" i="3" l="1"/>
  <c r="U66" i="3" l="1"/>
  <c r="E67" i="3" s="1"/>
  <c r="H67" i="3" s="1"/>
  <c r="AH67" i="3"/>
  <c r="AG67" i="3"/>
  <c r="Y65" i="3"/>
  <c r="D67" i="3" l="1"/>
  <c r="F67" i="3" s="1"/>
  <c r="K67" i="3"/>
  <c r="G67" i="3" l="1"/>
  <c r="I67" i="3" s="1"/>
  <c r="V67" i="3"/>
  <c r="AE67" i="3"/>
  <c r="M67" i="3" l="1"/>
  <c r="N67" i="3" s="1"/>
  <c r="J67" i="3"/>
  <c r="L67" i="3" s="1"/>
  <c r="W67" i="3"/>
  <c r="U67" i="3" l="1"/>
  <c r="D68" i="3" s="1"/>
  <c r="AG68" i="3"/>
  <c r="AH68" i="3"/>
  <c r="Y66" i="3"/>
  <c r="E68" i="3" l="1"/>
  <c r="H68" i="3" s="1"/>
  <c r="K68" i="3" s="1"/>
  <c r="G68" i="3"/>
  <c r="F68" i="3" l="1"/>
  <c r="I68" i="3"/>
  <c r="J68" i="3"/>
  <c r="M68" i="3"/>
  <c r="N68" i="3" s="1"/>
  <c r="V68" i="3"/>
  <c r="AE68" i="3"/>
  <c r="W68" i="3" l="1"/>
  <c r="L68" i="3"/>
  <c r="AG69" i="3" l="1"/>
  <c r="AH69" i="3"/>
  <c r="U68" i="3"/>
  <c r="E69" i="3" s="1"/>
  <c r="H69" i="3" s="1"/>
  <c r="Y67" i="3"/>
  <c r="D69" i="3" l="1"/>
  <c r="F69" i="3" s="1"/>
  <c r="K69" i="3"/>
  <c r="G69" i="3" l="1"/>
  <c r="I69" i="3" s="1"/>
  <c r="V69" i="3"/>
  <c r="AE69" i="3"/>
  <c r="M69" i="3" l="1"/>
  <c r="N69" i="3" s="1"/>
  <c r="W69" i="3"/>
  <c r="J69" i="3"/>
  <c r="L69" i="3" s="1"/>
  <c r="AH70" i="3" l="1"/>
  <c r="U69" i="3"/>
  <c r="D70" i="3" s="1"/>
  <c r="AG70" i="3"/>
  <c r="Y68" i="3"/>
  <c r="E70" i="3" l="1"/>
  <c r="H70" i="3" s="1"/>
  <c r="K70" i="3" s="1"/>
  <c r="G70" i="3"/>
  <c r="F70" i="3" l="1"/>
  <c r="V70" i="3"/>
  <c r="AE70" i="3"/>
  <c r="I70" i="3"/>
  <c r="J70" i="3"/>
  <c r="M70" i="3"/>
  <c r="N70" i="3" s="1"/>
  <c r="L70" i="3" l="1"/>
  <c r="W70" i="3"/>
  <c r="U70" i="3" l="1"/>
  <c r="E71" i="3" s="1"/>
  <c r="H71" i="3" s="1"/>
  <c r="AH71" i="3"/>
  <c r="AG71" i="3"/>
  <c r="Y69" i="3"/>
  <c r="D71" i="3" l="1"/>
  <c r="F71" i="3" s="1"/>
  <c r="K71" i="3"/>
  <c r="G71" i="3" l="1"/>
  <c r="I71" i="3" s="1"/>
  <c r="V71" i="3"/>
  <c r="AE71" i="3"/>
  <c r="J71" i="3" l="1"/>
  <c r="L71" i="3" s="1"/>
  <c r="M71" i="3"/>
  <c r="N71" i="3" s="1"/>
  <c r="W71" i="3"/>
  <c r="U71" i="3" l="1"/>
  <c r="D72" i="3" s="1"/>
  <c r="AH72" i="3"/>
  <c r="AG72" i="3"/>
  <c r="Y70" i="3"/>
  <c r="E72" i="3" l="1"/>
  <c r="H72" i="3" s="1"/>
  <c r="K72" i="3" s="1"/>
  <c r="G72" i="3"/>
  <c r="F72" i="3" l="1"/>
  <c r="V72" i="3"/>
  <c r="AE72" i="3"/>
  <c r="I72" i="3"/>
  <c r="J72" i="3"/>
  <c r="M72" i="3"/>
  <c r="N72" i="3" s="1"/>
  <c r="L72" i="3" l="1"/>
  <c r="W72" i="3"/>
  <c r="AG73" i="3" l="1"/>
  <c r="AH73" i="3"/>
  <c r="U72" i="3"/>
  <c r="D73" i="3" s="1"/>
  <c r="Y71" i="3"/>
  <c r="E73" i="3" l="1"/>
  <c r="H73" i="3" s="1"/>
  <c r="K73" i="3" s="1"/>
  <c r="G73" i="3"/>
  <c r="F73" i="3" l="1"/>
  <c r="V73" i="3"/>
  <c r="AE73" i="3"/>
  <c r="I73" i="3"/>
  <c r="J73" i="3"/>
  <c r="M73" i="3"/>
  <c r="N73" i="3" s="1"/>
  <c r="L73" i="3" l="1"/>
  <c r="W73" i="3"/>
  <c r="AH74" i="3" l="1"/>
  <c r="U73" i="3"/>
  <c r="D74" i="3" s="1"/>
  <c r="AG74" i="3"/>
  <c r="Y72" i="3"/>
  <c r="E74" i="3" l="1"/>
  <c r="H74" i="3" s="1"/>
  <c r="K74" i="3" s="1"/>
  <c r="G74" i="3"/>
  <c r="F74" i="3" l="1"/>
  <c r="V74" i="3"/>
  <c r="AE74" i="3"/>
  <c r="I74" i="3"/>
  <c r="J74" i="3"/>
  <c r="M74" i="3"/>
  <c r="N74" i="3" s="1"/>
  <c r="L74" i="3" l="1"/>
  <c r="W74" i="3"/>
  <c r="AG75" i="3" l="1"/>
  <c r="U74" i="3"/>
  <c r="E75" i="3" s="1"/>
  <c r="H75" i="3" s="1"/>
  <c r="AH75" i="3"/>
  <c r="Y73" i="3"/>
  <c r="D75" i="3" l="1"/>
  <c r="F75" i="3" s="1"/>
  <c r="K75" i="3"/>
  <c r="G75" i="3" l="1"/>
  <c r="M75" i="3" s="1"/>
  <c r="N75" i="3" s="1"/>
  <c r="V75" i="3"/>
  <c r="AE75" i="3"/>
  <c r="J75" i="3" l="1"/>
  <c r="L75" i="3" s="1"/>
  <c r="I75" i="3"/>
  <c r="W75" i="3" s="1"/>
  <c r="AG76" i="3" l="1"/>
  <c r="U75" i="3"/>
  <c r="D76" i="3" s="1"/>
  <c r="AH76" i="3"/>
  <c r="Y74" i="3"/>
  <c r="E76" i="3" l="1"/>
  <c r="H76" i="3" s="1"/>
  <c r="K76" i="3" s="1"/>
  <c r="G76" i="3"/>
  <c r="F76" i="3" l="1"/>
  <c r="V76" i="3"/>
  <c r="AE76" i="3"/>
  <c r="I76" i="3"/>
  <c r="J76" i="3"/>
  <c r="M76" i="3"/>
  <c r="N76" i="3" s="1"/>
  <c r="L76" i="3" l="1"/>
  <c r="W76" i="3"/>
  <c r="AG77" i="3" l="1"/>
  <c r="U76" i="3"/>
  <c r="D77" i="3" s="1"/>
  <c r="AH77" i="3"/>
  <c r="Y75" i="3"/>
  <c r="E77" i="3" l="1"/>
  <c r="H77" i="3" s="1"/>
  <c r="K77" i="3" s="1"/>
  <c r="G77" i="3"/>
  <c r="F77" i="3" l="1"/>
  <c r="V77" i="3"/>
  <c r="AE77" i="3"/>
  <c r="I77" i="3"/>
  <c r="J77" i="3"/>
  <c r="M77" i="3"/>
  <c r="N77" i="3" s="1"/>
  <c r="L77" i="3" l="1"/>
  <c r="W77" i="3"/>
  <c r="U77" i="3" l="1"/>
  <c r="E78" i="3" s="1"/>
  <c r="H78" i="3" s="1"/>
  <c r="AH78" i="3"/>
  <c r="AG78" i="3"/>
  <c r="Y76" i="3"/>
  <c r="D78" i="3" l="1"/>
  <c r="G78" i="3" s="1"/>
  <c r="K78" i="3"/>
  <c r="F78" i="3" l="1"/>
  <c r="I78" i="3"/>
  <c r="J78" i="3"/>
  <c r="M78" i="3"/>
  <c r="N78" i="3" s="1"/>
  <c r="V78" i="3"/>
  <c r="AE78" i="3"/>
  <c r="W78" i="3" l="1"/>
  <c r="L78" i="3"/>
  <c r="U78" i="3" l="1"/>
  <c r="E79" i="3" s="1"/>
  <c r="H79" i="3" s="1"/>
  <c r="AG79" i="3"/>
  <c r="AH79" i="3"/>
  <c r="Y77" i="3"/>
  <c r="D79" i="3" l="1"/>
  <c r="F79" i="3" s="1"/>
  <c r="K79" i="3"/>
  <c r="G79" i="3" l="1"/>
  <c r="I79" i="3" s="1"/>
  <c r="V79" i="3"/>
  <c r="AE79" i="3"/>
  <c r="M79" i="3" l="1"/>
  <c r="N79" i="3" s="1"/>
  <c r="J79" i="3"/>
  <c r="L79" i="3" s="1"/>
  <c r="W79" i="3"/>
  <c r="AH80" i="3" l="1"/>
  <c r="AG80" i="3"/>
  <c r="U79" i="3"/>
  <c r="E80" i="3" s="1"/>
  <c r="H80" i="3" s="1"/>
  <c r="Y78" i="3"/>
  <c r="D80" i="3" l="1"/>
  <c r="F80" i="3" s="1"/>
  <c r="K80" i="3"/>
  <c r="G80" i="3" l="1"/>
  <c r="J80" i="3" s="1"/>
  <c r="V80" i="3"/>
  <c r="AE80" i="3"/>
  <c r="I80" i="3" l="1"/>
  <c r="W80" i="3" s="1"/>
  <c r="M80" i="3"/>
  <c r="N80" i="3" s="1"/>
  <c r="L80" i="3"/>
  <c r="AG81" i="3" l="1"/>
  <c r="U80" i="3"/>
  <c r="E81" i="3" s="1"/>
  <c r="H81" i="3" s="1"/>
  <c r="AH81" i="3"/>
  <c r="Y79" i="3"/>
  <c r="D81" i="3" l="1"/>
  <c r="F81" i="3" s="1"/>
  <c r="K81" i="3"/>
  <c r="G81" i="3" l="1"/>
  <c r="I81" i="3" s="1"/>
  <c r="V81" i="3"/>
  <c r="AE81" i="3"/>
  <c r="M81" i="3" l="1"/>
  <c r="N81" i="3" s="1"/>
  <c r="J81" i="3"/>
  <c r="L81" i="3" s="1"/>
  <c r="W81" i="3"/>
  <c r="AG82" i="3" l="1"/>
  <c r="AH82" i="3"/>
  <c r="U81" i="3"/>
  <c r="E82" i="3" s="1"/>
  <c r="H82" i="3" s="1"/>
  <c r="Y80" i="3"/>
  <c r="D82" i="3" l="1"/>
  <c r="F82" i="3" s="1"/>
  <c r="K82" i="3"/>
  <c r="G82" i="3" l="1"/>
  <c r="M82" i="3" s="1"/>
  <c r="N82" i="3" s="1"/>
  <c r="V82" i="3"/>
  <c r="AE82" i="3"/>
  <c r="J82" i="3" l="1"/>
  <c r="L82" i="3" s="1"/>
  <c r="I82" i="3"/>
  <c r="W82" i="3" s="1"/>
  <c r="AG83" i="3" l="1"/>
  <c r="U82" i="3"/>
  <c r="D83" i="3" s="1"/>
  <c r="AH83" i="3"/>
  <c r="Y81" i="3"/>
  <c r="E83" i="3" l="1"/>
  <c r="H83" i="3" s="1"/>
  <c r="K83" i="3" s="1"/>
  <c r="G83" i="3"/>
  <c r="F83" i="3" l="1"/>
  <c r="V83" i="3"/>
  <c r="AE83" i="3"/>
  <c r="I83" i="3"/>
  <c r="J83" i="3"/>
  <c r="M83" i="3"/>
  <c r="N83" i="3" s="1"/>
  <c r="L83" i="3" l="1"/>
  <c r="W83" i="3"/>
  <c r="AG84" i="3" l="1"/>
  <c r="AH84" i="3"/>
  <c r="U83" i="3"/>
  <c r="E84" i="3" s="1"/>
  <c r="H84" i="3" s="1"/>
  <c r="Y82" i="3"/>
  <c r="K84" i="3" l="1"/>
  <c r="D84" i="3"/>
  <c r="V84" i="3" l="1"/>
  <c r="AE84" i="3"/>
  <c r="F84" i="3"/>
  <c r="G84" i="3"/>
  <c r="I84" i="3" l="1"/>
  <c r="W84" i="3" s="1"/>
  <c r="J84" i="3"/>
  <c r="M84" i="3"/>
  <c r="N84" i="3" s="1"/>
  <c r="L84" i="3" l="1"/>
  <c r="AH85" i="3" l="1"/>
  <c r="AG85" i="3"/>
  <c r="U84" i="3"/>
  <c r="E85" i="3" s="1"/>
  <c r="H85" i="3" s="1"/>
  <c r="Y83" i="3"/>
  <c r="D85" i="3" l="1"/>
  <c r="F85" i="3" s="1"/>
  <c r="K85" i="3"/>
  <c r="G85" i="3" l="1"/>
  <c r="I85" i="3" s="1"/>
  <c r="V85" i="3"/>
  <c r="AE85" i="3"/>
  <c r="W85" i="3" l="1"/>
  <c r="M85" i="3"/>
  <c r="N85" i="3" s="1"/>
  <c r="J85" i="3"/>
  <c r="L85" i="3" s="1"/>
  <c r="AG86" i="3" l="1"/>
  <c r="AH86" i="3"/>
  <c r="U85" i="3"/>
  <c r="D86" i="3" s="1"/>
  <c r="Y84" i="3"/>
  <c r="E86" i="3" l="1"/>
  <c r="H86" i="3" s="1"/>
  <c r="K86" i="3" s="1"/>
  <c r="G86" i="3"/>
  <c r="F86" i="3" l="1"/>
  <c r="V86" i="3"/>
  <c r="AE86" i="3"/>
  <c r="I86" i="3"/>
  <c r="J86" i="3"/>
  <c r="M86" i="3"/>
  <c r="N86" i="3" s="1"/>
  <c r="L86" i="3" l="1"/>
  <c r="W86" i="3"/>
  <c r="AH87" i="3" l="1"/>
  <c r="U86" i="3"/>
  <c r="D87" i="3" s="1"/>
  <c r="AG87" i="3"/>
  <c r="Y85" i="3"/>
  <c r="E87" i="3" l="1"/>
  <c r="H87" i="3" s="1"/>
  <c r="K87" i="3" s="1"/>
  <c r="G87" i="3"/>
  <c r="F87" i="3" l="1"/>
  <c r="V87" i="3"/>
  <c r="AE87" i="3"/>
  <c r="I87" i="3"/>
  <c r="J87" i="3"/>
  <c r="M87" i="3"/>
  <c r="N87" i="3" s="1"/>
  <c r="L87" i="3" l="1"/>
  <c r="W87" i="3"/>
  <c r="AG88" i="3" l="1"/>
  <c r="U87" i="3"/>
  <c r="E88" i="3" s="1"/>
  <c r="H88" i="3" s="1"/>
  <c r="AH88" i="3"/>
  <c r="Y86" i="3"/>
  <c r="D88" i="3" l="1"/>
  <c r="F88" i="3" s="1"/>
  <c r="K88" i="3"/>
  <c r="G88" i="3" l="1"/>
  <c r="I88" i="3" s="1"/>
  <c r="V88" i="3"/>
  <c r="AE88" i="3"/>
  <c r="M88" i="3" l="1"/>
  <c r="N88" i="3" s="1"/>
  <c r="J88" i="3"/>
  <c r="L88" i="3" s="1"/>
  <c r="W88" i="3"/>
  <c r="AG89" i="3" l="1"/>
  <c r="U88" i="3"/>
  <c r="D89" i="3" s="1"/>
  <c r="AH89" i="3"/>
  <c r="Y87" i="3"/>
  <c r="E89" i="3" l="1"/>
  <c r="H89" i="3" s="1"/>
  <c r="K89" i="3" s="1"/>
  <c r="G89" i="3"/>
  <c r="F89" i="3" l="1"/>
  <c r="V89" i="3"/>
  <c r="AE89" i="3"/>
  <c r="I89" i="3"/>
  <c r="J89" i="3"/>
  <c r="M89" i="3"/>
  <c r="N89" i="3" s="1"/>
  <c r="L89" i="3" l="1"/>
  <c r="W89" i="3"/>
  <c r="AH90" i="3" l="1"/>
  <c r="AG90" i="3"/>
  <c r="U89" i="3"/>
  <c r="D90" i="3" s="1"/>
  <c r="Y88" i="3"/>
  <c r="E90" i="3" l="1"/>
  <c r="H90" i="3" s="1"/>
  <c r="K90" i="3" s="1"/>
  <c r="G90" i="3"/>
  <c r="F90" i="3" l="1"/>
  <c r="V90" i="3"/>
  <c r="AE90" i="3"/>
  <c r="I90" i="3"/>
  <c r="J90" i="3"/>
  <c r="M90" i="3"/>
  <c r="N90" i="3" s="1"/>
  <c r="L90" i="3" l="1"/>
  <c r="W90" i="3"/>
  <c r="U90" i="3" l="1"/>
  <c r="D91" i="3" s="1"/>
  <c r="AG91" i="3"/>
  <c r="AH91" i="3"/>
  <c r="Y89" i="3"/>
  <c r="E91" i="3" l="1"/>
  <c r="H91" i="3" s="1"/>
  <c r="K91" i="3" s="1"/>
  <c r="G91" i="3"/>
  <c r="F91" i="3" l="1"/>
  <c r="I91" i="3"/>
  <c r="J91" i="3"/>
  <c r="M91" i="3"/>
  <c r="N91" i="3" s="1"/>
  <c r="V91" i="3"/>
  <c r="AE91" i="3"/>
  <c r="W91" i="3" l="1"/>
  <c r="L91" i="3"/>
  <c r="U91" i="3" l="1"/>
  <c r="E92" i="3" s="1"/>
  <c r="H92" i="3" s="1"/>
  <c r="AH92" i="3"/>
  <c r="AG92" i="3"/>
  <c r="Y90" i="3"/>
  <c r="D92" i="3" l="1"/>
  <c r="F92" i="3" s="1"/>
  <c r="K92" i="3"/>
  <c r="G92" i="3" l="1"/>
  <c r="I92" i="3" s="1"/>
  <c r="V92" i="3"/>
  <c r="AE92" i="3"/>
  <c r="M92" i="3" l="1"/>
  <c r="N92" i="3" s="1"/>
  <c r="J92" i="3"/>
  <c r="L92" i="3" s="1"/>
  <c r="W92" i="3"/>
  <c r="AG93" i="3" l="1"/>
  <c r="AH93" i="3"/>
  <c r="U92" i="3"/>
  <c r="E93" i="3" s="1"/>
  <c r="H93" i="3" s="1"/>
  <c r="Y91" i="3"/>
  <c r="D93" i="3" l="1"/>
  <c r="F93" i="3" s="1"/>
  <c r="K93" i="3"/>
  <c r="G93" i="3" l="1"/>
  <c r="I93" i="3" s="1"/>
  <c r="V93" i="3"/>
  <c r="AE93" i="3"/>
  <c r="M93" i="3" l="1"/>
  <c r="N93" i="3" s="1"/>
  <c r="J93" i="3"/>
  <c r="L93" i="3" s="1"/>
  <c r="W93" i="3"/>
  <c r="AH94" i="3" l="1"/>
  <c r="AG94" i="3"/>
  <c r="U93" i="3"/>
  <c r="D94" i="3" s="1"/>
  <c r="Y92" i="3"/>
  <c r="G94" i="3" l="1"/>
  <c r="E94" i="3"/>
  <c r="H94" i="3" s="1"/>
  <c r="K94" i="3" l="1"/>
  <c r="I94" i="3"/>
  <c r="J94" i="3"/>
  <c r="M94" i="3"/>
  <c r="N94" i="3" s="1"/>
  <c r="F94" i="3"/>
  <c r="V94" i="3" l="1"/>
  <c r="W94" i="3" s="1"/>
  <c r="AE94" i="3"/>
  <c r="L94" i="3"/>
  <c r="AH95" i="3" l="1"/>
  <c r="U94" i="3"/>
  <c r="E95" i="3" s="1"/>
  <c r="H95" i="3" s="1"/>
  <c r="AG95" i="3"/>
  <c r="Y93" i="3"/>
  <c r="D95" i="3" l="1"/>
  <c r="F95" i="3" s="1"/>
  <c r="K95" i="3"/>
  <c r="G95" i="3" l="1"/>
  <c r="I95" i="3" s="1"/>
  <c r="V95" i="3"/>
  <c r="AE95" i="3"/>
  <c r="M95" i="3" l="1"/>
  <c r="N95" i="3" s="1"/>
  <c r="J95" i="3"/>
  <c r="L95" i="3" s="1"/>
  <c r="W95" i="3"/>
  <c r="AH96" i="3" l="1"/>
  <c r="AG96" i="3"/>
  <c r="U95" i="3"/>
  <c r="E96" i="3" s="1"/>
  <c r="H96" i="3" s="1"/>
  <c r="Y94" i="3"/>
  <c r="K96" i="3" l="1"/>
  <c r="D96" i="3"/>
  <c r="F96" i="3" l="1"/>
  <c r="G96" i="3"/>
  <c r="V96" i="3"/>
  <c r="AE96" i="3"/>
  <c r="I96" i="3" l="1"/>
  <c r="W96" i="3" s="1"/>
  <c r="J96" i="3"/>
  <c r="M96" i="3"/>
  <c r="N96" i="3" s="1"/>
  <c r="L96" i="3" l="1"/>
  <c r="AH97" i="3" l="1"/>
  <c r="AG97" i="3"/>
  <c r="U96" i="3"/>
  <c r="E97" i="3" s="1"/>
  <c r="H97" i="3" s="1"/>
  <c r="Y95" i="3"/>
  <c r="K97" i="3" l="1"/>
  <c r="D97" i="3"/>
  <c r="F97" i="3" l="1"/>
  <c r="G97" i="3"/>
  <c r="V97" i="3"/>
  <c r="AE97" i="3"/>
  <c r="I97" i="3" l="1"/>
  <c r="W97" i="3" s="1"/>
  <c r="J97" i="3"/>
  <c r="M97" i="3"/>
  <c r="N97" i="3" s="1"/>
  <c r="L97" i="3" l="1"/>
  <c r="AH98" i="3" l="1"/>
  <c r="U97" i="3"/>
  <c r="D98" i="3" s="1"/>
  <c r="AG98" i="3"/>
  <c r="Y96" i="3"/>
  <c r="G98" i="3" l="1"/>
  <c r="E98" i="3"/>
  <c r="H98" i="3" s="1"/>
  <c r="K98" i="3" l="1"/>
  <c r="I98" i="3"/>
  <c r="J98" i="3"/>
  <c r="M98" i="3"/>
  <c r="N98" i="3" s="1"/>
  <c r="F98" i="3"/>
  <c r="L98" i="3" l="1"/>
  <c r="V98" i="3"/>
  <c r="W98" i="3" s="1"/>
  <c r="AE98" i="3"/>
  <c r="U98" i="3" l="1"/>
  <c r="E99" i="3" s="1"/>
  <c r="H99" i="3" s="1"/>
  <c r="AH99" i="3"/>
  <c r="AG99" i="3"/>
  <c r="Y97" i="3"/>
  <c r="D99" i="3" l="1"/>
  <c r="F99" i="3" s="1"/>
  <c r="K99" i="3"/>
  <c r="G99" i="3" l="1"/>
  <c r="I99" i="3" s="1"/>
  <c r="V99" i="3"/>
  <c r="AE99" i="3"/>
  <c r="M99" i="3" l="1"/>
  <c r="N99" i="3" s="1"/>
  <c r="W99" i="3"/>
  <c r="J99" i="3"/>
  <c r="L99" i="3" s="1"/>
  <c r="AH100" i="3" l="1"/>
  <c r="AG100" i="3"/>
  <c r="U99" i="3"/>
  <c r="E100" i="3" s="1"/>
  <c r="H100" i="3" s="1"/>
  <c r="Y98" i="3"/>
  <c r="K100" i="3" l="1"/>
  <c r="D100" i="3"/>
  <c r="F100" i="3" l="1"/>
  <c r="G100" i="3"/>
  <c r="V100" i="3"/>
  <c r="AE100" i="3"/>
  <c r="I100" i="3" l="1"/>
  <c r="W100" i="3" s="1"/>
  <c r="J100" i="3"/>
  <c r="M100" i="3"/>
  <c r="N100" i="3" s="1"/>
  <c r="L100" i="3" l="1"/>
  <c r="AG101" i="3" l="1"/>
  <c r="AH101" i="3"/>
  <c r="U100" i="3"/>
  <c r="D101" i="3" s="1"/>
  <c r="Y99" i="3"/>
  <c r="E101" i="3" l="1"/>
  <c r="H101" i="3" s="1"/>
  <c r="K101" i="3" s="1"/>
  <c r="G101" i="3"/>
  <c r="F101" i="3" l="1"/>
  <c r="V101" i="3"/>
  <c r="AE101" i="3"/>
  <c r="I101" i="3"/>
  <c r="J101" i="3"/>
  <c r="M101" i="3"/>
  <c r="N101" i="3" s="1"/>
  <c r="L101" i="3" l="1"/>
  <c r="W101" i="3"/>
  <c r="AH102" i="3" l="1"/>
  <c r="AG102" i="3"/>
  <c r="U101" i="3"/>
  <c r="E102" i="3" s="1"/>
  <c r="H102" i="3" s="1"/>
  <c r="Y100" i="3"/>
  <c r="D102" i="3" l="1"/>
  <c r="F102" i="3" s="1"/>
  <c r="K102" i="3"/>
  <c r="G102" i="3" l="1"/>
  <c r="I102" i="3" s="1"/>
  <c r="V102" i="3"/>
  <c r="AE102" i="3"/>
  <c r="J102" i="3" l="1"/>
  <c r="L102" i="3" s="1"/>
  <c r="M102" i="3"/>
  <c r="N102" i="3" s="1"/>
  <c r="W102" i="3"/>
  <c r="AG103" i="3" l="1"/>
  <c r="AH103" i="3"/>
  <c r="U102" i="3"/>
  <c r="D103" i="3" s="1"/>
  <c r="Y101" i="3"/>
  <c r="E103" i="3" l="1"/>
  <c r="H103" i="3" s="1"/>
  <c r="K103" i="3" s="1"/>
  <c r="G103" i="3"/>
  <c r="F103" i="3" l="1"/>
  <c r="I103" i="3"/>
  <c r="J103" i="3"/>
  <c r="M103" i="3"/>
  <c r="N103" i="3" s="1"/>
  <c r="V103" i="3"/>
  <c r="AE103" i="3"/>
  <c r="W103" i="3" l="1"/>
  <c r="L103" i="3"/>
  <c r="U103" i="3" l="1"/>
  <c r="D104" i="3" s="1"/>
  <c r="AG104" i="3"/>
  <c r="AH104" i="3"/>
  <c r="Y102" i="3"/>
  <c r="E104" i="3" l="1"/>
  <c r="H104" i="3" s="1"/>
  <c r="K104" i="3" s="1"/>
  <c r="G104" i="3"/>
  <c r="F104" i="3" l="1"/>
  <c r="I104" i="3"/>
  <c r="J104" i="3"/>
  <c r="M104" i="3"/>
  <c r="N104" i="3" s="1"/>
  <c r="V104" i="3"/>
  <c r="AE104" i="3"/>
  <c r="W104" i="3" l="1"/>
  <c r="L104" i="3"/>
  <c r="AD104" i="3"/>
  <c r="AG105" i="3" l="1"/>
  <c r="U104" i="3"/>
  <c r="E105" i="3" s="1"/>
  <c r="H105" i="3" s="1"/>
  <c r="AH105" i="3"/>
  <c r="Y103" i="3"/>
  <c r="D105" i="3" l="1"/>
  <c r="G105" i="3" s="1"/>
  <c r="K105" i="3"/>
  <c r="F105" i="3" l="1"/>
  <c r="I105" i="3"/>
  <c r="J105" i="3"/>
  <c r="M105" i="3"/>
  <c r="N105" i="3" s="1"/>
  <c r="V105" i="3"/>
  <c r="AE105" i="3"/>
  <c r="W105" i="3" l="1"/>
  <c r="L105" i="3"/>
  <c r="AH106" i="3" l="1"/>
  <c r="AG106" i="3"/>
  <c r="U105" i="3"/>
  <c r="D106" i="3" s="1"/>
  <c r="Y104" i="3"/>
  <c r="G106" i="3" l="1"/>
  <c r="E106" i="3"/>
  <c r="H106" i="3" s="1"/>
  <c r="I106" i="3" l="1"/>
  <c r="J106" i="3"/>
  <c r="M106" i="3"/>
  <c r="N106" i="3" s="1"/>
  <c r="K106" i="3"/>
  <c r="F106" i="3"/>
  <c r="V106" i="3" l="1"/>
  <c r="W106" i="3" s="1"/>
  <c r="AE106" i="3"/>
  <c r="L106" i="3"/>
  <c r="U106" i="3" l="1"/>
  <c r="E107" i="3" s="1"/>
  <c r="H107" i="3" s="1"/>
  <c r="AH107" i="3"/>
  <c r="AG107" i="3"/>
  <c r="Y105" i="3"/>
  <c r="K107" i="3" l="1"/>
  <c r="D107" i="3"/>
  <c r="F107" i="3" l="1"/>
  <c r="G107" i="3"/>
  <c r="V107" i="3"/>
  <c r="AE107" i="3"/>
  <c r="I107" i="3" l="1"/>
  <c r="W107" i="3" s="1"/>
  <c r="J107" i="3"/>
  <c r="M107" i="3"/>
  <c r="N107" i="3" s="1"/>
  <c r="L107" i="3" l="1"/>
  <c r="AG108" i="3" l="1"/>
  <c r="U107" i="3"/>
  <c r="D108" i="3" s="1"/>
  <c r="AH108" i="3"/>
  <c r="Y106" i="3"/>
  <c r="E108" i="3" l="1"/>
  <c r="H108" i="3" s="1"/>
  <c r="K108" i="3" s="1"/>
  <c r="G108" i="3"/>
  <c r="F108" i="3" l="1"/>
  <c r="I108" i="3"/>
  <c r="J108" i="3"/>
  <c r="M108" i="3"/>
  <c r="N108" i="3" s="1"/>
  <c r="V108" i="3"/>
  <c r="AE108" i="3"/>
  <c r="W108" i="3" l="1"/>
  <c r="L108" i="3"/>
  <c r="U108" i="3" l="1"/>
  <c r="D109" i="3" s="1"/>
  <c r="AH109" i="3"/>
  <c r="AG109" i="3"/>
  <c r="Y107" i="3"/>
  <c r="E109" i="3" l="1"/>
  <c r="H109" i="3" s="1"/>
  <c r="K109" i="3" s="1"/>
  <c r="G109" i="3"/>
  <c r="F109" i="3" l="1"/>
  <c r="I109" i="3"/>
  <c r="J109" i="3"/>
  <c r="M109" i="3"/>
  <c r="N109" i="3" s="1"/>
  <c r="V109" i="3"/>
  <c r="AE109" i="3"/>
  <c r="W109" i="3" l="1"/>
  <c r="L109" i="3"/>
  <c r="AH110" i="3" l="1"/>
  <c r="AG110" i="3"/>
  <c r="U109" i="3"/>
  <c r="E110" i="3" s="1"/>
  <c r="H110" i="3" s="1"/>
  <c r="Y108" i="3"/>
  <c r="D110" i="3" l="1"/>
  <c r="F110" i="3" s="1"/>
  <c r="K110" i="3"/>
  <c r="G110" i="3" l="1"/>
  <c r="I110" i="3" s="1"/>
  <c r="V110" i="3"/>
  <c r="AE110" i="3"/>
  <c r="M110" i="3" l="1"/>
  <c r="N110" i="3" s="1"/>
  <c r="J110" i="3"/>
  <c r="L110" i="3" s="1"/>
  <c r="W110" i="3"/>
  <c r="AG111" i="3" l="1"/>
  <c r="AH111" i="3"/>
  <c r="U110" i="3"/>
  <c r="E111" i="3" s="1"/>
  <c r="H111" i="3" s="1"/>
  <c r="Y109" i="3"/>
  <c r="D111" i="3" l="1"/>
  <c r="F111" i="3" s="1"/>
  <c r="K111" i="3"/>
  <c r="G111" i="3" l="1"/>
  <c r="I111" i="3" s="1"/>
  <c r="V111" i="3"/>
  <c r="AE111" i="3"/>
  <c r="W111" i="3" l="1"/>
  <c r="M111" i="3"/>
  <c r="N111" i="3" s="1"/>
  <c r="J111" i="3"/>
  <c r="L111" i="3" s="1"/>
  <c r="AG112" i="3" l="1"/>
  <c r="U111" i="3"/>
  <c r="E112" i="3" s="1"/>
  <c r="H112" i="3" s="1"/>
  <c r="AH112" i="3"/>
  <c r="Y110" i="3"/>
  <c r="D112" i="3" l="1"/>
  <c r="F112" i="3" s="1"/>
  <c r="K112" i="3"/>
  <c r="G112" i="3" l="1"/>
  <c r="I112" i="3" s="1"/>
  <c r="V112" i="3"/>
  <c r="AE112" i="3"/>
  <c r="J112" i="3" l="1"/>
  <c r="L112" i="3" s="1"/>
  <c r="M112" i="3"/>
  <c r="N112" i="3" s="1"/>
  <c r="W112" i="3"/>
  <c r="U112" i="3" l="1"/>
  <c r="D113" i="3" s="1"/>
  <c r="AH113" i="3"/>
  <c r="AG113" i="3"/>
  <c r="Y111" i="3"/>
  <c r="E113" i="3" l="1"/>
  <c r="H113" i="3" s="1"/>
  <c r="K113" i="3" s="1"/>
  <c r="G113" i="3"/>
  <c r="F113" i="3" l="1"/>
  <c r="I113" i="3"/>
  <c r="J113" i="3"/>
  <c r="M113" i="3"/>
  <c r="N113" i="3" s="1"/>
  <c r="V113" i="3"/>
  <c r="AE113" i="3"/>
  <c r="W113" i="3" l="1"/>
  <c r="L113" i="3"/>
  <c r="AH114" i="3" l="1"/>
  <c r="U113" i="3"/>
  <c r="E114" i="3" s="1"/>
  <c r="H114" i="3" s="1"/>
  <c r="AG114" i="3"/>
  <c r="Y112" i="3"/>
  <c r="D114" i="3" l="1"/>
  <c r="F114" i="3" s="1"/>
  <c r="K114" i="3"/>
  <c r="G114" i="3" l="1"/>
  <c r="I114" i="3" s="1"/>
  <c r="V114" i="3"/>
  <c r="AE114" i="3"/>
  <c r="M114" i="3" l="1"/>
  <c r="N114" i="3" s="1"/>
  <c r="J114" i="3"/>
  <c r="L114" i="3" s="1"/>
  <c r="W114" i="3"/>
  <c r="AG115" i="3" l="1"/>
  <c r="AH115" i="3"/>
  <c r="U114" i="3"/>
  <c r="E115" i="3" s="1"/>
  <c r="H115" i="3" s="1"/>
  <c r="Y113" i="3"/>
  <c r="K115" i="3" l="1"/>
  <c r="D115" i="3"/>
  <c r="V115" i="3" l="1"/>
  <c r="AE115" i="3"/>
  <c r="F115" i="3"/>
  <c r="G115" i="3"/>
  <c r="I115" i="3" l="1"/>
  <c r="W115" i="3" s="1"/>
  <c r="J115" i="3"/>
  <c r="M115" i="3"/>
  <c r="N115" i="3" s="1"/>
  <c r="L115" i="3" l="1"/>
  <c r="AG116" i="3" l="1"/>
  <c r="U115" i="3"/>
  <c r="E116" i="3" s="1"/>
  <c r="H116" i="3" s="1"/>
  <c r="AH116" i="3"/>
  <c r="Y114" i="3"/>
  <c r="D116" i="3" l="1"/>
  <c r="F116" i="3" s="1"/>
  <c r="K116" i="3"/>
  <c r="G116" i="3" l="1"/>
  <c r="I116" i="3" s="1"/>
  <c r="V116" i="3"/>
  <c r="AE116" i="3"/>
  <c r="M116" i="3" l="1"/>
  <c r="N116" i="3" s="1"/>
  <c r="J116" i="3"/>
  <c r="L116" i="3" s="1"/>
  <c r="W116" i="3"/>
  <c r="AH117" i="3" l="1"/>
  <c r="AG117" i="3"/>
  <c r="U116" i="3"/>
  <c r="D117" i="3" s="1"/>
  <c r="Y115" i="3"/>
  <c r="E117" i="3" l="1"/>
  <c r="H117" i="3" s="1"/>
  <c r="K117" i="3" s="1"/>
  <c r="G117" i="3"/>
  <c r="F117" i="3" l="1"/>
  <c r="V117" i="3"/>
  <c r="AE117" i="3"/>
  <c r="I117" i="3"/>
  <c r="J117" i="3"/>
  <c r="M117" i="3"/>
  <c r="N117" i="3" s="1"/>
  <c r="L117" i="3" l="1"/>
  <c r="W117" i="3"/>
  <c r="AH118" i="3" l="1"/>
  <c r="U117" i="3"/>
  <c r="D118" i="3" s="1"/>
  <c r="AG118" i="3"/>
  <c r="Y116" i="3"/>
  <c r="E118" i="3" l="1"/>
  <c r="H118" i="3" s="1"/>
  <c r="K118" i="3" s="1"/>
  <c r="G118" i="3"/>
  <c r="F118" i="3" l="1"/>
  <c r="V118" i="3"/>
  <c r="AE118" i="3"/>
  <c r="I118" i="3"/>
  <c r="J118" i="3"/>
  <c r="M118" i="3"/>
  <c r="N118" i="3" s="1"/>
  <c r="L118" i="3" l="1"/>
  <c r="W118" i="3"/>
  <c r="AG119" i="3" l="1"/>
  <c r="AH119" i="3"/>
  <c r="U118" i="3"/>
  <c r="D119" i="3" s="1"/>
  <c r="Y117" i="3"/>
  <c r="G119" i="3" l="1"/>
  <c r="E119" i="3"/>
  <c r="H119" i="3" s="1"/>
  <c r="K119" i="3" l="1"/>
  <c r="I119" i="3"/>
  <c r="J119" i="3"/>
  <c r="M119" i="3"/>
  <c r="N119" i="3" s="1"/>
  <c r="F119" i="3"/>
  <c r="L119" i="3" l="1"/>
  <c r="V119" i="3"/>
  <c r="W119" i="3" s="1"/>
  <c r="AE119" i="3"/>
  <c r="AG120" i="3" l="1"/>
  <c r="AH120" i="3"/>
  <c r="U119" i="3"/>
  <c r="D120" i="3" s="1"/>
  <c r="Y118" i="3"/>
  <c r="G120" i="3" l="1"/>
  <c r="E120" i="3"/>
  <c r="H120" i="3" s="1"/>
  <c r="I120" i="3" l="1"/>
  <c r="J120" i="3"/>
  <c r="M120" i="3"/>
  <c r="N120" i="3" s="1"/>
  <c r="K120" i="3"/>
  <c r="F120" i="3"/>
  <c r="V120" i="3" l="1"/>
  <c r="W120" i="3" s="1"/>
  <c r="AE120" i="3"/>
  <c r="L120" i="3"/>
  <c r="U120" i="3" l="1"/>
  <c r="E121" i="3" s="1"/>
  <c r="H121" i="3" s="1"/>
  <c r="AG121" i="3"/>
  <c r="AH121" i="3"/>
  <c r="Y119" i="3"/>
  <c r="D121" i="3" l="1"/>
  <c r="F121" i="3" s="1"/>
  <c r="K121" i="3"/>
  <c r="G121" i="3" l="1"/>
  <c r="I121" i="3" s="1"/>
  <c r="V121" i="3"/>
  <c r="AE121" i="3"/>
  <c r="M121" i="3" l="1"/>
  <c r="N121" i="3" s="1"/>
  <c r="J121" i="3"/>
  <c r="L121" i="3" s="1"/>
  <c r="W121" i="3"/>
  <c r="AH122" i="3" l="1"/>
  <c r="AG122" i="3"/>
  <c r="U121" i="3"/>
  <c r="D122" i="3" s="1"/>
  <c r="Y120" i="3"/>
  <c r="E122" i="3" l="1"/>
  <c r="H122" i="3" s="1"/>
  <c r="K122" i="3" s="1"/>
  <c r="G122" i="3"/>
  <c r="F122" i="3" l="1"/>
  <c r="I122" i="3"/>
  <c r="J122" i="3"/>
  <c r="M122" i="3"/>
  <c r="N122" i="3" s="1"/>
  <c r="V122" i="3"/>
  <c r="AE122" i="3"/>
  <c r="W122" i="3" l="1"/>
  <c r="L122" i="3"/>
  <c r="AH123" i="3" l="1"/>
  <c r="AG123" i="3"/>
  <c r="U122" i="3"/>
  <c r="D123" i="3" s="1"/>
  <c r="Y121" i="3"/>
  <c r="G123" i="3" l="1"/>
  <c r="E123" i="3"/>
  <c r="H123" i="3" s="1"/>
  <c r="K123" i="3" l="1"/>
  <c r="I123" i="3"/>
  <c r="J123" i="3"/>
  <c r="M123" i="3"/>
  <c r="N123" i="3" s="1"/>
  <c r="F123" i="3"/>
  <c r="L123" i="3" l="1"/>
  <c r="V123" i="3"/>
  <c r="W123" i="3" s="1"/>
  <c r="AE123" i="3"/>
  <c r="AH124" i="3" l="1"/>
  <c r="U123" i="3"/>
  <c r="E124" i="3" s="1"/>
  <c r="H124" i="3" s="1"/>
  <c r="AG124" i="3"/>
  <c r="Y122" i="3"/>
  <c r="D124" i="3" l="1"/>
  <c r="G124" i="3" s="1"/>
  <c r="K124" i="3"/>
  <c r="F124" i="3" l="1"/>
  <c r="I124" i="3"/>
  <c r="J124" i="3"/>
  <c r="M124" i="3"/>
  <c r="N124" i="3" s="1"/>
  <c r="V124" i="3"/>
  <c r="AE124" i="3"/>
  <c r="W124" i="3" l="1"/>
  <c r="L124" i="3"/>
  <c r="U124" i="3" l="1"/>
  <c r="E125" i="3" s="1"/>
  <c r="H125" i="3" s="1"/>
  <c r="AH125" i="3"/>
  <c r="AG125" i="3"/>
  <c r="Y123" i="3"/>
  <c r="D125" i="3" l="1"/>
  <c r="F125" i="3" s="1"/>
  <c r="K125" i="3"/>
  <c r="G125" i="3" l="1"/>
  <c r="I125" i="3" s="1"/>
  <c r="V125" i="3"/>
  <c r="AE125" i="3"/>
  <c r="J125" i="3" l="1"/>
  <c r="L125" i="3" s="1"/>
  <c r="M125" i="3"/>
  <c r="N125" i="3" s="1"/>
  <c r="W125" i="3"/>
  <c r="AH126" i="3" l="1"/>
  <c r="AG126" i="3"/>
  <c r="U125" i="3"/>
  <c r="E126" i="3" s="1"/>
  <c r="H126" i="3" s="1"/>
  <c r="Y124" i="3"/>
  <c r="K126" i="3" l="1"/>
  <c r="D126" i="3"/>
  <c r="V126" i="3" l="1"/>
  <c r="AE126" i="3"/>
  <c r="F126" i="3"/>
  <c r="G126" i="3"/>
  <c r="I126" i="3" l="1"/>
  <c r="W126" i="3" s="1"/>
  <c r="J126" i="3"/>
  <c r="M126" i="3"/>
  <c r="N126" i="3" s="1"/>
  <c r="L126" i="3" l="1"/>
  <c r="U126" i="3" l="1"/>
  <c r="E127" i="3" s="1"/>
  <c r="H127" i="3" s="1"/>
  <c r="AG127" i="3"/>
  <c r="AH127" i="3"/>
  <c r="Y125" i="3"/>
  <c r="D127" i="3" l="1"/>
  <c r="F127" i="3" s="1"/>
  <c r="K127" i="3"/>
  <c r="G127" i="3" l="1"/>
  <c r="J127" i="3" s="1"/>
  <c r="V127" i="3"/>
  <c r="AE127" i="3"/>
  <c r="M127" i="3" l="1"/>
  <c r="N127" i="3" s="1"/>
  <c r="I127" i="3"/>
  <c r="W127" i="3" s="1"/>
  <c r="L127" i="3"/>
  <c r="AG128" i="3" l="1"/>
  <c r="AH128" i="3"/>
  <c r="U127" i="3"/>
  <c r="D128" i="3" s="1"/>
  <c r="Y126" i="3"/>
  <c r="E128" i="3" l="1"/>
  <c r="H128" i="3" s="1"/>
  <c r="K128" i="3" s="1"/>
  <c r="G128" i="3"/>
  <c r="F128" i="3" l="1"/>
  <c r="I128" i="3"/>
  <c r="J128" i="3"/>
  <c r="M128" i="3"/>
  <c r="N128" i="3" s="1"/>
  <c r="V128" i="3"/>
  <c r="AE128" i="3"/>
  <c r="W128" i="3" l="1"/>
  <c r="L128" i="3"/>
  <c r="AH129" i="3" l="1"/>
  <c r="U128" i="3"/>
  <c r="D129" i="3" s="1"/>
  <c r="AG129" i="3"/>
  <c r="Y127" i="3"/>
  <c r="E129" i="3" l="1"/>
  <c r="H129" i="3" s="1"/>
  <c r="K129" i="3" s="1"/>
  <c r="G129" i="3"/>
  <c r="F129" i="3" l="1"/>
  <c r="V129" i="3"/>
  <c r="AE129" i="3"/>
  <c r="I129" i="3"/>
  <c r="J129" i="3"/>
  <c r="M129" i="3"/>
  <c r="N129" i="3" s="1"/>
  <c r="L129" i="3" l="1"/>
  <c r="W129" i="3"/>
  <c r="AH130" i="3" l="1"/>
  <c r="AG130" i="3"/>
  <c r="U129" i="3"/>
  <c r="D130" i="3" s="1"/>
  <c r="Y128" i="3"/>
  <c r="E130" i="3" l="1"/>
  <c r="H130" i="3" s="1"/>
  <c r="K130" i="3" s="1"/>
  <c r="G130" i="3"/>
  <c r="F130" i="3" l="1"/>
  <c r="V130" i="3"/>
  <c r="AE130" i="3"/>
  <c r="I130" i="3"/>
  <c r="J130" i="3"/>
  <c r="M130" i="3"/>
  <c r="N130" i="3" s="1"/>
  <c r="L130" i="3" l="1"/>
  <c r="W130" i="3"/>
  <c r="AG131" i="3" l="1"/>
  <c r="AH131" i="3"/>
  <c r="U130" i="3"/>
  <c r="E131" i="3" s="1"/>
  <c r="H131" i="3" s="1"/>
  <c r="Y129" i="3"/>
  <c r="K131" i="3" l="1"/>
  <c r="D131" i="3"/>
  <c r="V131" i="3" l="1"/>
  <c r="AE131" i="3"/>
  <c r="F131" i="3"/>
  <c r="G131" i="3"/>
  <c r="I131" i="3" l="1"/>
  <c r="W131" i="3" s="1"/>
  <c r="J131" i="3"/>
  <c r="M131" i="3"/>
  <c r="N131" i="3" s="1"/>
  <c r="L131" i="3" l="1"/>
  <c r="AG132" i="3" l="1"/>
  <c r="AH132" i="3"/>
  <c r="U131" i="3"/>
  <c r="E132" i="3" s="1"/>
  <c r="H132" i="3" s="1"/>
  <c r="Y130" i="3"/>
  <c r="D132" i="3" l="1"/>
  <c r="F132" i="3" s="1"/>
  <c r="K132" i="3"/>
  <c r="G132" i="3" l="1"/>
  <c r="I132" i="3" s="1"/>
  <c r="V132" i="3"/>
  <c r="AE132" i="3"/>
  <c r="M132" i="3" l="1"/>
  <c r="N132" i="3" s="1"/>
  <c r="J132" i="3"/>
  <c r="L132" i="3" s="1"/>
  <c r="W132" i="3"/>
  <c r="U132" i="3" l="1"/>
  <c r="E133" i="3" s="1"/>
  <c r="H133" i="3" s="1"/>
  <c r="AH133" i="3"/>
  <c r="AG133" i="3"/>
  <c r="Y131" i="3"/>
  <c r="D133" i="3" l="1"/>
  <c r="F133" i="3" s="1"/>
  <c r="K133" i="3"/>
  <c r="G133" i="3" l="1"/>
  <c r="I133" i="3" s="1"/>
  <c r="V133" i="3"/>
  <c r="AE133" i="3"/>
  <c r="M133" i="3" l="1"/>
  <c r="N133" i="3" s="1"/>
  <c r="J133" i="3"/>
  <c r="L133" i="3" s="1"/>
  <c r="W133" i="3"/>
  <c r="AH134" i="3" l="1"/>
  <c r="U133" i="3"/>
  <c r="E134" i="3" s="1"/>
  <c r="H134" i="3" s="1"/>
  <c r="AG134" i="3"/>
  <c r="Y132" i="3"/>
  <c r="D134" i="3" l="1"/>
  <c r="F134" i="3" s="1"/>
  <c r="K134" i="3"/>
  <c r="G134" i="3" l="1"/>
  <c r="I134" i="3" s="1"/>
  <c r="V134" i="3"/>
  <c r="AE134" i="3"/>
  <c r="M134" i="3" l="1"/>
  <c r="N134" i="3" s="1"/>
  <c r="J134" i="3"/>
  <c r="L134" i="3" s="1"/>
  <c r="W134" i="3"/>
  <c r="AH135" i="3" l="1"/>
  <c r="U134" i="3"/>
  <c r="E135" i="3" s="1"/>
  <c r="H135" i="3" s="1"/>
  <c r="AG135" i="3"/>
  <c r="Y133" i="3"/>
  <c r="D135" i="3" l="1"/>
  <c r="F135" i="3" s="1"/>
  <c r="K135" i="3"/>
  <c r="G135" i="3" l="1"/>
  <c r="I135" i="3" s="1"/>
  <c r="V135" i="3"/>
  <c r="AE135" i="3"/>
  <c r="M135" i="3" l="1"/>
  <c r="N135" i="3" s="1"/>
  <c r="J135" i="3"/>
  <c r="L135" i="3" s="1"/>
  <c r="W135" i="3"/>
  <c r="AG136" i="3" l="1"/>
  <c r="AH136" i="3"/>
  <c r="U135" i="3"/>
  <c r="D136" i="3" s="1"/>
  <c r="Y134" i="3"/>
  <c r="G136" i="3" l="1"/>
  <c r="E136" i="3"/>
  <c r="H136" i="3" s="1"/>
  <c r="K136" i="3" l="1"/>
  <c r="I136" i="3"/>
  <c r="J136" i="3"/>
  <c r="M136" i="3"/>
  <c r="N136" i="3" s="1"/>
  <c r="F136" i="3"/>
  <c r="L136" i="3" l="1"/>
  <c r="V136" i="3"/>
  <c r="W136" i="3" s="1"/>
  <c r="AE136" i="3"/>
  <c r="AG137" i="3" l="1"/>
  <c r="AH137" i="3"/>
  <c r="U136" i="3"/>
  <c r="D137" i="3" s="1"/>
  <c r="Y135" i="3"/>
  <c r="E137" i="3" l="1"/>
  <c r="H137" i="3" s="1"/>
  <c r="K137" i="3" s="1"/>
  <c r="G137" i="3"/>
  <c r="F137" i="3" l="1"/>
  <c r="V137" i="3"/>
  <c r="AE137" i="3"/>
  <c r="I137" i="3"/>
  <c r="J137" i="3"/>
  <c r="M137" i="3"/>
  <c r="N137" i="3" s="1"/>
  <c r="L137" i="3" l="1"/>
  <c r="W137" i="3"/>
  <c r="AG138" i="3" l="1"/>
  <c r="U137" i="3"/>
  <c r="E138" i="3" s="1"/>
  <c r="H138" i="3" s="1"/>
  <c r="AH138" i="3"/>
  <c r="Y136" i="3"/>
  <c r="D138" i="3" l="1"/>
  <c r="F138" i="3" s="1"/>
  <c r="K138" i="3"/>
  <c r="G138" i="3" l="1"/>
  <c r="I138" i="3" s="1"/>
  <c r="V138" i="3"/>
  <c r="AE138" i="3"/>
  <c r="M138" i="3" l="1"/>
  <c r="N138" i="3" s="1"/>
  <c r="J138" i="3"/>
  <c r="L138" i="3" s="1"/>
  <c r="W138" i="3"/>
  <c r="AG139" i="3" l="1"/>
  <c r="U138" i="3"/>
  <c r="E139" i="3" s="1"/>
  <c r="H139" i="3" s="1"/>
  <c r="AH139" i="3"/>
  <c r="Y137" i="3"/>
  <c r="D139" i="3" l="1"/>
  <c r="F139" i="3" s="1"/>
  <c r="K139" i="3"/>
  <c r="G139" i="3" l="1"/>
  <c r="I139" i="3" s="1"/>
  <c r="V139" i="3"/>
  <c r="AE139" i="3"/>
  <c r="M139" i="3" l="1"/>
  <c r="N139" i="3" s="1"/>
  <c r="J139" i="3"/>
  <c r="L139" i="3" s="1"/>
  <c r="W139" i="3"/>
  <c r="AH140" i="3" l="1"/>
  <c r="AG140" i="3"/>
  <c r="U139" i="3"/>
  <c r="D140" i="3" s="1"/>
  <c r="Y138" i="3"/>
  <c r="E140" i="3" l="1"/>
  <c r="H140" i="3" s="1"/>
  <c r="K140" i="3" s="1"/>
  <c r="G140" i="3"/>
  <c r="F140" i="3" l="1"/>
  <c r="V140" i="3"/>
  <c r="AE140" i="3"/>
  <c r="I140" i="3"/>
  <c r="J140" i="3"/>
  <c r="M140" i="3"/>
  <c r="N140" i="3" s="1"/>
  <c r="L140" i="3" l="1"/>
  <c r="W140" i="3"/>
  <c r="AH141" i="3" l="1"/>
  <c r="AG141" i="3"/>
  <c r="U140" i="3"/>
  <c r="D141" i="3" s="1"/>
  <c r="Y139" i="3"/>
  <c r="E141" i="3" l="1"/>
  <c r="H141" i="3" s="1"/>
  <c r="K141" i="3" s="1"/>
  <c r="G141" i="3"/>
  <c r="F141" i="3" l="1"/>
  <c r="I141" i="3"/>
  <c r="J141" i="3"/>
  <c r="M141" i="3"/>
  <c r="N141" i="3" s="1"/>
  <c r="V141" i="3"/>
  <c r="AE141" i="3"/>
  <c r="W141" i="3" l="1"/>
  <c r="L141" i="3"/>
  <c r="AH142" i="3" l="1"/>
  <c r="AG142" i="3"/>
  <c r="U141" i="3"/>
  <c r="D142" i="3" s="1"/>
  <c r="Y140" i="3"/>
  <c r="E142" i="3" l="1"/>
  <c r="H142" i="3" s="1"/>
  <c r="K142" i="3" s="1"/>
  <c r="G142" i="3"/>
  <c r="F142" i="3" l="1"/>
  <c r="I142" i="3"/>
  <c r="J142" i="3"/>
  <c r="M142" i="3"/>
  <c r="N142" i="3" s="1"/>
  <c r="V142" i="3"/>
  <c r="AE142" i="3"/>
  <c r="W142" i="3" l="1"/>
  <c r="L142" i="3"/>
  <c r="U142" i="3" l="1"/>
  <c r="E143" i="3" s="1"/>
  <c r="H143" i="3" s="1"/>
  <c r="AG143" i="3"/>
  <c r="AH143" i="3"/>
  <c r="Y141" i="3"/>
  <c r="D143" i="3" l="1"/>
  <c r="F143" i="3" s="1"/>
  <c r="K143" i="3"/>
  <c r="G143" i="3" l="1"/>
  <c r="I143" i="3" s="1"/>
  <c r="V143" i="3"/>
  <c r="AE143" i="3"/>
  <c r="M143" i="3" l="1"/>
  <c r="N143" i="3" s="1"/>
  <c r="J143" i="3"/>
  <c r="L143" i="3" s="1"/>
  <c r="W143" i="3"/>
  <c r="AH144" i="3" l="1"/>
  <c r="U143" i="3"/>
  <c r="E144" i="3" s="1"/>
  <c r="H144" i="3" s="1"/>
  <c r="AG144" i="3"/>
  <c r="Y142" i="3"/>
  <c r="D144" i="3" l="1"/>
  <c r="F144" i="3" s="1"/>
  <c r="K144" i="3"/>
  <c r="G144" i="3" l="1"/>
  <c r="I144" i="3" s="1"/>
  <c r="V144" i="3"/>
  <c r="AE144" i="3"/>
  <c r="M144" i="3" l="1"/>
  <c r="N144" i="3" s="1"/>
  <c r="J144" i="3"/>
  <c r="L144" i="3" s="1"/>
  <c r="W144" i="3"/>
  <c r="AG145" i="3" l="1"/>
  <c r="AH145" i="3"/>
  <c r="U144" i="3"/>
  <c r="D145" i="3" s="1"/>
  <c r="Y143" i="3"/>
  <c r="E145" i="3" l="1"/>
  <c r="H145" i="3" s="1"/>
  <c r="K145" i="3" s="1"/>
  <c r="G145" i="3"/>
  <c r="F145" i="3" l="1"/>
  <c r="V145" i="3"/>
  <c r="AE145" i="3"/>
  <c r="I145" i="3"/>
  <c r="J145" i="3"/>
  <c r="M145" i="3"/>
  <c r="N145" i="3" s="1"/>
  <c r="L145" i="3" l="1"/>
  <c r="W145" i="3"/>
  <c r="AH146" i="3" l="1"/>
  <c r="U145" i="3"/>
  <c r="E146" i="3" s="1"/>
  <c r="H146" i="3" s="1"/>
  <c r="AG146" i="3"/>
  <c r="Y144" i="3"/>
  <c r="D146" i="3" l="1"/>
  <c r="F146" i="3" s="1"/>
  <c r="K146" i="3"/>
  <c r="G146" i="3" l="1"/>
  <c r="I146" i="3" s="1"/>
  <c r="V146" i="3"/>
  <c r="AE146" i="3"/>
  <c r="M146" i="3" l="1"/>
  <c r="N146" i="3" s="1"/>
  <c r="J146" i="3"/>
  <c r="L146" i="3" s="1"/>
  <c r="W146" i="3"/>
  <c r="AG147" i="3" l="1"/>
  <c r="AH147" i="3"/>
  <c r="U146" i="3"/>
  <c r="E147" i="3" s="1"/>
  <c r="H147" i="3" s="1"/>
  <c r="Y145" i="3"/>
  <c r="K147" i="3" l="1"/>
  <c r="D147" i="3"/>
  <c r="F147" i="3" l="1"/>
  <c r="G147" i="3"/>
  <c r="V147" i="3"/>
  <c r="AE147" i="3"/>
  <c r="I147" i="3" l="1"/>
  <c r="W147" i="3" s="1"/>
  <c r="J147" i="3"/>
  <c r="M147" i="3"/>
  <c r="N147" i="3" s="1"/>
  <c r="L147" i="3" l="1"/>
  <c r="U147" i="3" l="1"/>
  <c r="E148" i="3" s="1"/>
  <c r="H148" i="3" s="1"/>
  <c r="AH148" i="3"/>
  <c r="AG148" i="3"/>
  <c r="Y146" i="3"/>
  <c r="D148" i="3" l="1"/>
  <c r="F148" i="3" s="1"/>
  <c r="K148" i="3"/>
  <c r="G148" i="3" l="1"/>
  <c r="M148" i="3" s="1"/>
  <c r="N148" i="3" s="1"/>
  <c r="V148" i="3"/>
  <c r="AE148" i="3"/>
  <c r="J148" i="3" l="1"/>
  <c r="L148" i="3" s="1"/>
  <c r="I148" i="3"/>
  <c r="W148" i="3" s="1"/>
  <c r="U148" i="3" l="1"/>
  <c r="D149" i="3" s="1"/>
  <c r="AH149" i="3"/>
  <c r="AG149" i="3"/>
  <c r="Y147" i="3"/>
  <c r="E149" i="3" l="1"/>
  <c r="H149" i="3" s="1"/>
  <c r="K149" i="3" s="1"/>
  <c r="G149" i="3"/>
  <c r="F149" i="3" l="1"/>
  <c r="I149" i="3"/>
  <c r="J149" i="3"/>
  <c r="M149" i="3"/>
  <c r="N149" i="3" s="1"/>
  <c r="V149" i="3"/>
  <c r="W149" i="3" s="1"/>
  <c r="AE149" i="3"/>
  <c r="L149" i="3" l="1"/>
  <c r="AG150" i="3" l="1"/>
  <c r="U149" i="3"/>
  <c r="E150" i="3" s="1"/>
  <c r="H150" i="3" s="1"/>
  <c r="AH150" i="3"/>
  <c r="Y148" i="3"/>
  <c r="D150" i="3" l="1"/>
  <c r="F150" i="3" s="1"/>
  <c r="K150" i="3"/>
  <c r="G150" i="3" l="1"/>
  <c r="M150" i="3" s="1"/>
  <c r="N150" i="3" s="1"/>
  <c r="V150" i="3"/>
  <c r="AE150" i="3"/>
  <c r="J150" i="3" l="1"/>
  <c r="L150" i="3" s="1"/>
  <c r="I150" i="3"/>
  <c r="W150" i="3" s="1"/>
  <c r="AG151" i="3" l="1"/>
  <c r="U150" i="3"/>
  <c r="E151" i="3" s="1"/>
  <c r="H151" i="3" s="1"/>
  <c r="AH151" i="3"/>
  <c r="Y149" i="3"/>
  <c r="D151" i="3" l="1"/>
  <c r="F151" i="3" s="1"/>
  <c r="K151" i="3"/>
  <c r="G151" i="3" l="1"/>
  <c r="I151" i="3" s="1"/>
  <c r="V151" i="3"/>
  <c r="AE151" i="3"/>
  <c r="M151" i="3" l="1"/>
  <c r="N151" i="3" s="1"/>
  <c r="J151" i="3"/>
  <c r="L151" i="3" s="1"/>
  <c r="W151" i="3"/>
  <c r="U151" i="3" l="1"/>
  <c r="D152" i="3" s="1"/>
  <c r="AG152" i="3"/>
  <c r="AH152" i="3"/>
  <c r="Y150" i="3"/>
  <c r="E152" i="3" l="1"/>
  <c r="H152" i="3" s="1"/>
  <c r="K152" i="3" s="1"/>
  <c r="G152" i="3"/>
  <c r="F152" i="3" l="1"/>
  <c r="V152" i="3"/>
  <c r="AE152" i="3"/>
  <c r="I152" i="3"/>
  <c r="J152" i="3"/>
  <c r="M152" i="3"/>
  <c r="N152" i="3" s="1"/>
  <c r="L152" i="3" l="1"/>
  <c r="W152" i="3"/>
  <c r="U152" i="3" l="1"/>
  <c r="D153" i="3" s="1"/>
  <c r="AG153" i="3"/>
  <c r="AH153" i="3"/>
  <c r="Y151" i="3"/>
  <c r="E153" i="3" l="1"/>
  <c r="H153" i="3" s="1"/>
  <c r="K153" i="3" s="1"/>
  <c r="G153" i="3"/>
  <c r="F153" i="3" l="1"/>
  <c r="I153" i="3"/>
  <c r="J153" i="3"/>
  <c r="M153" i="3"/>
  <c r="N153" i="3" s="1"/>
  <c r="V153" i="3"/>
  <c r="AE153" i="3"/>
  <c r="W153" i="3" l="1"/>
  <c r="L153" i="3"/>
  <c r="AH154" i="3" l="1"/>
  <c r="AG154" i="3"/>
  <c r="U153" i="3"/>
  <c r="E154" i="3" s="1"/>
  <c r="H154" i="3" s="1"/>
  <c r="Y152" i="3"/>
  <c r="D154" i="3" l="1"/>
  <c r="F154" i="3" s="1"/>
  <c r="K154" i="3"/>
  <c r="G154" i="3" l="1"/>
  <c r="I154" i="3" s="1"/>
  <c r="V154" i="3"/>
  <c r="AE154" i="3"/>
  <c r="M154" i="3" l="1"/>
  <c r="N154" i="3" s="1"/>
  <c r="J154" i="3"/>
  <c r="L154" i="3" s="1"/>
  <c r="W154" i="3"/>
  <c r="AH155" i="3" l="1"/>
  <c r="AG155" i="3"/>
  <c r="U154" i="3"/>
  <c r="D155" i="3" s="1"/>
  <c r="Y153" i="3"/>
  <c r="E155" i="3" l="1"/>
  <c r="H155" i="3" s="1"/>
  <c r="K155" i="3" s="1"/>
  <c r="G155" i="3"/>
  <c r="F155" i="3" l="1"/>
  <c r="V155" i="3"/>
  <c r="AE155" i="3"/>
  <c r="I155" i="3"/>
  <c r="J155" i="3"/>
  <c r="M155" i="3"/>
  <c r="N155" i="3" s="1"/>
  <c r="W155" i="3" l="1"/>
  <c r="L155" i="3"/>
  <c r="AH156" i="3" l="1"/>
  <c r="AG156" i="3"/>
  <c r="U155" i="3"/>
  <c r="E156" i="3" s="1"/>
  <c r="H156" i="3" s="1"/>
  <c r="Y154" i="3"/>
  <c r="D156" i="3" l="1"/>
  <c r="F156" i="3" s="1"/>
  <c r="K156" i="3"/>
  <c r="G156" i="3" l="1"/>
  <c r="I156" i="3" s="1"/>
  <c r="V156" i="3"/>
  <c r="AE156" i="3"/>
  <c r="M156" i="3" l="1"/>
  <c r="N156" i="3" s="1"/>
  <c r="J156" i="3"/>
  <c r="L156" i="3" s="1"/>
  <c r="W156" i="3"/>
  <c r="AG157" i="3" l="1"/>
  <c r="AH157" i="3"/>
  <c r="U156" i="3"/>
  <c r="E157" i="3" s="1"/>
  <c r="H157" i="3" s="1"/>
  <c r="Y155" i="3"/>
  <c r="D157" i="3" l="1"/>
  <c r="F157" i="3" s="1"/>
  <c r="K157" i="3"/>
  <c r="G157" i="3" l="1"/>
  <c r="I157" i="3" s="1"/>
  <c r="V157" i="3"/>
  <c r="AE157" i="3"/>
  <c r="M157" i="3" l="1"/>
  <c r="N157" i="3" s="1"/>
  <c r="J157" i="3"/>
  <c r="L157" i="3" s="1"/>
  <c r="W157" i="3"/>
  <c r="AG158" i="3" l="1"/>
  <c r="AH158" i="3"/>
  <c r="U157" i="3"/>
  <c r="D158" i="3" s="1"/>
  <c r="Y156" i="3"/>
  <c r="E158" i="3" l="1"/>
  <c r="H158" i="3" s="1"/>
  <c r="K158" i="3" s="1"/>
  <c r="G158" i="3"/>
  <c r="F158" i="3" l="1"/>
  <c r="V158" i="3"/>
  <c r="AE158" i="3"/>
  <c r="I158" i="3"/>
  <c r="J158" i="3"/>
  <c r="M158" i="3"/>
  <c r="N158" i="3" s="1"/>
  <c r="L158" i="3" l="1"/>
  <c r="W158" i="3"/>
  <c r="AH159" i="3" l="1"/>
  <c r="AG159" i="3"/>
  <c r="U158" i="3"/>
  <c r="D159" i="3" s="1"/>
  <c r="Y157" i="3"/>
  <c r="E159" i="3" l="1"/>
  <c r="H159" i="3" s="1"/>
  <c r="K159" i="3" s="1"/>
  <c r="G159" i="3"/>
  <c r="F159" i="3" l="1"/>
  <c r="V159" i="3"/>
  <c r="AE159" i="3"/>
  <c r="I159" i="3"/>
  <c r="J159" i="3"/>
  <c r="M159" i="3"/>
  <c r="N159" i="3" s="1"/>
  <c r="L159" i="3" l="1"/>
  <c r="W159" i="3"/>
  <c r="AG160" i="3" l="1"/>
  <c r="AH160" i="3"/>
  <c r="U159" i="3"/>
  <c r="E160" i="3" s="1"/>
  <c r="H160" i="3" s="1"/>
  <c r="Y158" i="3"/>
  <c r="D160" i="3" l="1"/>
  <c r="F160" i="3" s="1"/>
  <c r="K160" i="3"/>
  <c r="G160" i="3" l="1"/>
  <c r="I160" i="3" s="1"/>
  <c r="V160" i="3"/>
  <c r="AE160" i="3"/>
  <c r="W160" i="3" l="1"/>
  <c r="M160" i="3"/>
  <c r="N160" i="3" s="1"/>
  <c r="J160" i="3"/>
  <c r="L160" i="3" s="1"/>
  <c r="AG161" i="3" l="1"/>
  <c r="AH161" i="3"/>
  <c r="U160" i="3"/>
  <c r="E161" i="3" s="1"/>
  <c r="H161" i="3" s="1"/>
  <c r="Y159" i="3"/>
  <c r="D161" i="3" l="1"/>
  <c r="F161" i="3" s="1"/>
  <c r="K161" i="3"/>
  <c r="G161" i="3" l="1"/>
  <c r="J161" i="3" s="1"/>
  <c r="V161" i="3"/>
  <c r="AE161" i="3"/>
  <c r="I161" i="3" l="1"/>
  <c r="W161" i="3" s="1"/>
  <c r="M161" i="3"/>
  <c r="N161" i="3" s="1"/>
  <c r="L161" i="3"/>
  <c r="AG162" i="3" l="1"/>
  <c r="AH162" i="3"/>
  <c r="U161" i="3"/>
  <c r="E162" i="3" s="1"/>
  <c r="H162" i="3" s="1"/>
  <c r="Y160" i="3"/>
  <c r="D162" i="3" l="1"/>
  <c r="F162" i="3" s="1"/>
  <c r="K162" i="3"/>
  <c r="G162" i="3" l="1"/>
  <c r="I162" i="3" s="1"/>
  <c r="V162" i="3"/>
  <c r="AE162" i="3"/>
  <c r="M162" i="3" l="1"/>
  <c r="N162" i="3" s="1"/>
  <c r="J162" i="3"/>
  <c r="L162" i="3" s="1"/>
  <c r="W162" i="3"/>
  <c r="U162" i="3" l="1"/>
  <c r="E163" i="3" s="1"/>
  <c r="H163" i="3" s="1"/>
  <c r="AH163" i="3"/>
  <c r="AG163" i="3"/>
  <c r="Y161" i="3"/>
  <c r="D163" i="3" l="1"/>
  <c r="F163" i="3" s="1"/>
  <c r="K163" i="3"/>
  <c r="G163" i="3" l="1"/>
  <c r="I163" i="3" s="1"/>
  <c r="V163" i="3"/>
  <c r="AE163" i="3"/>
  <c r="M163" i="3" l="1"/>
  <c r="N163" i="3" s="1"/>
  <c r="J163" i="3"/>
  <c r="L163" i="3" s="1"/>
  <c r="W163" i="3"/>
  <c r="AH164" i="3" l="1"/>
  <c r="AG164" i="3"/>
  <c r="U163" i="3"/>
  <c r="D164" i="3" s="1"/>
  <c r="Y162" i="3"/>
  <c r="E164" i="3" l="1"/>
  <c r="H164" i="3" s="1"/>
  <c r="K164" i="3" s="1"/>
  <c r="G164" i="3"/>
  <c r="F164" i="3" l="1"/>
  <c r="V164" i="3"/>
  <c r="AE164" i="3"/>
  <c r="I164" i="3"/>
  <c r="J164" i="3"/>
  <c r="M164" i="3"/>
  <c r="N164" i="3" s="1"/>
  <c r="L164" i="3" l="1"/>
  <c r="W164" i="3"/>
  <c r="AH165" i="3" l="1"/>
  <c r="AG165" i="3"/>
  <c r="U164" i="3"/>
  <c r="D165" i="3" s="1"/>
  <c r="Y163" i="3"/>
  <c r="E165" i="3" l="1"/>
  <c r="H165" i="3" s="1"/>
  <c r="K165" i="3" s="1"/>
  <c r="G165" i="3"/>
  <c r="F165" i="3" l="1"/>
  <c r="V165" i="3"/>
  <c r="AE165" i="3"/>
  <c r="I165" i="3"/>
  <c r="J165" i="3"/>
  <c r="M165" i="3"/>
  <c r="N165" i="3" s="1"/>
  <c r="L165" i="3" l="1"/>
  <c r="W165" i="3"/>
  <c r="AG166" i="3" l="1"/>
  <c r="U165" i="3"/>
  <c r="E166" i="3" s="1"/>
  <c r="H166" i="3" s="1"/>
  <c r="AH166" i="3"/>
  <c r="Y164" i="3"/>
  <c r="D166" i="3" l="1"/>
  <c r="F166" i="3" s="1"/>
  <c r="K166" i="3"/>
  <c r="G166" i="3" l="1"/>
  <c r="I166" i="3" s="1"/>
  <c r="V166" i="3"/>
  <c r="AE166" i="3"/>
  <c r="M166" i="3" l="1"/>
  <c r="N166" i="3" s="1"/>
  <c r="J166" i="3"/>
  <c r="L166" i="3" s="1"/>
  <c r="W166" i="3"/>
  <c r="AH167" i="3" l="1"/>
  <c r="AG167" i="3"/>
  <c r="U166" i="3"/>
  <c r="E167" i="3" s="1"/>
  <c r="H167" i="3" s="1"/>
  <c r="Y165" i="3"/>
  <c r="D167" i="3" l="1"/>
  <c r="F167" i="3" s="1"/>
  <c r="K167" i="3"/>
  <c r="G167" i="3" l="1"/>
  <c r="I167" i="3" s="1"/>
  <c r="V167" i="3"/>
  <c r="AE167" i="3"/>
  <c r="M167" i="3" l="1"/>
  <c r="N167" i="3" s="1"/>
  <c r="W167" i="3"/>
  <c r="J167" i="3"/>
  <c r="L167" i="3" s="1"/>
  <c r="AH168" i="3" l="1"/>
  <c r="AG168" i="3"/>
  <c r="U167" i="3"/>
  <c r="E168" i="3" s="1"/>
  <c r="H168" i="3" s="1"/>
  <c r="Y166" i="3"/>
  <c r="K168" i="3" l="1"/>
  <c r="D168" i="3"/>
  <c r="F168" i="3" l="1"/>
  <c r="G168" i="3"/>
  <c r="V168" i="3"/>
  <c r="AE168" i="3"/>
  <c r="I168" i="3" l="1"/>
  <c r="W168" i="3" s="1"/>
  <c r="J168" i="3"/>
  <c r="M168" i="3"/>
  <c r="N168" i="3" s="1"/>
  <c r="L168" i="3" l="1"/>
  <c r="AG169" i="3" l="1"/>
  <c r="AH169" i="3"/>
  <c r="U168" i="3"/>
  <c r="E169" i="3" s="1"/>
  <c r="H169" i="3" s="1"/>
  <c r="Y167" i="3"/>
  <c r="D169" i="3" l="1"/>
  <c r="F169" i="3" s="1"/>
  <c r="K169" i="3"/>
  <c r="G169" i="3" l="1"/>
  <c r="I169" i="3" s="1"/>
  <c r="V169" i="3"/>
  <c r="AE169" i="3"/>
  <c r="M169" i="3" l="1"/>
  <c r="N169" i="3" s="1"/>
  <c r="J169" i="3"/>
  <c r="L169" i="3" s="1"/>
  <c r="W169" i="3"/>
  <c r="AG170" i="3" l="1"/>
  <c r="AH170" i="3"/>
  <c r="U169" i="3"/>
  <c r="E170" i="3" s="1"/>
  <c r="H170" i="3" s="1"/>
  <c r="Y168" i="3"/>
  <c r="K170" i="3" l="1"/>
  <c r="D170" i="3"/>
  <c r="F170" i="3" l="1"/>
  <c r="G170" i="3"/>
  <c r="V170" i="3"/>
  <c r="AE170" i="3"/>
  <c r="I170" i="3" l="1"/>
  <c r="W170" i="3" s="1"/>
  <c r="J170" i="3"/>
  <c r="M170" i="3"/>
  <c r="N170" i="3" s="1"/>
  <c r="L170" i="3" l="1"/>
  <c r="AG171" i="3" l="1"/>
  <c r="AH171" i="3"/>
  <c r="U170" i="3"/>
  <c r="D171" i="3" s="1"/>
  <c r="Y169" i="3"/>
  <c r="E171" i="3" l="1"/>
  <c r="H171" i="3" s="1"/>
  <c r="K171" i="3" s="1"/>
  <c r="G171" i="3"/>
  <c r="F171" i="3" l="1"/>
  <c r="V171" i="3"/>
  <c r="AE171" i="3"/>
  <c r="I171" i="3"/>
  <c r="J171" i="3"/>
  <c r="M171" i="3"/>
  <c r="N171" i="3" s="1"/>
  <c r="L171" i="3" l="1"/>
  <c r="W171" i="3"/>
  <c r="U171" i="3" l="1"/>
  <c r="D172" i="3" s="1"/>
  <c r="AG172" i="3"/>
  <c r="AH172" i="3"/>
  <c r="Y170" i="3"/>
  <c r="E172" i="3" l="1"/>
  <c r="H172" i="3" s="1"/>
  <c r="K172" i="3" s="1"/>
  <c r="G172" i="3"/>
  <c r="F172" i="3" l="1"/>
  <c r="V172" i="3"/>
  <c r="AE172" i="3"/>
  <c r="I172" i="3"/>
  <c r="J172" i="3"/>
  <c r="M172" i="3"/>
  <c r="N172" i="3" s="1"/>
  <c r="W172" i="3" l="1"/>
  <c r="L172" i="3"/>
  <c r="AG173" i="3" l="1"/>
  <c r="U172" i="3"/>
  <c r="D173" i="3" s="1"/>
  <c r="AH173" i="3"/>
  <c r="Y171" i="3"/>
  <c r="E173" i="3" l="1"/>
  <c r="H173" i="3" s="1"/>
  <c r="K173" i="3" s="1"/>
  <c r="G173" i="3"/>
  <c r="F173" i="3" l="1"/>
  <c r="V173" i="3"/>
  <c r="AE173" i="3"/>
  <c r="I173" i="3"/>
  <c r="J173" i="3"/>
  <c r="M173" i="3"/>
  <c r="N173" i="3" s="1"/>
  <c r="L173" i="3" l="1"/>
  <c r="W173" i="3"/>
  <c r="U173" i="3" l="1"/>
  <c r="D174" i="3" s="1"/>
  <c r="AG174" i="3"/>
  <c r="AH174" i="3"/>
  <c r="Y172" i="3"/>
  <c r="E174" i="3" l="1"/>
  <c r="H174" i="3" s="1"/>
  <c r="K174" i="3" s="1"/>
  <c r="G174" i="3"/>
  <c r="F174" i="3" l="1"/>
  <c r="V174" i="3"/>
  <c r="AE174" i="3"/>
  <c r="I174" i="3"/>
  <c r="J174" i="3"/>
  <c r="M174" i="3"/>
  <c r="N174" i="3" s="1"/>
  <c r="L174" i="3" l="1"/>
  <c r="W174" i="3"/>
  <c r="U174" i="3" l="1"/>
  <c r="D175" i="3" s="1"/>
  <c r="AG175" i="3"/>
  <c r="AH175" i="3"/>
  <c r="Y173" i="3"/>
  <c r="E175" i="3" l="1"/>
  <c r="H175" i="3" s="1"/>
  <c r="K175" i="3" s="1"/>
  <c r="G175" i="3"/>
  <c r="F175" i="3" l="1"/>
  <c r="I175" i="3"/>
  <c r="J175" i="3"/>
  <c r="M175" i="3"/>
  <c r="N175" i="3" s="1"/>
  <c r="V175" i="3"/>
  <c r="AE175" i="3"/>
  <c r="W175" i="3" l="1"/>
  <c r="L175" i="3"/>
  <c r="U175" i="3" l="1"/>
  <c r="D176" i="3" s="1"/>
  <c r="AG176" i="3"/>
  <c r="AH176" i="3"/>
  <c r="Y174" i="3"/>
  <c r="E176" i="3" l="1"/>
  <c r="H176" i="3" s="1"/>
  <c r="K176" i="3" s="1"/>
  <c r="G176" i="3"/>
  <c r="F176" i="3" l="1"/>
  <c r="V176" i="3"/>
  <c r="AE176" i="3"/>
  <c r="I176" i="3"/>
  <c r="J176" i="3"/>
  <c r="M176" i="3"/>
  <c r="N176" i="3" s="1"/>
  <c r="L176" i="3" l="1"/>
  <c r="W176" i="3"/>
  <c r="AH177" i="3" l="1"/>
  <c r="U176" i="3"/>
  <c r="E177" i="3" s="1"/>
  <c r="H177" i="3" s="1"/>
  <c r="AG177" i="3"/>
  <c r="Y175" i="3"/>
  <c r="D177" i="3" l="1"/>
  <c r="F177" i="3" s="1"/>
  <c r="K177" i="3"/>
  <c r="G177" i="3" l="1"/>
  <c r="I177" i="3" s="1"/>
  <c r="V177" i="3"/>
  <c r="AE177" i="3"/>
  <c r="J177" i="3" l="1"/>
  <c r="L177" i="3" s="1"/>
  <c r="M177" i="3"/>
  <c r="N177" i="3" s="1"/>
  <c r="W177" i="3"/>
  <c r="AH178" i="3" l="1"/>
  <c r="U177" i="3"/>
  <c r="E178" i="3" s="1"/>
  <c r="H178" i="3" s="1"/>
  <c r="AG178" i="3"/>
  <c r="Y176" i="3"/>
  <c r="D178" i="3" l="1"/>
  <c r="G178" i="3" s="1"/>
  <c r="K178" i="3"/>
  <c r="F178" i="3" l="1"/>
  <c r="I178" i="3"/>
  <c r="J178" i="3"/>
  <c r="M178" i="3"/>
  <c r="N178" i="3" s="1"/>
  <c r="V178" i="3"/>
  <c r="AE178" i="3"/>
  <c r="W178" i="3" l="1"/>
  <c r="L178" i="3"/>
  <c r="U178" i="3" l="1"/>
  <c r="D179" i="3" s="1"/>
  <c r="AG179" i="3"/>
  <c r="AH179" i="3"/>
  <c r="Y177" i="3"/>
  <c r="E179" i="3" l="1"/>
  <c r="H179" i="3" s="1"/>
  <c r="K179" i="3" s="1"/>
  <c r="G179" i="3"/>
  <c r="F179" i="3" l="1"/>
  <c r="I179" i="3"/>
  <c r="J179" i="3"/>
  <c r="M179" i="3"/>
  <c r="N179" i="3" s="1"/>
  <c r="V179" i="3"/>
  <c r="AE179" i="3"/>
  <c r="W179" i="3" l="1"/>
  <c r="L179" i="3"/>
  <c r="AG180" i="3" l="1"/>
  <c r="U179" i="3"/>
  <c r="D180" i="3" s="1"/>
  <c r="AH180" i="3"/>
  <c r="Y178" i="3"/>
  <c r="E180" i="3" l="1"/>
  <c r="H180" i="3" s="1"/>
  <c r="K180" i="3" s="1"/>
  <c r="G180" i="3"/>
  <c r="F180" i="3" l="1"/>
  <c r="V180" i="3"/>
  <c r="AE180" i="3"/>
  <c r="I180" i="3"/>
  <c r="J180" i="3"/>
  <c r="M180" i="3"/>
  <c r="N180" i="3" s="1"/>
  <c r="W180" i="3" l="1"/>
  <c r="L180" i="3"/>
  <c r="U180" i="3" l="1"/>
  <c r="E181" i="3" s="1"/>
  <c r="H181" i="3" s="1"/>
  <c r="AG181" i="3"/>
  <c r="AH181" i="3"/>
  <c r="Y179" i="3"/>
  <c r="D181" i="3" l="1"/>
  <c r="F181" i="3" s="1"/>
  <c r="K181" i="3"/>
  <c r="G181" i="3" l="1"/>
  <c r="I181" i="3" s="1"/>
  <c r="V181" i="3"/>
  <c r="AE181" i="3"/>
  <c r="M181" i="3" l="1"/>
  <c r="N181" i="3" s="1"/>
  <c r="J181" i="3"/>
  <c r="L181" i="3" s="1"/>
  <c r="W181" i="3"/>
  <c r="AH182" i="3" l="1"/>
  <c r="U181" i="3"/>
  <c r="E182" i="3" s="1"/>
  <c r="H182" i="3" s="1"/>
  <c r="AG182" i="3"/>
  <c r="Y180" i="3"/>
  <c r="D182" i="3" l="1"/>
  <c r="F182" i="3" s="1"/>
  <c r="K182" i="3"/>
  <c r="G182" i="3" l="1"/>
  <c r="I182" i="3" s="1"/>
  <c r="V182" i="3"/>
  <c r="AE182" i="3"/>
  <c r="M182" i="3" l="1"/>
  <c r="N182" i="3" s="1"/>
  <c r="J182" i="3"/>
  <c r="L182" i="3" s="1"/>
  <c r="W182" i="3"/>
  <c r="U182" i="3" l="1"/>
  <c r="D183" i="3" s="1"/>
  <c r="AH183" i="3"/>
  <c r="AG183" i="3"/>
  <c r="Y181" i="3"/>
  <c r="E183" i="3" l="1"/>
  <c r="H183" i="3" s="1"/>
  <c r="K183" i="3" s="1"/>
  <c r="G183" i="3"/>
  <c r="F183" i="3" l="1"/>
  <c r="I183" i="3"/>
  <c r="J183" i="3"/>
  <c r="M183" i="3"/>
  <c r="N183" i="3" s="1"/>
  <c r="V183" i="3"/>
  <c r="AE183" i="3"/>
  <c r="W183" i="3" l="1"/>
  <c r="L183" i="3"/>
  <c r="AG184" i="3" l="1"/>
  <c r="AH184" i="3"/>
  <c r="U183" i="3"/>
  <c r="D184" i="3" s="1"/>
  <c r="Y182" i="3"/>
  <c r="E184" i="3" l="1"/>
  <c r="H184" i="3" s="1"/>
  <c r="K184" i="3" s="1"/>
  <c r="G184" i="3"/>
  <c r="F184" i="3" l="1"/>
  <c r="V184" i="3"/>
  <c r="AE184" i="3"/>
  <c r="I184" i="3"/>
  <c r="J184" i="3"/>
  <c r="M184" i="3"/>
  <c r="N184" i="3" s="1"/>
  <c r="L184" i="3" l="1"/>
  <c r="W184" i="3"/>
  <c r="AG185" i="3" l="1"/>
  <c r="U184" i="3"/>
  <c r="E185" i="3" s="1"/>
  <c r="H185" i="3" s="1"/>
  <c r="AH185" i="3"/>
  <c r="Y183" i="3"/>
  <c r="D185" i="3" l="1"/>
  <c r="F185" i="3" s="1"/>
  <c r="K185" i="3"/>
  <c r="G185" i="3" l="1"/>
  <c r="I185" i="3" s="1"/>
  <c r="V185" i="3"/>
  <c r="AE185" i="3"/>
  <c r="J185" i="3" l="1"/>
  <c r="L185" i="3" s="1"/>
  <c r="M185" i="3"/>
  <c r="N185" i="3" s="1"/>
  <c r="W185" i="3"/>
  <c r="AH186" i="3" l="1"/>
  <c r="AG186" i="3"/>
  <c r="U185" i="3"/>
  <c r="E186" i="3" s="1"/>
  <c r="H186" i="3" s="1"/>
  <c r="Y184" i="3"/>
  <c r="D186" i="3" l="1"/>
  <c r="F186" i="3" s="1"/>
  <c r="K186" i="3"/>
  <c r="G186" i="3" l="1"/>
  <c r="I186" i="3" s="1"/>
  <c r="V186" i="3"/>
  <c r="AE186" i="3"/>
  <c r="W186" i="3" l="1"/>
  <c r="J186" i="3"/>
  <c r="L186" i="3" s="1"/>
  <c r="M186" i="3"/>
  <c r="N186" i="3" s="1"/>
  <c r="AG187" i="3" l="1"/>
  <c r="U186" i="3"/>
  <c r="D187" i="3" s="1"/>
  <c r="AH187" i="3"/>
  <c r="Y185" i="3"/>
  <c r="E187" i="3" l="1"/>
  <c r="H187" i="3" s="1"/>
  <c r="K187" i="3" s="1"/>
  <c r="G187" i="3"/>
  <c r="F187" i="3" l="1"/>
  <c r="I187" i="3"/>
  <c r="J187" i="3"/>
  <c r="M187" i="3"/>
  <c r="N187" i="3" s="1"/>
  <c r="V187" i="3"/>
  <c r="AE187" i="3"/>
  <c r="W187" i="3" l="1"/>
  <c r="L187" i="3"/>
  <c r="AH188" i="3" l="1"/>
  <c r="AG188" i="3"/>
  <c r="U187" i="3"/>
  <c r="D188" i="3" s="1"/>
  <c r="Y186" i="3"/>
  <c r="G188" i="3" l="1"/>
  <c r="E188" i="3"/>
  <c r="H188" i="3" s="1"/>
  <c r="K188" i="3" l="1"/>
  <c r="I188" i="3"/>
  <c r="J188" i="3"/>
  <c r="M188" i="3"/>
  <c r="N188" i="3" s="1"/>
  <c r="F188" i="3"/>
  <c r="L188" i="3" l="1"/>
  <c r="V188" i="3"/>
  <c r="W188" i="3" s="1"/>
  <c r="AE188" i="3"/>
  <c r="AH189" i="3" l="1"/>
  <c r="AG189" i="3"/>
  <c r="U188" i="3"/>
  <c r="E189" i="3" s="1"/>
  <c r="H189" i="3" s="1"/>
  <c r="Y187" i="3"/>
  <c r="D189" i="3" l="1"/>
  <c r="F189" i="3" s="1"/>
  <c r="K189" i="3"/>
  <c r="G189" i="3" l="1"/>
  <c r="I189" i="3" s="1"/>
  <c r="V189" i="3"/>
  <c r="AE189" i="3"/>
  <c r="M189" i="3" l="1"/>
  <c r="N189" i="3" s="1"/>
  <c r="J189" i="3"/>
  <c r="L189" i="3" s="1"/>
  <c r="W189" i="3"/>
  <c r="AG190" i="3" l="1"/>
  <c r="AH190" i="3"/>
  <c r="U189" i="3"/>
  <c r="D190" i="3" s="1"/>
  <c r="Y188" i="3"/>
  <c r="E190" i="3" l="1"/>
  <c r="H190" i="3" s="1"/>
  <c r="K190" i="3" s="1"/>
  <c r="G190" i="3"/>
  <c r="F190" i="3" l="1"/>
  <c r="V190" i="3"/>
  <c r="AE190" i="3"/>
  <c r="I190" i="3"/>
  <c r="J190" i="3"/>
  <c r="M190" i="3"/>
  <c r="N190" i="3" s="1"/>
  <c r="L190" i="3" l="1"/>
  <c r="W190" i="3"/>
  <c r="AG191" i="3" l="1"/>
  <c r="AH191" i="3"/>
  <c r="U190" i="3"/>
  <c r="E191" i="3" s="1"/>
  <c r="H191" i="3" s="1"/>
  <c r="Y189" i="3"/>
  <c r="D191" i="3" l="1"/>
  <c r="F191" i="3" s="1"/>
  <c r="K191" i="3"/>
  <c r="G191" i="3" l="1"/>
  <c r="I191" i="3" s="1"/>
  <c r="V191" i="3"/>
  <c r="AE191" i="3"/>
  <c r="W191" i="3" l="1"/>
  <c r="M191" i="3"/>
  <c r="N191" i="3" s="1"/>
  <c r="J191" i="3"/>
  <c r="L191" i="3" s="1"/>
  <c r="AH192" i="3" l="1"/>
  <c r="U191" i="3"/>
  <c r="D192" i="3" s="1"/>
  <c r="AG192" i="3"/>
  <c r="Y190" i="3"/>
  <c r="E192" i="3" l="1"/>
  <c r="H192" i="3" s="1"/>
  <c r="K192" i="3" s="1"/>
  <c r="G192" i="3"/>
  <c r="F192" i="3" l="1"/>
  <c r="V192" i="3"/>
  <c r="AE192" i="3"/>
  <c r="I192" i="3"/>
  <c r="J192" i="3"/>
  <c r="M192" i="3"/>
  <c r="N192" i="3" s="1"/>
  <c r="L192" i="3" l="1"/>
  <c r="W192" i="3"/>
  <c r="AH193" i="3" l="1"/>
  <c r="U192" i="3"/>
  <c r="E193" i="3" s="1"/>
  <c r="H193" i="3" s="1"/>
  <c r="AG193" i="3"/>
  <c r="Y191" i="3"/>
  <c r="D193" i="3" l="1"/>
  <c r="F193" i="3" s="1"/>
  <c r="K193" i="3"/>
  <c r="G193" i="3" l="1"/>
  <c r="J193" i="3" s="1"/>
  <c r="V193" i="3"/>
  <c r="AE193" i="3"/>
  <c r="I193" i="3" l="1"/>
  <c r="W193" i="3" s="1"/>
  <c r="M193" i="3"/>
  <c r="N193" i="3" s="1"/>
  <c r="L193" i="3"/>
  <c r="U193" i="3" l="1"/>
  <c r="E194" i="3" s="1"/>
  <c r="H194" i="3" s="1"/>
  <c r="AG194" i="3"/>
  <c r="AH194" i="3"/>
  <c r="Y192" i="3"/>
  <c r="D194" i="3" l="1"/>
  <c r="F194" i="3" s="1"/>
  <c r="K194" i="3"/>
  <c r="G194" i="3" l="1"/>
  <c r="I194" i="3" s="1"/>
  <c r="V194" i="3"/>
  <c r="AE194" i="3"/>
  <c r="J194" i="3" l="1"/>
  <c r="L194" i="3" s="1"/>
  <c r="M194" i="3"/>
  <c r="N194" i="3" s="1"/>
  <c r="W194" i="3"/>
  <c r="U194" i="3" l="1"/>
  <c r="E195" i="3" s="1"/>
  <c r="H195" i="3" s="1"/>
  <c r="AH195" i="3"/>
  <c r="AG195" i="3"/>
  <c r="Y193" i="3"/>
  <c r="D195" i="3" l="1"/>
  <c r="F195" i="3" s="1"/>
  <c r="K195" i="3"/>
  <c r="G195" i="3" l="1"/>
  <c r="J195" i="3" s="1"/>
  <c r="V195" i="3"/>
  <c r="AE195" i="3"/>
  <c r="I195" i="3" l="1"/>
  <c r="W195" i="3" s="1"/>
  <c r="M195" i="3"/>
  <c r="N195" i="3" s="1"/>
  <c r="L195" i="3"/>
  <c r="AH196" i="3" l="1"/>
  <c r="U195" i="3"/>
  <c r="E196" i="3" s="1"/>
  <c r="H196" i="3" s="1"/>
  <c r="AG196" i="3"/>
  <c r="Y194" i="3"/>
  <c r="K196" i="3" l="1"/>
  <c r="D196" i="3"/>
  <c r="F196" i="3" l="1"/>
  <c r="G196" i="3"/>
  <c r="V196" i="3"/>
  <c r="AE196" i="3"/>
  <c r="I196" i="3" l="1"/>
  <c r="W196" i="3" s="1"/>
  <c r="J196" i="3"/>
  <c r="M196" i="3"/>
  <c r="N196" i="3" s="1"/>
  <c r="L196" i="3" l="1"/>
  <c r="AH197" i="3" l="1"/>
  <c r="U196" i="3"/>
  <c r="D197" i="3" s="1"/>
  <c r="AG197" i="3"/>
  <c r="Y195" i="3"/>
  <c r="E197" i="3" l="1"/>
  <c r="H197" i="3" s="1"/>
  <c r="K197" i="3" s="1"/>
  <c r="G197" i="3"/>
  <c r="F197" i="3" l="1"/>
  <c r="I197" i="3"/>
  <c r="J197" i="3"/>
  <c r="M197" i="3"/>
  <c r="N197" i="3" s="1"/>
  <c r="V197" i="3"/>
  <c r="AE197" i="3"/>
  <c r="W197" i="3" l="1"/>
  <c r="L197" i="3"/>
  <c r="U197" i="3" l="1"/>
  <c r="E198" i="3" s="1"/>
  <c r="H198" i="3" s="1"/>
  <c r="AG198" i="3"/>
  <c r="AH198" i="3"/>
  <c r="Y196" i="3"/>
  <c r="D198" i="3" l="1"/>
  <c r="F198" i="3" s="1"/>
  <c r="K198" i="3"/>
  <c r="G198" i="3" l="1"/>
  <c r="I198" i="3" s="1"/>
  <c r="V198" i="3"/>
  <c r="AE198" i="3"/>
  <c r="M198" i="3" l="1"/>
  <c r="N198" i="3" s="1"/>
  <c r="J198" i="3"/>
  <c r="L198" i="3" s="1"/>
  <c r="W198" i="3"/>
  <c r="AH199" i="3" l="1"/>
  <c r="AG199" i="3"/>
  <c r="U198" i="3"/>
  <c r="E199" i="3" s="1"/>
  <c r="H199" i="3" s="1"/>
  <c r="Y197" i="3"/>
  <c r="K199" i="3" l="1"/>
  <c r="D199" i="3"/>
  <c r="F199" i="3" l="1"/>
  <c r="G199" i="3"/>
  <c r="V199" i="3"/>
  <c r="AE199" i="3"/>
  <c r="I199" i="3" l="1"/>
  <c r="W199" i="3" s="1"/>
  <c r="J199" i="3"/>
  <c r="M199" i="3"/>
  <c r="N199" i="3" s="1"/>
  <c r="L199" i="3" l="1"/>
  <c r="AH200" i="3" l="1"/>
  <c r="AG200" i="3"/>
  <c r="U199" i="3"/>
  <c r="D200" i="3" s="1"/>
  <c r="Y198" i="3"/>
  <c r="E200" i="3" l="1"/>
  <c r="H200" i="3" s="1"/>
  <c r="K200" i="3" s="1"/>
  <c r="G200" i="3"/>
  <c r="F200" i="3" l="1"/>
  <c r="I200" i="3"/>
  <c r="J200" i="3"/>
  <c r="M200" i="3"/>
  <c r="N200" i="3" s="1"/>
  <c r="V200" i="3"/>
  <c r="AE200" i="3"/>
  <c r="W200" i="3" l="1"/>
  <c r="L200" i="3"/>
  <c r="AG201" i="3" l="1"/>
  <c r="AH201" i="3"/>
  <c r="U200" i="3"/>
  <c r="D201" i="3" s="1"/>
  <c r="Y199" i="3"/>
  <c r="E201" i="3" l="1"/>
  <c r="H201" i="3" s="1"/>
  <c r="K201" i="3" s="1"/>
  <c r="G201" i="3"/>
  <c r="F201" i="3" l="1"/>
  <c r="V201" i="3"/>
  <c r="AE201" i="3"/>
  <c r="I201" i="3"/>
  <c r="J201" i="3"/>
  <c r="M201" i="3"/>
  <c r="N201" i="3" s="1"/>
  <c r="L201" i="3" l="1"/>
  <c r="W201" i="3"/>
  <c r="AH202" i="3" l="1"/>
  <c r="AG202" i="3"/>
  <c r="U201" i="3"/>
  <c r="D202" i="3" s="1"/>
  <c r="Y200" i="3"/>
  <c r="E202" i="3" l="1"/>
  <c r="H202" i="3" s="1"/>
  <c r="K202" i="3" s="1"/>
  <c r="G202" i="3"/>
  <c r="F202" i="3" l="1"/>
  <c r="V202" i="3"/>
  <c r="AE202" i="3"/>
  <c r="I202" i="3"/>
  <c r="J202" i="3"/>
  <c r="M202" i="3"/>
  <c r="N202" i="3" s="1"/>
  <c r="L202" i="3" l="1"/>
  <c r="W202" i="3"/>
  <c r="AH203" i="3" l="1"/>
  <c r="AG203" i="3"/>
  <c r="U202" i="3"/>
  <c r="D203" i="3" s="1"/>
  <c r="Y201" i="3"/>
  <c r="E203" i="3" l="1"/>
  <c r="H203" i="3" s="1"/>
  <c r="K203" i="3" s="1"/>
  <c r="G203" i="3"/>
  <c r="F203" i="3" l="1"/>
  <c r="V203" i="3"/>
  <c r="AE203" i="3"/>
  <c r="I203" i="3"/>
  <c r="J203" i="3"/>
  <c r="M203" i="3"/>
  <c r="N203" i="3" s="1"/>
  <c r="L203" i="3" l="1"/>
  <c r="W203" i="3"/>
  <c r="U203" i="3" l="1"/>
  <c r="E204" i="3" s="1"/>
  <c r="H204" i="3" s="1"/>
  <c r="AH204" i="3"/>
  <c r="AG204" i="3"/>
  <c r="Y202" i="3"/>
  <c r="D204" i="3" l="1"/>
  <c r="F204" i="3" s="1"/>
  <c r="K204" i="3"/>
  <c r="G204" i="3" l="1"/>
  <c r="J204" i="3" s="1"/>
  <c r="V204" i="3"/>
  <c r="A205" i="3"/>
  <c r="B205" i="3" s="1"/>
  <c r="AE204" i="3"/>
  <c r="M204" i="3" l="1"/>
  <c r="N204" i="3" s="1"/>
  <c r="I204" i="3"/>
  <c r="W204" i="3" s="1"/>
  <c r="L204" i="3"/>
  <c r="AD204" i="3"/>
  <c r="Z205" i="3"/>
  <c r="AA205" i="3"/>
  <c r="AC205" i="3"/>
  <c r="P205" i="3"/>
  <c r="Q205" i="3" s="1"/>
  <c r="R205" i="3" s="1"/>
  <c r="S205" i="3" s="1"/>
  <c r="U204" i="3" l="1"/>
  <c r="Y203" i="3"/>
  <c r="T205" i="3"/>
  <c r="D205" i="3" l="1"/>
  <c r="G205" i="3" s="1"/>
  <c r="AH205" i="3"/>
  <c r="AG205" i="3"/>
  <c r="E205" i="3"/>
  <c r="H205" i="3" s="1"/>
  <c r="K205" i="3" s="1"/>
  <c r="F205" i="3" l="1"/>
  <c r="V205" i="3"/>
  <c r="AE205" i="3"/>
  <c r="A206" i="3"/>
  <c r="B206" i="3" s="1"/>
  <c r="I205" i="3"/>
  <c r="J205" i="3"/>
  <c r="AD205" i="3" s="1"/>
  <c r="M205" i="3"/>
  <c r="N205" i="3" s="1"/>
  <c r="AC206" i="3" l="1"/>
  <c r="P206" i="3"/>
  <c r="Q206" i="3" s="1"/>
  <c r="R206" i="3" s="1"/>
  <c r="S206" i="3" s="1"/>
  <c r="Z206" i="3"/>
  <c r="AA206" i="3"/>
  <c r="L205" i="3"/>
  <c r="W205" i="3"/>
  <c r="T206" i="3" l="1"/>
  <c r="AH206" i="3" s="1"/>
  <c r="U205" i="3"/>
  <c r="Y204" i="3"/>
  <c r="E206" i="3" l="1"/>
  <c r="H206" i="3" s="1"/>
  <c r="K206" i="3" s="1"/>
  <c r="D206" i="3"/>
  <c r="G206" i="3" s="1"/>
  <c r="AG206" i="3"/>
  <c r="F206" i="3" l="1"/>
  <c r="I206" i="3"/>
  <c r="J206" i="3"/>
  <c r="AD206" i="3" s="1"/>
  <c r="M206" i="3"/>
  <c r="N206" i="3" s="1"/>
  <c r="V206" i="3"/>
  <c r="AE206" i="3"/>
  <c r="A207" i="3"/>
  <c r="B207" i="3" s="1"/>
  <c r="W206" i="3" l="1"/>
  <c r="L206" i="3"/>
  <c r="P207" i="3"/>
  <c r="Q207" i="3" s="1"/>
  <c r="R207" i="3" s="1"/>
  <c r="S207" i="3" s="1"/>
  <c r="AA207" i="3"/>
  <c r="AC207" i="3"/>
  <c r="Z207" i="3"/>
  <c r="T207" i="3" l="1"/>
  <c r="AG207" i="3" s="1"/>
  <c r="U206" i="3"/>
  <c r="Y205" i="3"/>
  <c r="D207" i="3" l="1"/>
  <c r="G207" i="3" s="1"/>
  <c r="E207" i="3"/>
  <c r="H207" i="3" s="1"/>
  <c r="K207" i="3" s="1"/>
  <c r="AH207" i="3"/>
  <c r="F207" i="3" l="1"/>
  <c r="V207" i="3"/>
  <c r="AE207" i="3"/>
  <c r="A208" i="3"/>
  <c r="B208" i="3" s="1"/>
  <c r="I207" i="3"/>
  <c r="J207" i="3"/>
  <c r="AD207" i="3" s="1"/>
  <c r="M207" i="3"/>
  <c r="N207" i="3" s="1"/>
  <c r="P208" i="3" l="1"/>
  <c r="Q208" i="3" s="1"/>
  <c r="R208" i="3" s="1"/>
  <c r="S208" i="3" s="1"/>
  <c r="Z208" i="3"/>
  <c r="AC208" i="3"/>
  <c r="AA208" i="3"/>
  <c r="L207" i="3"/>
  <c r="W207" i="3"/>
  <c r="T208" i="3" l="1"/>
  <c r="AG208" i="3" s="1"/>
  <c r="U207" i="3"/>
  <c r="Y206" i="3"/>
  <c r="AH208" i="3" l="1"/>
  <c r="D208" i="3"/>
  <c r="G208" i="3" s="1"/>
  <c r="E208" i="3"/>
  <c r="H208" i="3" s="1"/>
  <c r="K208" i="3" s="1"/>
  <c r="F208" i="3" l="1"/>
  <c r="V208" i="3"/>
  <c r="AE208" i="3"/>
  <c r="A209" i="3"/>
  <c r="B209" i="3" s="1"/>
  <c r="I208" i="3"/>
  <c r="J208" i="3"/>
  <c r="AD208" i="3" s="1"/>
  <c r="M208" i="3"/>
  <c r="N208" i="3" s="1"/>
  <c r="AA209" i="3" l="1"/>
  <c r="Z209" i="3"/>
  <c r="AC209" i="3"/>
  <c r="P209" i="3"/>
  <c r="Q209" i="3" s="1"/>
  <c r="R209" i="3" s="1"/>
  <c r="S209" i="3" s="1"/>
  <c r="L208" i="3"/>
  <c r="W208" i="3"/>
  <c r="T209" i="3" l="1"/>
  <c r="AH209" i="3" s="1"/>
  <c r="U208" i="3"/>
  <c r="Y207" i="3"/>
  <c r="E209" i="3" l="1"/>
  <c r="H209" i="3" s="1"/>
  <c r="K209" i="3" s="1"/>
  <c r="D209" i="3"/>
  <c r="AG209" i="3"/>
  <c r="F209" i="3" l="1"/>
  <c r="G209" i="3"/>
  <c r="I209" i="3" s="1"/>
  <c r="V209" i="3"/>
  <c r="AE209" i="3"/>
  <c r="A210" i="3"/>
  <c r="B210" i="3" s="1"/>
  <c r="J209" i="3" l="1"/>
  <c r="AD209" i="3" s="1"/>
  <c r="M209" i="3"/>
  <c r="N209" i="3" s="1"/>
  <c r="W209" i="3"/>
  <c r="P210" i="3"/>
  <c r="Q210" i="3" s="1"/>
  <c r="R210" i="3" s="1"/>
  <c r="S210" i="3" s="1"/>
  <c r="AC210" i="3"/>
  <c r="Z210" i="3"/>
  <c r="AA210" i="3"/>
  <c r="L209" i="3" l="1"/>
  <c r="U209" i="3" s="1"/>
  <c r="T210" i="3"/>
  <c r="Y208" i="3" l="1"/>
  <c r="D210" i="3"/>
  <c r="G210" i="3" s="1"/>
  <c r="AH210" i="3"/>
  <c r="AG210" i="3"/>
  <c r="E210" i="3"/>
  <c r="H210" i="3" s="1"/>
  <c r="K210" i="3" s="1"/>
  <c r="F210" i="3" l="1"/>
  <c r="I210" i="3"/>
  <c r="J210" i="3"/>
  <c r="AD210" i="3" s="1"/>
  <c r="M210" i="3"/>
  <c r="N210" i="3" s="1"/>
  <c r="V210" i="3"/>
  <c r="AE210" i="3"/>
  <c r="A211" i="3"/>
  <c r="B211" i="3" s="1"/>
  <c r="W210" i="3" l="1"/>
  <c r="L210" i="3"/>
  <c r="Z211" i="3"/>
  <c r="AA211" i="3"/>
  <c r="P211" i="3"/>
  <c r="Q211" i="3" s="1"/>
  <c r="R211" i="3" s="1"/>
  <c r="S211" i="3" s="1"/>
  <c r="AC211" i="3"/>
  <c r="T211" i="3" l="1"/>
  <c r="AG211" i="3" s="1"/>
  <c r="U210" i="3"/>
  <c r="Y209" i="3"/>
  <c r="AH211" i="3" l="1"/>
  <c r="D211" i="3"/>
  <c r="G211" i="3" s="1"/>
  <c r="E211" i="3"/>
  <c r="H211" i="3" s="1"/>
  <c r="K211" i="3" l="1"/>
  <c r="I211" i="3"/>
  <c r="J211" i="3"/>
  <c r="AD211" i="3" s="1"/>
  <c r="M211" i="3"/>
  <c r="N211" i="3" s="1"/>
  <c r="F211" i="3"/>
  <c r="L211" i="3" l="1"/>
  <c r="V211" i="3"/>
  <c r="W211" i="3" s="1"/>
  <c r="AE211" i="3"/>
  <c r="A212" i="3"/>
  <c r="B212" i="3" s="1"/>
  <c r="AA212" i="3" l="1"/>
  <c r="Z212" i="3"/>
  <c r="P212" i="3"/>
  <c r="Q212" i="3" s="1"/>
  <c r="R212" i="3" s="1"/>
  <c r="S212" i="3" s="1"/>
  <c r="AC212" i="3"/>
  <c r="U211" i="3"/>
  <c r="Y210" i="3"/>
  <c r="T212" i="3" l="1"/>
  <c r="AH212" i="3" s="1"/>
  <c r="E212" i="3" l="1"/>
  <c r="H212" i="3" s="1"/>
  <c r="K212" i="3" s="1"/>
  <c r="AG212" i="3"/>
  <c r="D212" i="3"/>
  <c r="F212" i="3" l="1"/>
  <c r="G212" i="3"/>
  <c r="V212" i="3"/>
  <c r="A213" i="3"/>
  <c r="B213" i="3" s="1"/>
  <c r="AE212" i="3"/>
  <c r="AA213" i="3" l="1"/>
  <c r="P213" i="3"/>
  <c r="Q213" i="3" s="1"/>
  <c r="R213" i="3" s="1"/>
  <c r="S213" i="3" s="1"/>
  <c r="Z213" i="3"/>
  <c r="AC213" i="3"/>
  <c r="I212" i="3"/>
  <c r="W212" i="3" s="1"/>
  <c r="J212" i="3"/>
  <c r="AD212" i="3" s="1"/>
  <c r="M212" i="3"/>
  <c r="N212" i="3" s="1"/>
  <c r="L212" i="3" l="1"/>
  <c r="T213" i="3"/>
  <c r="AG213" i="3" l="1"/>
  <c r="AH213" i="3"/>
  <c r="U212" i="3"/>
  <c r="E213" i="3" s="1"/>
  <c r="H213" i="3" s="1"/>
  <c r="Y211" i="3"/>
  <c r="K213" i="3" l="1"/>
  <c r="D213" i="3"/>
  <c r="F213" i="3" l="1"/>
  <c r="G213" i="3"/>
  <c r="V213" i="3"/>
  <c r="A214" i="3"/>
  <c r="B214" i="3" s="1"/>
  <c r="AE213" i="3"/>
  <c r="I213" i="3" l="1"/>
  <c r="W213" i="3" s="1"/>
  <c r="J213" i="3"/>
  <c r="AD213" i="3" s="1"/>
  <c r="M213" i="3"/>
  <c r="N213" i="3" s="1"/>
  <c r="P214" i="3"/>
  <c r="Q214" i="3" s="1"/>
  <c r="R214" i="3" s="1"/>
  <c r="S214" i="3" s="1"/>
  <c r="AA214" i="3"/>
  <c r="Z214" i="3"/>
  <c r="AC214" i="3"/>
  <c r="T214" i="3" l="1"/>
  <c r="L213" i="3"/>
  <c r="AG214" i="3" l="1"/>
  <c r="AH214" i="3"/>
  <c r="U213" i="3"/>
  <c r="E214" i="3" s="1"/>
  <c r="H214" i="3" s="1"/>
  <c r="Y212" i="3"/>
  <c r="D214" i="3" l="1"/>
  <c r="F214" i="3" s="1"/>
  <c r="K214" i="3"/>
  <c r="G214" i="3" l="1"/>
  <c r="J214" i="3" s="1"/>
  <c r="V214" i="3"/>
  <c r="AE214" i="3"/>
  <c r="A215" i="3"/>
  <c r="B215" i="3" s="1"/>
  <c r="M214" i="3" l="1"/>
  <c r="N214" i="3" s="1"/>
  <c r="I214" i="3"/>
  <c r="W214" i="3" s="1"/>
  <c r="L214" i="3"/>
  <c r="AD214" i="3"/>
  <c r="P215" i="3"/>
  <c r="Q215" i="3" s="1"/>
  <c r="R215" i="3" s="1"/>
  <c r="S215" i="3" s="1"/>
  <c r="AD215" i="3"/>
  <c r="AC215" i="3"/>
  <c r="AA215" i="3"/>
  <c r="Z215" i="3"/>
  <c r="T215" i="3" l="1"/>
  <c r="AG215" i="3" s="1"/>
  <c r="U214" i="3"/>
  <c r="Y213" i="3"/>
  <c r="AH215" i="3" l="1"/>
  <c r="E215" i="3"/>
  <c r="H215" i="3" s="1"/>
  <c r="K215" i="3" s="1"/>
  <c r="D215" i="3"/>
  <c r="F215" i="3" l="1"/>
  <c r="G215" i="3"/>
  <c r="I215" i="3" s="1"/>
  <c r="V215" i="3"/>
  <c r="AE215" i="3"/>
  <c r="A216" i="3"/>
  <c r="B216" i="3" s="1"/>
  <c r="M215" i="3" l="1"/>
  <c r="N215" i="3" s="1"/>
  <c r="J215" i="3"/>
  <c r="L215" i="3" s="1"/>
  <c r="W215" i="3"/>
  <c r="Z216" i="3"/>
  <c r="P216" i="3"/>
  <c r="Q216" i="3" s="1"/>
  <c r="R216" i="3" s="1"/>
  <c r="S216" i="3" s="1"/>
  <c r="AC216" i="3"/>
  <c r="AD216" i="3"/>
  <c r="AA216" i="3"/>
  <c r="T216" i="3" l="1"/>
  <c r="AG216" i="3" s="1"/>
  <c r="U215" i="3"/>
  <c r="Y214" i="3"/>
  <c r="E216" i="3" l="1"/>
  <c r="H216" i="3" s="1"/>
  <c r="K216" i="3" s="1"/>
  <c r="D216" i="3"/>
  <c r="AH216" i="3"/>
  <c r="F216" i="3" l="1"/>
  <c r="G216" i="3"/>
  <c r="I216" i="3" s="1"/>
  <c r="V216" i="3"/>
  <c r="AE216" i="3"/>
  <c r="A217" i="3"/>
  <c r="B217" i="3" s="1"/>
  <c r="M216" i="3" l="1"/>
  <c r="N216" i="3" s="1"/>
  <c r="W216" i="3"/>
  <c r="J216" i="3"/>
  <c r="L216" i="3" s="1"/>
  <c r="AA217" i="3"/>
  <c r="Z217" i="3"/>
  <c r="AD217" i="3"/>
  <c r="P217" i="3"/>
  <c r="Q217" i="3" s="1"/>
  <c r="R217" i="3" s="1"/>
  <c r="S217" i="3" s="1"/>
  <c r="AC217" i="3"/>
  <c r="T217" i="3" l="1"/>
  <c r="AH217" i="3" s="1"/>
  <c r="U216" i="3"/>
  <c r="Y215" i="3"/>
  <c r="E217" i="3" l="1"/>
  <c r="H217" i="3" s="1"/>
  <c r="K217" i="3" s="1"/>
  <c r="AG217" i="3"/>
  <c r="D217" i="3"/>
  <c r="G217" i="3" s="1"/>
  <c r="F217" i="3" l="1"/>
  <c r="I217" i="3"/>
  <c r="J217" i="3"/>
  <c r="M217" i="3"/>
  <c r="N217" i="3" s="1"/>
  <c r="V217" i="3"/>
  <c r="AE217" i="3"/>
  <c r="A218" i="3"/>
  <c r="B218" i="3" s="1"/>
  <c r="W217" i="3" l="1"/>
  <c r="L217" i="3"/>
  <c r="AC218" i="3"/>
  <c r="AA218" i="3"/>
  <c r="Z218" i="3"/>
  <c r="AD218" i="3"/>
  <c r="P218" i="3"/>
  <c r="Q218" i="3" s="1"/>
  <c r="R218" i="3" s="1"/>
  <c r="S218" i="3" s="1"/>
  <c r="T218" i="3" l="1"/>
  <c r="AH218" i="3" s="1"/>
  <c r="U217" i="3"/>
  <c r="Y216" i="3"/>
  <c r="AG218" i="3" l="1"/>
  <c r="D218" i="3"/>
  <c r="G218" i="3" s="1"/>
  <c r="E218" i="3"/>
  <c r="H218" i="3" s="1"/>
  <c r="K218" i="3" s="1"/>
  <c r="F218" i="3" l="1"/>
  <c r="V218" i="3"/>
  <c r="A219" i="3"/>
  <c r="B219" i="3" s="1"/>
  <c r="AE218" i="3"/>
  <c r="I218" i="3"/>
  <c r="J218" i="3"/>
  <c r="M218" i="3"/>
  <c r="N218" i="3" s="1"/>
  <c r="AA219" i="3" l="1"/>
  <c r="Z219" i="3"/>
  <c r="P219" i="3"/>
  <c r="Q219" i="3" s="1"/>
  <c r="R219" i="3" s="1"/>
  <c r="S219" i="3" s="1"/>
  <c r="AD219" i="3"/>
  <c r="AC219" i="3"/>
  <c r="L218" i="3"/>
  <c r="W218" i="3"/>
  <c r="T219" i="3" l="1"/>
  <c r="AH219" i="3" s="1"/>
  <c r="U218" i="3"/>
  <c r="Y217" i="3"/>
  <c r="AG219" i="3" l="1"/>
  <c r="E219" i="3"/>
  <c r="H219" i="3" s="1"/>
  <c r="K219" i="3" s="1"/>
  <c r="D219" i="3"/>
  <c r="F219" i="3" l="1"/>
  <c r="G219" i="3"/>
  <c r="I219" i="3" s="1"/>
  <c r="V219" i="3"/>
  <c r="AE219" i="3"/>
  <c r="A220" i="3"/>
  <c r="B220" i="3" s="1"/>
  <c r="M219" i="3" l="1"/>
  <c r="N219" i="3" s="1"/>
  <c r="J219" i="3"/>
  <c r="L219" i="3" s="1"/>
  <c r="W219" i="3"/>
  <c r="Z220" i="3"/>
  <c r="P220" i="3"/>
  <c r="Q220" i="3" s="1"/>
  <c r="R220" i="3" s="1"/>
  <c r="S220" i="3" s="1"/>
  <c r="AC220" i="3"/>
  <c r="AA220" i="3"/>
  <c r="AD220" i="3"/>
  <c r="T220" i="3" l="1"/>
  <c r="AG220" i="3" s="1"/>
  <c r="U219" i="3"/>
  <c r="Y218" i="3"/>
  <c r="AH220" i="3" l="1"/>
  <c r="E220" i="3"/>
  <c r="H220" i="3" s="1"/>
  <c r="K220" i="3" s="1"/>
  <c r="D220" i="3"/>
  <c r="F220" i="3" l="1"/>
  <c r="G220" i="3"/>
  <c r="M220" i="3" s="1"/>
  <c r="N220" i="3" s="1"/>
  <c r="V220" i="3"/>
  <c r="AE220" i="3"/>
  <c r="A221" i="3"/>
  <c r="B221" i="3" s="1"/>
  <c r="J220" i="3" l="1"/>
  <c r="L220" i="3" s="1"/>
  <c r="I220" i="3"/>
  <c r="W220" i="3" s="1"/>
  <c r="P221" i="3"/>
  <c r="Q221" i="3" s="1"/>
  <c r="R221" i="3" s="1"/>
  <c r="S221" i="3" s="1"/>
  <c r="AC221" i="3"/>
  <c r="AA221" i="3"/>
  <c r="AD221" i="3"/>
  <c r="Z221" i="3"/>
  <c r="T221" i="3" l="1"/>
  <c r="AG221" i="3" s="1"/>
  <c r="U220" i="3"/>
  <c r="Y219" i="3"/>
  <c r="AH221" i="3" l="1"/>
  <c r="D221" i="3"/>
  <c r="G221" i="3" s="1"/>
  <c r="E221" i="3"/>
  <c r="H221" i="3" s="1"/>
  <c r="I221" i="3" l="1"/>
  <c r="J221" i="3"/>
  <c r="M221" i="3"/>
  <c r="N221" i="3" s="1"/>
  <c r="K221" i="3"/>
  <c r="F221" i="3"/>
  <c r="V221" i="3" l="1"/>
  <c r="W221" i="3" s="1"/>
  <c r="AE221" i="3"/>
  <c r="A222" i="3"/>
  <c r="B222" i="3" s="1"/>
  <c r="L221" i="3"/>
  <c r="AD222" i="3" l="1"/>
  <c r="P222" i="3"/>
  <c r="Q222" i="3" s="1"/>
  <c r="R222" i="3" s="1"/>
  <c r="S222" i="3" s="1"/>
  <c r="Z222" i="3"/>
  <c r="AC222" i="3"/>
  <c r="AA222" i="3"/>
  <c r="U221" i="3"/>
  <c r="Y220" i="3"/>
  <c r="T222" i="3" l="1"/>
  <c r="D222" i="3" s="1"/>
  <c r="AG222" i="3" l="1"/>
  <c r="AH222" i="3"/>
  <c r="E222" i="3"/>
  <c r="H222" i="3" s="1"/>
  <c r="K222" i="3" s="1"/>
  <c r="G222" i="3"/>
  <c r="F222" i="3" l="1"/>
  <c r="I222" i="3"/>
  <c r="J222" i="3"/>
  <c r="M222" i="3"/>
  <c r="N222" i="3" s="1"/>
  <c r="V222" i="3"/>
  <c r="A223" i="3"/>
  <c r="B223" i="3" s="1"/>
  <c r="AE222" i="3"/>
  <c r="W222" i="3" l="1"/>
  <c r="AA223" i="3"/>
  <c r="P223" i="3"/>
  <c r="Q223" i="3" s="1"/>
  <c r="R223" i="3" s="1"/>
  <c r="S223" i="3" s="1"/>
  <c r="AC223" i="3"/>
  <c r="AD223" i="3"/>
  <c r="Z223" i="3"/>
  <c r="L222" i="3"/>
  <c r="T223" i="3" l="1"/>
  <c r="AG223" i="3" s="1"/>
  <c r="U222" i="3"/>
  <c r="Y221" i="3"/>
  <c r="AH223" i="3" l="1"/>
  <c r="E223" i="3"/>
  <c r="H223" i="3" s="1"/>
  <c r="K223" i="3" s="1"/>
  <c r="D223" i="3"/>
  <c r="F223" i="3" l="1"/>
  <c r="G223" i="3"/>
  <c r="I223" i="3" s="1"/>
  <c r="V223" i="3"/>
  <c r="A224" i="3"/>
  <c r="B224" i="3" s="1"/>
  <c r="AE223" i="3"/>
  <c r="J223" i="3" l="1"/>
  <c r="L223" i="3" s="1"/>
  <c r="M223" i="3"/>
  <c r="N223" i="3" s="1"/>
  <c r="W223" i="3"/>
  <c r="AC224" i="3"/>
  <c r="AA224" i="3"/>
  <c r="Z224" i="3"/>
  <c r="P224" i="3"/>
  <c r="Q224" i="3" s="1"/>
  <c r="R224" i="3" s="1"/>
  <c r="S224" i="3" s="1"/>
  <c r="T224" i="3" l="1"/>
  <c r="AH224" i="3" s="1"/>
  <c r="U223" i="3"/>
  <c r="Y222" i="3"/>
  <c r="AG224" i="3" l="1"/>
  <c r="D224" i="3"/>
  <c r="G224" i="3" s="1"/>
  <c r="E224" i="3"/>
  <c r="H224" i="3" s="1"/>
  <c r="K224" i="3" l="1"/>
  <c r="AE224" i="3" s="1"/>
  <c r="I224" i="3"/>
  <c r="J224" i="3"/>
  <c r="M224" i="3"/>
  <c r="N224" i="3" s="1"/>
  <c r="F224" i="3"/>
  <c r="L224" i="3" l="1"/>
  <c r="AD224" i="3"/>
  <c r="V224" i="3"/>
  <c r="W224" i="3" s="1"/>
  <c r="A225" i="3"/>
  <c r="B225" i="3" s="1"/>
  <c r="Z225" i="3" l="1"/>
  <c r="AC225" i="3"/>
  <c r="P225" i="3"/>
  <c r="Q225" i="3" s="1"/>
  <c r="R225" i="3" s="1"/>
  <c r="S225" i="3" s="1"/>
  <c r="AA225" i="3"/>
  <c r="AD225" i="3"/>
  <c r="U224" i="3"/>
  <c r="Y223" i="3"/>
  <c r="T225" i="3" l="1"/>
  <c r="AH225" i="3" s="1"/>
  <c r="AG225" i="3" l="1"/>
  <c r="D225" i="3"/>
  <c r="E225" i="3"/>
  <c r="H225" i="3" s="1"/>
  <c r="K225" i="3" s="1"/>
  <c r="AE225" i="3" s="1"/>
  <c r="F225" i="3" l="1"/>
  <c r="G225" i="3"/>
  <c r="J225" i="3" s="1"/>
  <c r="V225" i="3"/>
  <c r="A226" i="3"/>
  <c r="B226" i="3" s="1"/>
  <c r="M225" i="3" l="1"/>
  <c r="N225" i="3" s="1"/>
  <c r="I225" i="3"/>
  <c r="W225" i="3" s="1"/>
  <c r="L225" i="3"/>
  <c r="AA226" i="3"/>
  <c r="P226" i="3"/>
  <c r="Q226" i="3" s="1"/>
  <c r="R226" i="3" s="1"/>
  <c r="S226" i="3" s="1"/>
  <c r="AD226" i="3"/>
  <c r="AC226" i="3"/>
  <c r="Z226" i="3"/>
  <c r="T226" i="3" l="1"/>
  <c r="AH226" i="3" s="1"/>
  <c r="U225" i="3"/>
  <c r="Y224" i="3"/>
  <c r="AG226" i="3" l="1"/>
  <c r="D226" i="3"/>
  <c r="E226" i="3"/>
  <c r="H226" i="3" s="1"/>
  <c r="K226" i="3" s="1"/>
  <c r="AE226" i="3" s="1"/>
  <c r="F226" i="3" l="1"/>
  <c r="G226" i="3"/>
  <c r="J226" i="3" s="1"/>
  <c r="V226" i="3"/>
  <c r="A227" i="3"/>
  <c r="B227" i="3" s="1"/>
  <c r="M226" i="3" l="1"/>
  <c r="N226" i="3" s="1"/>
  <c r="I226" i="3"/>
  <c r="W226" i="3" s="1"/>
  <c r="L226" i="3"/>
  <c r="AD227" i="3"/>
  <c r="AA227" i="3"/>
  <c r="P227" i="3"/>
  <c r="Q227" i="3" s="1"/>
  <c r="R227" i="3" s="1"/>
  <c r="S227" i="3" s="1"/>
  <c r="Z227" i="3"/>
  <c r="AC227" i="3"/>
  <c r="T227" i="3" l="1"/>
  <c r="AH227" i="3" s="1"/>
  <c r="U226" i="3"/>
  <c r="Y225" i="3"/>
  <c r="E227" i="3" l="1"/>
  <c r="H227" i="3" s="1"/>
  <c r="K227" i="3" s="1"/>
  <c r="AE227" i="3" s="1"/>
  <c r="AG227" i="3"/>
  <c r="D227" i="3"/>
  <c r="F227" i="3" l="1"/>
  <c r="G227" i="3"/>
  <c r="I227" i="3" s="1"/>
  <c r="V227" i="3"/>
  <c r="A228" i="3"/>
  <c r="B228" i="3" s="1"/>
  <c r="M227" i="3" l="1"/>
  <c r="N227" i="3" s="1"/>
  <c r="J227" i="3"/>
  <c r="L227" i="3" s="1"/>
  <c r="W227" i="3"/>
  <c r="AA228" i="3"/>
  <c r="AD228" i="3"/>
  <c r="Z228" i="3"/>
  <c r="P228" i="3"/>
  <c r="Q228" i="3" s="1"/>
  <c r="R228" i="3" s="1"/>
  <c r="S228" i="3" s="1"/>
  <c r="AC228" i="3"/>
  <c r="T228" i="3" l="1"/>
  <c r="U227" i="3"/>
  <c r="Y226" i="3"/>
  <c r="D228" i="3" l="1"/>
  <c r="G228" i="3" s="1"/>
  <c r="AH228" i="3"/>
  <c r="E228" i="3"/>
  <c r="H228" i="3" s="1"/>
  <c r="K228" i="3" s="1"/>
  <c r="AE228" i="3" s="1"/>
  <c r="AG228" i="3"/>
  <c r="F228" i="3" l="1"/>
  <c r="I228" i="3"/>
  <c r="J228" i="3"/>
  <c r="M228" i="3"/>
  <c r="N228" i="3" s="1"/>
  <c r="V228" i="3"/>
  <c r="A229" i="3"/>
  <c r="B229" i="3" s="1"/>
  <c r="W228" i="3" l="1"/>
  <c r="P229" i="3"/>
  <c r="Q229" i="3" s="1"/>
  <c r="R229" i="3" s="1"/>
  <c r="S229" i="3" s="1"/>
  <c r="Z229" i="3"/>
  <c r="AA229" i="3"/>
  <c r="AC229" i="3"/>
  <c r="AD229" i="3"/>
  <c r="L228" i="3"/>
  <c r="U228" i="3" l="1"/>
  <c r="Y227" i="3"/>
  <c r="T229" i="3"/>
  <c r="AG229" i="3" s="1"/>
  <c r="AH229" i="3" l="1"/>
  <c r="D229" i="3"/>
  <c r="G229" i="3" s="1"/>
  <c r="E229" i="3"/>
  <c r="H229" i="3" s="1"/>
  <c r="K229" i="3" s="1"/>
  <c r="AE229" i="3" s="1"/>
  <c r="F229" i="3" l="1"/>
  <c r="V229" i="3"/>
  <c r="A230" i="3"/>
  <c r="B230" i="3" s="1"/>
  <c r="I229" i="3"/>
  <c r="J229" i="3"/>
  <c r="M229" i="3"/>
  <c r="N229" i="3" s="1"/>
  <c r="L229" i="3" l="1"/>
  <c r="AD230" i="3"/>
  <c r="Z230" i="3"/>
  <c r="AA230" i="3"/>
  <c r="P230" i="3"/>
  <c r="Q230" i="3" s="1"/>
  <c r="R230" i="3" s="1"/>
  <c r="S230" i="3" s="1"/>
  <c r="AC230" i="3"/>
  <c r="W229" i="3"/>
  <c r="T230" i="3" l="1"/>
  <c r="AH230" i="3" s="1"/>
  <c r="U229" i="3"/>
  <c r="Y228" i="3"/>
  <c r="D230" i="3" l="1"/>
  <c r="G230" i="3" s="1"/>
  <c r="AG230" i="3"/>
  <c r="E230" i="3"/>
  <c r="H230" i="3" s="1"/>
  <c r="K230" i="3" s="1"/>
  <c r="AE230" i="3" s="1"/>
  <c r="F230" i="3" l="1"/>
  <c r="I230" i="3"/>
  <c r="J230" i="3"/>
  <c r="M230" i="3"/>
  <c r="N230" i="3" s="1"/>
  <c r="V230" i="3"/>
  <c r="A231" i="3"/>
  <c r="B231" i="3" s="1"/>
  <c r="W230" i="3" l="1"/>
  <c r="AA231" i="3"/>
  <c r="AC231" i="3"/>
  <c r="Z231" i="3"/>
  <c r="AD231" i="3"/>
  <c r="P231" i="3"/>
  <c r="Q231" i="3" s="1"/>
  <c r="R231" i="3" s="1"/>
  <c r="S231" i="3" s="1"/>
  <c r="L230" i="3"/>
  <c r="T231" i="3" l="1"/>
  <c r="AG231" i="3" s="1"/>
  <c r="U230" i="3"/>
  <c r="Y229" i="3"/>
  <c r="AH231" i="3" l="1"/>
  <c r="D231" i="3"/>
  <c r="G231" i="3" s="1"/>
  <c r="E231" i="3"/>
  <c r="H231" i="3" s="1"/>
  <c r="K231" i="3" s="1"/>
  <c r="AE231" i="3" s="1"/>
  <c r="F231" i="3" l="1"/>
  <c r="V231" i="3"/>
  <c r="A232" i="3"/>
  <c r="B232" i="3" s="1"/>
  <c r="I231" i="3"/>
  <c r="J231" i="3"/>
  <c r="M231" i="3"/>
  <c r="N231" i="3" s="1"/>
  <c r="L231" i="3" l="1"/>
  <c r="Z232" i="3"/>
  <c r="P232" i="3"/>
  <c r="Q232" i="3" s="1"/>
  <c r="R232" i="3" s="1"/>
  <c r="S232" i="3" s="1"/>
  <c r="AC232" i="3"/>
  <c r="AD232" i="3"/>
  <c r="AA232" i="3"/>
  <c r="W231" i="3"/>
  <c r="U231" i="3" l="1"/>
  <c r="Y230" i="3"/>
  <c r="T232" i="3"/>
  <c r="E232" i="3" l="1"/>
  <c r="H232" i="3" s="1"/>
  <c r="K232" i="3" s="1"/>
  <c r="AE232" i="3" s="1"/>
  <c r="AG232" i="3"/>
  <c r="AH232" i="3"/>
  <c r="D232" i="3"/>
  <c r="F232" i="3" l="1"/>
  <c r="G232" i="3"/>
  <c r="V232" i="3"/>
  <c r="A233" i="3"/>
  <c r="B233" i="3" s="1"/>
  <c r="AD233" i="3" l="1"/>
  <c r="P233" i="3"/>
  <c r="Q233" i="3" s="1"/>
  <c r="R233" i="3" s="1"/>
  <c r="S233" i="3" s="1"/>
  <c r="AA233" i="3"/>
  <c r="AC233" i="3"/>
  <c r="Z233" i="3"/>
  <c r="I232" i="3"/>
  <c r="W232" i="3" s="1"/>
  <c r="J232" i="3"/>
  <c r="M232" i="3"/>
  <c r="N232" i="3" s="1"/>
  <c r="L232" i="3" l="1"/>
  <c r="T233" i="3"/>
  <c r="AG233" i="3" l="1"/>
  <c r="AH233" i="3"/>
  <c r="U232" i="3"/>
  <c r="D233" i="3" s="1"/>
  <c r="Y231" i="3"/>
  <c r="E233" i="3" l="1"/>
  <c r="H233" i="3" s="1"/>
  <c r="K233" i="3" s="1"/>
  <c r="AE233" i="3" s="1"/>
  <c r="G233" i="3"/>
  <c r="F233" i="3" l="1"/>
  <c r="V233" i="3"/>
  <c r="A234" i="3"/>
  <c r="B234" i="3" s="1"/>
  <c r="I233" i="3"/>
  <c r="J233" i="3"/>
  <c r="M233" i="3"/>
  <c r="N233" i="3" s="1"/>
  <c r="L233" i="3" l="1"/>
  <c r="AA234" i="3"/>
  <c r="P234" i="3"/>
  <c r="Q234" i="3" s="1"/>
  <c r="R234" i="3" s="1"/>
  <c r="S234" i="3" s="1"/>
  <c r="Z234" i="3"/>
  <c r="AC234" i="3"/>
  <c r="W233" i="3"/>
  <c r="T234" i="3" l="1"/>
  <c r="AH234" i="3" s="1"/>
  <c r="U233" i="3"/>
  <c r="Y232" i="3"/>
  <c r="AG234" i="3" l="1"/>
  <c r="D234" i="3"/>
  <c r="G234" i="3" s="1"/>
  <c r="E234" i="3"/>
  <c r="H234" i="3" s="1"/>
  <c r="K234" i="3" s="1"/>
  <c r="AE234" i="3" s="1"/>
  <c r="F234" i="3" l="1"/>
  <c r="V234" i="3"/>
  <c r="A235" i="3"/>
  <c r="B235" i="3" s="1"/>
  <c r="I234" i="3"/>
  <c r="J234" i="3"/>
  <c r="M234" i="3"/>
  <c r="N234" i="3" s="1"/>
  <c r="Z235" i="3" l="1"/>
  <c r="AA235" i="3"/>
  <c r="P235" i="3"/>
  <c r="Q235" i="3" s="1"/>
  <c r="R235" i="3" s="1"/>
  <c r="S235" i="3" s="1"/>
  <c r="AD235" i="3"/>
  <c r="AC235" i="3"/>
  <c r="L234" i="3"/>
  <c r="AD234" i="3"/>
  <c r="W234" i="3"/>
  <c r="U234" i="3" l="1"/>
  <c r="Y233" i="3"/>
  <c r="T235" i="3"/>
  <c r="D235" i="3" l="1"/>
  <c r="G235" i="3" s="1"/>
  <c r="E235" i="3"/>
  <c r="H235" i="3" s="1"/>
  <c r="AG235" i="3"/>
  <c r="AH235" i="3"/>
  <c r="K235" i="3" l="1"/>
  <c r="AE235" i="3" s="1"/>
  <c r="I235" i="3"/>
  <c r="J235" i="3"/>
  <c r="M235" i="3"/>
  <c r="N235" i="3" s="1"/>
  <c r="F235" i="3"/>
  <c r="L235" i="3" l="1"/>
  <c r="V235" i="3"/>
  <c r="W235" i="3" s="1"/>
  <c r="A236" i="3"/>
  <c r="B236" i="3" s="1"/>
  <c r="AA236" i="3" l="1"/>
  <c r="Z236" i="3"/>
  <c r="AD236" i="3"/>
  <c r="P236" i="3"/>
  <c r="Q236" i="3" s="1"/>
  <c r="R236" i="3" s="1"/>
  <c r="S236" i="3" s="1"/>
  <c r="AC236" i="3"/>
  <c r="U235" i="3"/>
  <c r="Y234" i="3"/>
  <c r="T236" i="3" l="1"/>
  <c r="AH236" i="3" s="1"/>
  <c r="E236" i="3" l="1"/>
  <c r="H236" i="3" s="1"/>
  <c r="K236" i="3" s="1"/>
  <c r="AE236" i="3" s="1"/>
  <c r="D236" i="3"/>
  <c r="AG236" i="3"/>
  <c r="F236" i="3" l="1"/>
  <c r="G236" i="3"/>
  <c r="I236" i="3" s="1"/>
  <c r="V236" i="3"/>
  <c r="A237" i="3"/>
  <c r="B237" i="3" s="1"/>
  <c r="M236" i="3" l="1"/>
  <c r="N236" i="3" s="1"/>
  <c r="J236" i="3"/>
  <c r="L236" i="3" s="1"/>
  <c r="W236" i="3"/>
  <c r="AD237" i="3"/>
  <c r="AA237" i="3"/>
  <c r="Z237" i="3"/>
  <c r="AC237" i="3"/>
  <c r="P237" i="3"/>
  <c r="Q237" i="3" s="1"/>
  <c r="R237" i="3" s="1"/>
  <c r="S237" i="3" s="1"/>
  <c r="T237" i="3" l="1"/>
  <c r="AH237" i="3" s="1"/>
  <c r="U236" i="3"/>
  <c r="Y235" i="3"/>
  <c r="D237" i="3" l="1"/>
  <c r="G237" i="3" s="1"/>
  <c r="AG237" i="3"/>
  <c r="E237" i="3"/>
  <c r="H237" i="3" s="1"/>
  <c r="K237" i="3" s="1"/>
  <c r="AE237" i="3" s="1"/>
  <c r="F237" i="3" l="1"/>
  <c r="V237" i="3"/>
  <c r="A238" i="3"/>
  <c r="B238" i="3" s="1"/>
  <c r="I237" i="3"/>
  <c r="J237" i="3"/>
  <c r="M237" i="3"/>
  <c r="N237" i="3" s="1"/>
  <c r="L237" i="3" l="1"/>
  <c r="Z238" i="3"/>
  <c r="P238" i="3"/>
  <c r="Q238" i="3" s="1"/>
  <c r="R238" i="3" s="1"/>
  <c r="S238" i="3" s="1"/>
  <c r="AD238" i="3"/>
  <c r="AA238" i="3"/>
  <c r="AC238" i="3"/>
  <c r="W237" i="3"/>
  <c r="T238" i="3" l="1"/>
  <c r="AG238" i="3" s="1"/>
  <c r="U237" i="3"/>
  <c r="Y236" i="3"/>
  <c r="AH238" i="3" l="1"/>
  <c r="D238" i="3"/>
  <c r="G238" i="3" s="1"/>
  <c r="E238" i="3"/>
  <c r="H238" i="3" s="1"/>
  <c r="K238" i="3" s="1"/>
  <c r="AE238" i="3" s="1"/>
  <c r="F238" i="3" l="1"/>
  <c r="I238" i="3"/>
  <c r="J238" i="3"/>
  <c r="M238" i="3"/>
  <c r="N238" i="3" s="1"/>
  <c r="V238" i="3"/>
  <c r="A239" i="3"/>
  <c r="B239" i="3" s="1"/>
  <c r="W238" i="3" l="1"/>
  <c r="AA239" i="3"/>
  <c r="P239" i="3"/>
  <c r="Q239" i="3" s="1"/>
  <c r="R239" i="3" s="1"/>
  <c r="S239" i="3" s="1"/>
  <c r="AC239" i="3"/>
  <c r="Z239" i="3"/>
  <c r="AD239" i="3"/>
  <c r="L238" i="3"/>
  <c r="T239" i="3" l="1"/>
  <c r="AH239" i="3" s="1"/>
  <c r="U238" i="3"/>
  <c r="Y237" i="3"/>
  <c r="E239" i="3" l="1"/>
  <c r="H239" i="3" s="1"/>
  <c r="K239" i="3" s="1"/>
  <c r="AE239" i="3" s="1"/>
  <c r="AG239" i="3"/>
  <c r="D239" i="3"/>
  <c r="F239" i="3" l="1"/>
  <c r="G239" i="3"/>
  <c r="I239" i="3" s="1"/>
  <c r="V239" i="3"/>
  <c r="A240" i="3"/>
  <c r="B240" i="3" s="1"/>
  <c r="M239" i="3" l="1"/>
  <c r="N239" i="3" s="1"/>
  <c r="J239" i="3"/>
  <c r="L239" i="3" s="1"/>
  <c r="W239" i="3"/>
  <c r="AA240" i="3"/>
  <c r="AC240" i="3"/>
  <c r="AD240" i="3"/>
  <c r="Z240" i="3"/>
  <c r="P240" i="3"/>
  <c r="Q240" i="3" s="1"/>
  <c r="R240" i="3" s="1"/>
  <c r="S240" i="3" s="1"/>
  <c r="T240" i="3" l="1"/>
  <c r="AG240" i="3" s="1"/>
  <c r="U239" i="3"/>
  <c r="Y238" i="3"/>
  <c r="AH240" i="3" l="1"/>
  <c r="E240" i="3"/>
  <c r="H240" i="3" s="1"/>
  <c r="K240" i="3" s="1"/>
  <c r="AE240" i="3" s="1"/>
  <c r="D240" i="3"/>
  <c r="F240" i="3" l="1"/>
  <c r="G240" i="3"/>
  <c r="I240" i="3" s="1"/>
  <c r="V240" i="3"/>
  <c r="A241" i="3"/>
  <c r="B241" i="3" s="1"/>
  <c r="M240" i="3" l="1"/>
  <c r="N240" i="3" s="1"/>
  <c r="J240" i="3"/>
  <c r="L240" i="3" s="1"/>
  <c r="AD241" i="3"/>
  <c r="Z241" i="3"/>
  <c r="AC241" i="3"/>
  <c r="AA241" i="3"/>
  <c r="P241" i="3"/>
  <c r="Q241" i="3" s="1"/>
  <c r="R241" i="3" s="1"/>
  <c r="S241" i="3" s="1"/>
  <c r="W240" i="3"/>
  <c r="T241" i="3" l="1"/>
  <c r="AG241" i="3" s="1"/>
  <c r="U240" i="3"/>
  <c r="Y239" i="3"/>
  <c r="AH241" i="3" l="1"/>
  <c r="D241" i="3"/>
  <c r="G241" i="3" s="1"/>
  <c r="E241" i="3"/>
  <c r="H241" i="3" s="1"/>
  <c r="K241" i="3" s="1"/>
  <c r="AE241" i="3" s="1"/>
  <c r="F241" i="3" l="1"/>
  <c r="V241" i="3"/>
  <c r="A242" i="3"/>
  <c r="B242" i="3" s="1"/>
  <c r="I241" i="3"/>
  <c r="J241" i="3"/>
  <c r="M241" i="3"/>
  <c r="N241" i="3" s="1"/>
  <c r="AC242" i="3" l="1"/>
  <c r="Z242" i="3"/>
  <c r="AD242" i="3"/>
  <c r="AA242" i="3"/>
  <c r="P242" i="3"/>
  <c r="Q242" i="3" s="1"/>
  <c r="R242" i="3" s="1"/>
  <c r="S242" i="3" s="1"/>
  <c r="L241" i="3"/>
  <c r="W241" i="3"/>
  <c r="T242" i="3" l="1"/>
  <c r="AG242" i="3" s="1"/>
  <c r="U241" i="3"/>
  <c r="Y240" i="3"/>
  <c r="AH242" i="3" l="1"/>
  <c r="D242" i="3"/>
  <c r="E242" i="3"/>
  <c r="H242" i="3" s="1"/>
  <c r="K242" i="3" s="1"/>
  <c r="AE242" i="3" s="1"/>
  <c r="F242" i="3" l="1"/>
  <c r="G242" i="3"/>
  <c r="I242" i="3" s="1"/>
  <c r="V242" i="3"/>
  <c r="A243" i="3"/>
  <c r="B243" i="3" s="1"/>
  <c r="M242" i="3" l="1"/>
  <c r="N242" i="3" s="1"/>
  <c r="W242" i="3"/>
  <c r="J242" i="3"/>
  <c r="L242" i="3" s="1"/>
  <c r="AD243" i="3"/>
  <c r="P243" i="3"/>
  <c r="Q243" i="3" s="1"/>
  <c r="R243" i="3" s="1"/>
  <c r="S243" i="3" s="1"/>
  <c r="AC243" i="3"/>
  <c r="AA243" i="3"/>
  <c r="Z243" i="3"/>
  <c r="U242" i="3" l="1"/>
  <c r="Y241" i="3"/>
  <c r="T243" i="3"/>
  <c r="AG243" i="3" s="1"/>
  <c r="E243" i="3" l="1"/>
  <c r="H243" i="3" s="1"/>
  <c r="K243" i="3" s="1"/>
  <c r="AE243" i="3" s="1"/>
  <c r="AH243" i="3"/>
  <c r="D243" i="3"/>
  <c r="F243" i="3" l="1"/>
  <c r="G243" i="3"/>
  <c r="I243" i="3" s="1"/>
  <c r="V243" i="3"/>
  <c r="A244" i="3"/>
  <c r="B244" i="3" s="1"/>
  <c r="M243" i="3" l="1"/>
  <c r="N243" i="3" s="1"/>
  <c r="J243" i="3"/>
  <c r="L243" i="3" s="1"/>
  <c r="W243" i="3"/>
  <c r="AA244" i="3"/>
  <c r="AC244" i="3"/>
  <c r="Z244" i="3"/>
  <c r="P244" i="3"/>
  <c r="Q244" i="3" s="1"/>
  <c r="R244" i="3" s="1"/>
  <c r="S244" i="3" s="1"/>
  <c r="U243" i="3" l="1"/>
  <c r="Y242" i="3"/>
  <c r="T244" i="3"/>
  <c r="AG244" i="3" s="1"/>
  <c r="D244" i="3" l="1"/>
  <c r="G244" i="3" s="1"/>
  <c r="AH244" i="3"/>
  <c r="E244" i="3"/>
  <c r="H244" i="3" s="1"/>
  <c r="K244" i="3" s="1"/>
  <c r="AE244" i="3" s="1"/>
  <c r="F244" i="3" l="1"/>
  <c r="V244" i="3"/>
  <c r="A245" i="3"/>
  <c r="B245" i="3" s="1"/>
  <c r="I244" i="3"/>
  <c r="J244" i="3"/>
  <c r="M244" i="3"/>
  <c r="N244" i="3" s="1"/>
  <c r="AC245" i="3" l="1"/>
  <c r="P245" i="3"/>
  <c r="Q245" i="3" s="1"/>
  <c r="R245" i="3" s="1"/>
  <c r="S245" i="3" s="1"/>
  <c r="AA245" i="3"/>
  <c r="Z245" i="3"/>
  <c r="AD245" i="3"/>
  <c r="L244" i="3"/>
  <c r="AD244" i="3"/>
  <c r="W244" i="3"/>
  <c r="U244" i="3" l="1"/>
  <c r="Y243" i="3"/>
  <c r="T245" i="3"/>
  <c r="D245" i="3" l="1"/>
  <c r="G245" i="3" s="1"/>
  <c r="AG245" i="3"/>
  <c r="AH245" i="3"/>
  <c r="E245" i="3"/>
  <c r="H245" i="3" s="1"/>
  <c r="K245" i="3" s="1"/>
  <c r="AE245" i="3" s="1"/>
  <c r="F245" i="3" l="1"/>
  <c r="V245" i="3"/>
  <c r="A246" i="3"/>
  <c r="B246" i="3" s="1"/>
  <c r="I245" i="3"/>
  <c r="J245" i="3"/>
  <c r="M245" i="3"/>
  <c r="N245" i="3" s="1"/>
  <c r="Z246" i="3" l="1"/>
  <c r="AD246" i="3"/>
  <c r="AC246" i="3"/>
  <c r="AA246" i="3"/>
  <c r="P246" i="3"/>
  <c r="Q246" i="3" s="1"/>
  <c r="R246" i="3" s="1"/>
  <c r="S246" i="3" s="1"/>
  <c r="L245" i="3"/>
  <c r="W245" i="3"/>
  <c r="T246" i="3" l="1"/>
  <c r="AG246" i="3" s="1"/>
  <c r="U245" i="3"/>
  <c r="Y244" i="3"/>
  <c r="E246" i="3" l="1"/>
  <c r="H246" i="3" s="1"/>
  <c r="K246" i="3" s="1"/>
  <c r="AE246" i="3" s="1"/>
  <c r="D246" i="3"/>
  <c r="AH246" i="3"/>
  <c r="F246" i="3" l="1"/>
  <c r="G246" i="3"/>
  <c r="I246" i="3" s="1"/>
  <c r="V246" i="3"/>
  <c r="A247" i="3"/>
  <c r="B247" i="3" s="1"/>
  <c r="J246" i="3" l="1"/>
  <c r="L246" i="3" s="1"/>
  <c r="M246" i="3"/>
  <c r="N246" i="3" s="1"/>
  <c r="W246" i="3"/>
  <c r="Z247" i="3"/>
  <c r="AD247" i="3"/>
  <c r="AC247" i="3"/>
  <c r="AA247" i="3"/>
  <c r="P247" i="3"/>
  <c r="Q247" i="3" s="1"/>
  <c r="R247" i="3" s="1"/>
  <c r="S247" i="3" s="1"/>
  <c r="T247" i="3" l="1"/>
  <c r="AH247" i="3" s="1"/>
  <c r="U246" i="3"/>
  <c r="Y245" i="3"/>
  <c r="E247" i="3" l="1"/>
  <c r="H247" i="3" s="1"/>
  <c r="K247" i="3" s="1"/>
  <c r="AE247" i="3" s="1"/>
  <c r="D247" i="3"/>
  <c r="AG247" i="3"/>
  <c r="F247" i="3" l="1"/>
  <c r="G247" i="3"/>
  <c r="I247" i="3" s="1"/>
  <c r="V247" i="3"/>
  <c r="A248" i="3"/>
  <c r="B248" i="3" s="1"/>
  <c r="M247" i="3" l="1"/>
  <c r="N247" i="3" s="1"/>
  <c r="J247" i="3"/>
  <c r="L247" i="3" s="1"/>
  <c r="W247" i="3"/>
  <c r="AA248" i="3"/>
  <c r="AC248" i="3"/>
  <c r="AD248" i="3"/>
  <c r="Z248" i="3"/>
  <c r="P248" i="3"/>
  <c r="Q248" i="3" s="1"/>
  <c r="R248" i="3" s="1"/>
  <c r="S248" i="3" s="1"/>
  <c r="T248" i="3" l="1"/>
  <c r="AH248" i="3" s="1"/>
  <c r="U247" i="3"/>
  <c r="Y246" i="3"/>
  <c r="AG248" i="3" l="1"/>
  <c r="E248" i="3"/>
  <c r="H248" i="3" s="1"/>
  <c r="K248" i="3" s="1"/>
  <c r="AE248" i="3" s="1"/>
  <c r="D248" i="3"/>
  <c r="F248" i="3" l="1"/>
  <c r="G248" i="3"/>
  <c r="V248" i="3"/>
  <c r="A249" i="3"/>
  <c r="B249" i="3" s="1"/>
  <c r="AD249" i="3" l="1"/>
  <c r="P249" i="3"/>
  <c r="Q249" i="3" s="1"/>
  <c r="R249" i="3" s="1"/>
  <c r="S249" i="3" s="1"/>
  <c r="AA249" i="3"/>
  <c r="AC249" i="3"/>
  <c r="Z249" i="3"/>
  <c r="I248" i="3"/>
  <c r="W248" i="3" s="1"/>
  <c r="J248" i="3"/>
  <c r="M248" i="3"/>
  <c r="N248" i="3" s="1"/>
  <c r="L248" i="3" l="1"/>
  <c r="T249" i="3"/>
  <c r="AG249" i="3" l="1"/>
  <c r="AH249" i="3"/>
  <c r="U248" i="3"/>
  <c r="D249" i="3" s="1"/>
  <c r="Y247" i="3"/>
  <c r="G249" i="3" l="1"/>
  <c r="E249" i="3"/>
  <c r="H249" i="3" s="1"/>
  <c r="K249" i="3" l="1"/>
  <c r="AE249" i="3" s="1"/>
  <c r="I249" i="3"/>
  <c r="J249" i="3"/>
  <c r="M249" i="3"/>
  <c r="N249" i="3" s="1"/>
  <c r="F249" i="3"/>
  <c r="L249" i="3" l="1"/>
  <c r="V249" i="3"/>
  <c r="W249" i="3" s="1"/>
  <c r="A250" i="3"/>
  <c r="B250" i="3" s="1"/>
  <c r="AA250" i="3" l="1"/>
  <c r="AC250" i="3"/>
  <c r="P250" i="3"/>
  <c r="Q250" i="3" s="1"/>
  <c r="R250" i="3" s="1"/>
  <c r="S250" i="3" s="1"/>
  <c r="Z250" i="3"/>
  <c r="AD250" i="3"/>
  <c r="U249" i="3"/>
  <c r="Y248" i="3"/>
  <c r="T250" i="3" l="1"/>
  <c r="AG250" i="3" s="1"/>
  <c r="D250" i="3" l="1"/>
  <c r="G250" i="3" s="1"/>
  <c r="E250" i="3"/>
  <c r="H250" i="3" s="1"/>
  <c r="AH250" i="3"/>
  <c r="F250" i="3" l="1"/>
  <c r="I250" i="3"/>
  <c r="J250" i="3"/>
  <c r="M250" i="3"/>
  <c r="N250" i="3" s="1"/>
  <c r="K250" i="3"/>
  <c r="AE250" i="3" s="1"/>
  <c r="V250" i="3" l="1"/>
  <c r="W250" i="3" s="1"/>
  <c r="A251" i="3"/>
  <c r="B251" i="3" s="1"/>
  <c r="L250" i="3"/>
  <c r="Z251" i="3" l="1"/>
  <c r="AD251" i="3"/>
  <c r="AA251" i="3"/>
  <c r="P251" i="3"/>
  <c r="Q251" i="3" s="1"/>
  <c r="R251" i="3" s="1"/>
  <c r="S251" i="3" s="1"/>
  <c r="AC251" i="3"/>
  <c r="U250" i="3"/>
  <c r="Y249" i="3"/>
  <c r="T251" i="3" l="1"/>
  <c r="E251" i="3" s="1"/>
  <c r="H251" i="3" s="1"/>
  <c r="AH251" i="3" l="1"/>
  <c r="D251" i="3"/>
  <c r="F251" i="3" s="1"/>
  <c r="AG251" i="3"/>
  <c r="K251" i="3"/>
  <c r="AE251" i="3" s="1"/>
  <c r="G251" i="3" l="1"/>
  <c r="I251" i="3" s="1"/>
  <c r="V251" i="3"/>
  <c r="A252" i="3"/>
  <c r="B252" i="3" s="1"/>
  <c r="J251" i="3" l="1"/>
  <c r="L251" i="3" s="1"/>
  <c r="M251" i="3"/>
  <c r="N251" i="3" s="1"/>
  <c r="P252" i="3"/>
  <c r="Q252" i="3" s="1"/>
  <c r="R252" i="3" s="1"/>
  <c r="S252" i="3" s="1"/>
  <c r="AA252" i="3"/>
  <c r="AC252" i="3"/>
  <c r="AD252" i="3"/>
  <c r="Z252" i="3"/>
  <c r="W251" i="3"/>
  <c r="T252" i="3" l="1"/>
  <c r="AH252" i="3" s="1"/>
  <c r="U251" i="3"/>
  <c r="Y250" i="3"/>
  <c r="AG252" i="3" l="1"/>
  <c r="E252" i="3"/>
  <c r="H252" i="3" s="1"/>
  <c r="K252" i="3" s="1"/>
  <c r="AE252" i="3" s="1"/>
  <c r="D252" i="3"/>
  <c r="G252" i="3" s="1"/>
  <c r="F252" i="3" l="1"/>
  <c r="I252" i="3"/>
  <c r="J252" i="3"/>
  <c r="M252" i="3"/>
  <c r="N252" i="3" s="1"/>
  <c r="V252" i="3"/>
  <c r="A253" i="3"/>
  <c r="B253" i="3" s="1"/>
  <c r="W252" i="3" l="1"/>
  <c r="AA253" i="3"/>
  <c r="AD253" i="3"/>
  <c r="AC253" i="3"/>
  <c r="Z253" i="3"/>
  <c r="P253" i="3"/>
  <c r="Q253" i="3" s="1"/>
  <c r="R253" i="3" s="1"/>
  <c r="S253" i="3" s="1"/>
  <c r="L252" i="3"/>
  <c r="T253" i="3" l="1"/>
  <c r="AH253" i="3" s="1"/>
  <c r="U252" i="3"/>
  <c r="Y251" i="3"/>
  <c r="D253" i="3" l="1"/>
  <c r="G253" i="3" s="1"/>
  <c r="AG253" i="3"/>
  <c r="E253" i="3"/>
  <c r="H253" i="3" s="1"/>
  <c r="K253" i="3" s="1"/>
  <c r="AE253" i="3" s="1"/>
  <c r="F253" i="3" l="1"/>
  <c r="I253" i="3"/>
  <c r="J253" i="3"/>
  <c r="M253" i="3"/>
  <c r="N253" i="3" s="1"/>
  <c r="V253" i="3"/>
  <c r="A254" i="3"/>
  <c r="B254" i="3" s="1"/>
  <c r="W253" i="3" l="1"/>
  <c r="Z254" i="3"/>
  <c r="AA254" i="3"/>
  <c r="P254" i="3"/>
  <c r="Q254" i="3" s="1"/>
  <c r="R254" i="3" s="1"/>
  <c r="S254" i="3" s="1"/>
  <c r="AC254" i="3"/>
  <c r="L253" i="3"/>
  <c r="T254" i="3" l="1"/>
  <c r="AG254" i="3" s="1"/>
  <c r="U253" i="3"/>
  <c r="Y252" i="3"/>
  <c r="AH254" i="3" l="1"/>
  <c r="E254" i="3"/>
  <c r="H254" i="3" s="1"/>
  <c r="K254" i="3" s="1"/>
  <c r="AE254" i="3" s="1"/>
  <c r="D254" i="3"/>
  <c r="F254" i="3" l="1"/>
  <c r="G254" i="3"/>
  <c r="V254" i="3"/>
  <c r="A255" i="3"/>
  <c r="B255" i="3" s="1"/>
  <c r="AA255" i="3" l="1"/>
  <c r="AC255" i="3"/>
  <c r="AD255" i="3"/>
  <c r="P255" i="3"/>
  <c r="Q255" i="3" s="1"/>
  <c r="R255" i="3" s="1"/>
  <c r="S255" i="3" s="1"/>
  <c r="Z255" i="3"/>
  <c r="I254" i="3"/>
  <c r="W254" i="3" s="1"/>
  <c r="J254" i="3"/>
  <c r="M254" i="3"/>
  <c r="N254" i="3" s="1"/>
  <c r="T255" i="3" l="1"/>
  <c r="L254" i="3"/>
  <c r="AD254" i="3"/>
  <c r="AH255" i="3" l="1"/>
  <c r="AG255" i="3"/>
  <c r="U254" i="3"/>
  <c r="D255" i="3" s="1"/>
  <c r="Y253" i="3"/>
  <c r="E255" i="3" l="1"/>
  <c r="H255" i="3" s="1"/>
  <c r="K255" i="3" s="1"/>
  <c r="AE255" i="3" s="1"/>
  <c r="G255" i="3"/>
  <c r="F255" i="3" l="1"/>
  <c r="I255" i="3"/>
  <c r="J255" i="3"/>
  <c r="M255" i="3"/>
  <c r="N255" i="3" s="1"/>
  <c r="V255" i="3"/>
  <c r="A256" i="3"/>
  <c r="B256" i="3" s="1"/>
  <c r="W255" i="3" l="1"/>
  <c r="Z256" i="3"/>
  <c r="AC256" i="3"/>
  <c r="AA256" i="3"/>
  <c r="P256" i="3"/>
  <c r="Q256" i="3" s="1"/>
  <c r="R256" i="3" s="1"/>
  <c r="S256" i="3" s="1"/>
  <c r="AD256" i="3"/>
  <c r="L255" i="3"/>
  <c r="T256" i="3" l="1"/>
  <c r="AH256" i="3" s="1"/>
  <c r="U255" i="3"/>
  <c r="Y254" i="3"/>
  <c r="D256" i="3" l="1"/>
  <c r="E256" i="3"/>
  <c r="H256" i="3" s="1"/>
  <c r="K256" i="3" s="1"/>
  <c r="AE256" i="3" s="1"/>
  <c r="AG256" i="3"/>
  <c r="F256" i="3" l="1"/>
  <c r="G256" i="3"/>
  <c r="J256" i="3" s="1"/>
  <c r="V256" i="3"/>
  <c r="A257" i="3"/>
  <c r="B257" i="3" s="1"/>
  <c r="I256" i="3" l="1"/>
  <c r="W256" i="3" s="1"/>
  <c r="M256" i="3"/>
  <c r="N256" i="3" s="1"/>
  <c r="L256" i="3"/>
  <c r="AD257" i="3"/>
  <c r="AC257" i="3"/>
  <c r="Z257" i="3"/>
  <c r="AA257" i="3"/>
  <c r="P257" i="3"/>
  <c r="Q257" i="3" s="1"/>
  <c r="R257" i="3" s="1"/>
  <c r="S257" i="3" s="1"/>
  <c r="T257" i="3" l="1"/>
  <c r="AG257" i="3" s="1"/>
  <c r="U256" i="3"/>
  <c r="Y255" i="3"/>
  <c r="D257" i="3" l="1"/>
  <c r="G257" i="3" s="1"/>
  <c r="AH257" i="3"/>
  <c r="E257" i="3"/>
  <c r="H257" i="3" s="1"/>
  <c r="K257" i="3" s="1"/>
  <c r="AE257" i="3" s="1"/>
  <c r="F257" i="3" l="1"/>
  <c r="V257" i="3"/>
  <c r="A258" i="3"/>
  <c r="B258" i="3" s="1"/>
  <c r="I257" i="3"/>
  <c r="J257" i="3"/>
  <c r="M257" i="3"/>
  <c r="N257" i="3" s="1"/>
  <c r="L257" i="3" l="1"/>
  <c r="AD258" i="3"/>
  <c r="Z258" i="3"/>
  <c r="P258" i="3"/>
  <c r="Q258" i="3" s="1"/>
  <c r="R258" i="3" s="1"/>
  <c r="S258" i="3" s="1"/>
  <c r="AC258" i="3"/>
  <c r="AA258" i="3"/>
  <c r="W257" i="3"/>
  <c r="T258" i="3" l="1"/>
  <c r="AH258" i="3" s="1"/>
  <c r="U257" i="3"/>
  <c r="Y256" i="3"/>
  <c r="D258" i="3" l="1"/>
  <c r="G258" i="3" s="1"/>
  <c r="AG258" i="3"/>
  <c r="E258" i="3"/>
  <c r="H258" i="3" s="1"/>
  <c r="K258" i="3" s="1"/>
  <c r="AE258" i="3" s="1"/>
  <c r="F258" i="3" l="1"/>
  <c r="V258" i="3"/>
  <c r="A259" i="3"/>
  <c r="B259" i="3" s="1"/>
  <c r="I258" i="3"/>
  <c r="J258" i="3"/>
  <c r="M258" i="3"/>
  <c r="N258" i="3" s="1"/>
  <c r="W258" i="3" l="1"/>
  <c r="L258" i="3"/>
  <c r="AC259" i="3"/>
  <c r="P259" i="3"/>
  <c r="Q259" i="3" s="1"/>
  <c r="R259" i="3" s="1"/>
  <c r="S259" i="3" s="1"/>
  <c r="AA259" i="3"/>
  <c r="Z259" i="3"/>
  <c r="AD259" i="3"/>
  <c r="U258" i="3" l="1"/>
  <c r="Y257" i="3"/>
  <c r="T259" i="3"/>
  <c r="E259" i="3" l="1"/>
  <c r="H259" i="3" s="1"/>
  <c r="K259" i="3" s="1"/>
  <c r="AE259" i="3" s="1"/>
  <c r="D259" i="3"/>
  <c r="AH259" i="3"/>
  <c r="AG259" i="3"/>
  <c r="F259" i="3" l="1"/>
  <c r="G259" i="3"/>
  <c r="I259" i="3" s="1"/>
  <c r="V259" i="3"/>
  <c r="A260" i="3"/>
  <c r="B260" i="3" s="1"/>
  <c r="M259" i="3" l="1"/>
  <c r="N259" i="3" s="1"/>
  <c r="W259" i="3"/>
  <c r="J259" i="3"/>
  <c r="L259" i="3" s="1"/>
  <c r="AD260" i="3"/>
  <c r="Z260" i="3"/>
  <c r="AC260" i="3"/>
  <c r="AA260" i="3"/>
  <c r="P260" i="3"/>
  <c r="Q260" i="3" s="1"/>
  <c r="R260" i="3" s="1"/>
  <c r="S260" i="3" s="1"/>
  <c r="T260" i="3" l="1"/>
  <c r="AH260" i="3" s="1"/>
  <c r="U259" i="3"/>
  <c r="Y258" i="3"/>
  <c r="AG260" i="3" l="1"/>
  <c r="D260" i="3"/>
  <c r="G260" i="3" s="1"/>
  <c r="E260" i="3"/>
  <c r="H260" i="3" s="1"/>
  <c r="K260" i="3" l="1"/>
  <c r="AE260" i="3" s="1"/>
  <c r="I260" i="3"/>
  <c r="J260" i="3"/>
  <c r="M260" i="3"/>
  <c r="N260" i="3" s="1"/>
  <c r="F260" i="3"/>
  <c r="L260" i="3" l="1"/>
  <c r="V260" i="3"/>
  <c r="W260" i="3" s="1"/>
  <c r="A261" i="3"/>
  <c r="B261" i="3" s="1"/>
  <c r="AA261" i="3" l="1"/>
  <c r="AD261" i="3"/>
  <c r="P261" i="3"/>
  <c r="Q261" i="3" s="1"/>
  <c r="R261" i="3" s="1"/>
  <c r="S261" i="3" s="1"/>
  <c r="Z261" i="3"/>
  <c r="AC261" i="3"/>
  <c r="U260" i="3"/>
  <c r="Y259" i="3"/>
  <c r="T261" i="3" l="1"/>
  <c r="E261" i="3" s="1"/>
  <c r="H261" i="3" s="1"/>
  <c r="AH261" i="3" l="1"/>
  <c r="D261" i="3"/>
  <c r="F261" i="3" s="1"/>
  <c r="AG261" i="3"/>
  <c r="K261" i="3"/>
  <c r="AE261" i="3" s="1"/>
  <c r="G261" i="3" l="1"/>
  <c r="I261" i="3" s="1"/>
  <c r="V261" i="3"/>
  <c r="A262" i="3"/>
  <c r="B262" i="3" s="1"/>
  <c r="M261" i="3" l="1"/>
  <c r="N261" i="3" s="1"/>
  <c r="J261" i="3"/>
  <c r="L261" i="3" s="1"/>
  <c r="W261" i="3"/>
  <c r="AA262" i="3"/>
  <c r="Z262" i="3"/>
  <c r="P262" i="3"/>
  <c r="Q262" i="3" s="1"/>
  <c r="R262" i="3" s="1"/>
  <c r="S262" i="3" s="1"/>
  <c r="AD262" i="3"/>
  <c r="AC262" i="3"/>
  <c r="T262" i="3" l="1"/>
  <c r="AG262" i="3" s="1"/>
  <c r="U261" i="3"/>
  <c r="Y260" i="3"/>
  <c r="AH262" i="3" l="1"/>
  <c r="D262" i="3"/>
  <c r="G262" i="3" s="1"/>
  <c r="E262" i="3"/>
  <c r="H262" i="3" s="1"/>
  <c r="K262" i="3" s="1"/>
  <c r="AE262" i="3" s="1"/>
  <c r="F262" i="3" l="1"/>
  <c r="I262" i="3"/>
  <c r="J262" i="3"/>
  <c r="M262" i="3"/>
  <c r="N262" i="3" s="1"/>
  <c r="V262" i="3"/>
  <c r="A263" i="3"/>
  <c r="B263" i="3" s="1"/>
  <c r="W262" i="3" l="1"/>
  <c r="Z263" i="3"/>
  <c r="AD263" i="3"/>
  <c r="AC263" i="3"/>
  <c r="AA263" i="3"/>
  <c r="P263" i="3"/>
  <c r="Q263" i="3" s="1"/>
  <c r="R263" i="3" s="1"/>
  <c r="S263" i="3" s="1"/>
  <c r="L262" i="3"/>
  <c r="T263" i="3" l="1"/>
  <c r="AG263" i="3" s="1"/>
  <c r="U262" i="3"/>
  <c r="Y261" i="3"/>
  <c r="AH263" i="3" l="1"/>
  <c r="E263" i="3"/>
  <c r="H263" i="3" s="1"/>
  <c r="K263" i="3" s="1"/>
  <c r="AE263" i="3" s="1"/>
  <c r="D263" i="3"/>
  <c r="F263" i="3" l="1"/>
  <c r="G263" i="3"/>
  <c r="V263" i="3"/>
  <c r="A264" i="3"/>
  <c r="B264" i="3" s="1"/>
  <c r="Z264" i="3" l="1"/>
  <c r="P264" i="3"/>
  <c r="Q264" i="3" s="1"/>
  <c r="R264" i="3" s="1"/>
  <c r="S264" i="3" s="1"/>
  <c r="AA264" i="3"/>
  <c r="AD264" i="3"/>
  <c r="AC264" i="3"/>
  <c r="I263" i="3"/>
  <c r="W263" i="3" s="1"/>
  <c r="J263" i="3"/>
  <c r="M263" i="3"/>
  <c r="N263" i="3" s="1"/>
  <c r="L263" i="3" l="1"/>
  <c r="T264" i="3"/>
  <c r="U263" i="3" l="1"/>
  <c r="D264" i="3" s="1"/>
  <c r="AG264" i="3"/>
  <c r="AH264" i="3"/>
  <c r="Y262" i="3"/>
  <c r="E264" i="3" l="1"/>
  <c r="H264" i="3" s="1"/>
  <c r="K264" i="3" s="1"/>
  <c r="AE264" i="3" s="1"/>
  <c r="G264" i="3"/>
  <c r="F264" i="3" l="1"/>
  <c r="V264" i="3"/>
  <c r="A265" i="3"/>
  <c r="B265" i="3" s="1"/>
  <c r="I264" i="3"/>
  <c r="J264" i="3"/>
  <c r="M264" i="3"/>
  <c r="N264" i="3" s="1"/>
  <c r="L264" i="3" l="1"/>
  <c r="AA265" i="3"/>
  <c r="Z265" i="3"/>
  <c r="AD265" i="3"/>
  <c r="AC265" i="3"/>
  <c r="P265" i="3"/>
  <c r="Q265" i="3" s="1"/>
  <c r="R265" i="3" s="1"/>
  <c r="S265" i="3" s="1"/>
  <c r="W264" i="3"/>
  <c r="T265" i="3" l="1"/>
  <c r="AG265" i="3" s="1"/>
  <c r="U264" i="3"/>
  <c r="Y263" i="3"/>
  <c r="D265" i="3" l="1"/>
  <c r="G265" i="3" s="1"/>
  <c r="AH265" i="3"/>
  <c r="E265" i="3"/>
  <c r="H265" i="3" s="1"/>
  <c r="I265" i="3" l="1"/>
  <c r="J265" i="3"/>
  <c r="M265" i="3"/>
  <c r="N265" i="3" s="1"/>
  <c r="K265" i="3"/>
  <c r="AE265" i="3" s="1"/>
  <c r="F265" i="3"/>
  <c r="V265" i="3" l="1"/>
  <c r="W265" i="3" s="1"/>
  <c r="A266" i="3"/>
  <c r="B266" i="3" s="1"/>
  <c r="L265" i="3"/>
  <c r="U265" i="3" l="1"/>
  <c r="Y264" i="3"/>
  <c r="AD266" i="3"/>
  <c r="P266" i="3"/>
  <c r="Q266" i="3" s="1"/>
  <c r="R266" i="3" s="1"/>
  <c r="S266" i="3" s="1"/>
  <c r="AA266" i="3"/>
  <c r="AC266" i="3"/>
  <c r="Z266" i="3"/>
  <c r="T266" i="3" l="1"/>
  <c r="AG266" i="3" s="1"/>
  <c r="AH266" i="3" l="1"/>
  <c r="D266" i="3"/>
  <c r="G266" i="3" s="1"/>
  <c r="E266" i="3"/>
  <c r="H266" i="3" s="1"/>
  <c r="K266" i="3" l="1"/>
  <c r="AE266" i="3" s="1"/>
  <c r="I266" i="3"/>
  <c r="J266" i="3"/>
  <c r="M266" i="3"/>
  <c r="N266" i="3" s="1"/>
  <c r="F266" i="3"/>
  <c r="V266" i="3" l="1"/>
  <c r="W266" i="3" s="1"/>
  <c r="A267" i="3"/>
  <c r="B267" i="3" s="1"/>
  <c r="L266" i="3"/>
  <c r="U266" i="3" l="1"/>
  <c r="Y265" i="3"/>
  <c r="AD267" i="3"/>
  <c r="AC267" i="3"/>
  <c r="P267" i="3"/>
  <c r="Q267" i="3" s="1"/>
  <c r="R267" i="3" s="1"/>
  <c r="S267" i="3" s="1"/>
  <c r="Z267" i="3"/>
  <c r="AA267" i="3"/>
  <c r="T267" i="3" l="1"/>
  <c r="AH267" i="3" s="1"/>
  <c r="D267" i="3" l="1"/>
  <c r="G267" i="3" s="1"/>
  <c r="E267" i="3"/>
  <c r="H267" i="3" s="1"/>
  <c r="K267" i="3" s="1"/>
  <c r="AE267" i="3" s="1"/>
  <c r="AG267" i="3"/>
  <c r="F267" i="3" l="1"/>
  <c r="I267" i="3"/>
  <c r="J267" i="3"/>
  <c r="M267" i="3"/>
  <c r="N267" i="3" s="1"/>
  <c r="V267" i="3"/>
  <c r="A268" i="3"/>
  <c r="B268" i="3" s="1"/>
  <c r="W267" i="3" l="1"/>
  <c r="Z268" i="3"/>
  <c r="AA268" i="3"/>
  <c r="AC268" i="3"/>
  <c r="P268" i="3"/>
  <c r="Q268" i="3" s="1"/>
  <c r="R268" i="3" s="1"/>
  <c r="S268" i="3" s="1"/>
  <c r="AD268" i="3"/>
  <c r="L267" i="3"/>
  <c r="T268" i="3" l="1"/>
  <c r="AG268" i="3" s="1"/>
  <c r="U267" i="3"/>
  <c r="Y266" i="3"/>
  <c r="D268" i="3" l="1"/>
  <c r="G268" i="3" s="1"/>
  <c r="AH268" i="3"/>
  <c r="E268" i="3"/>
  <c r="H268" i="3" s="1"/>
  <c r="K268" i="3" s="1"/>
  <c r="AE268" i="3" s="1"/>
  <c r="F268" i="3" l="1"/>
  <c r="V268" i="3"/>
  <c r="A269" i="3"/>
  <c r="B269" i="3" s="1"/>
  <c r="I268" i="3"/>
  <c r="J268" i="3"/>
  <c r="M268" i="3"/>
  <c r="N268" i="3" s="1"/>
  <c r="Z269" i="3" l="1"/>
  <c r="AC269" i="3"/>
  <c r="AD269" i="3"/>
  <c r="AA269" i="3"/>
  <c r="P269" i="3"/>
  <c r="Q269" i="3" s="1"/>
  <c r="R269" i="3" s="1"/>
  <c r="S269" i="3" s="1"/>
  <c r="L268" i="3"/>
  <c r="W268" i="3"/>
  <c r="T269" i="3" l="1"/>
  <c r="AH269" i="3" s="1"/>
  <c r="U268" i="3"/>
  <c r="Y267" i="3"/>
  <c r="D269" i="3" l="1"/>
  <c r="G269" i="3" s="1"/>
  <c r="AG269" i="3"/>
  <c r="E269" i="3"/>
  <c r="H269" i="3" s="1"/>
  <c r="K269" i="3" s="1"/>
  <c r="AE269" i="3" s="1"/>
  <c r="F269" i="3" l="1"/>
  <c r="V269" i="3"/>
  <c r="A270" i="3"/>
  <c r="B270" i="3" s="1"/>
  <c r="I269" i="3"/>
  <c r="J269" i="3"/>
  <c r="M269" i="3"/>
  <c r="N269" i="3" s="1"/>
  <c r="L269" i="3" l="1"/>
  <c r="P270" i="3"/>
  <c r="Q270" i="3" s="1"/>
  <c r="R270" i="3" s="1"/>
  <c r="S270" i="3" s="1"/>
  <c r="Z270" i="3"/>
  <c r="AC270" i="3"/>
  <c r="AD270" i="3"/>
  <c r="AA270" i="3"/>
  <c r="W269" i="3"/>
  <c r="T270" i="3" l="1"/>
  <c r="AG270" i="3" s="1"/>
  <c r="U269" i="3"/>
  <c r="Y268" i="3"/>
  <c r="AH270" i="3" l="1"/>
  <c r="E270" i="3"/>
  <c r="H270" i="3" s="1"/>
  <c r="K270" i="3" s="1"/>
  <c r="AE270" i="3" s="1"/>
  <c r="D270" i="3"/>
  <c r="F270" i="3" l="1"/>
  <c r="G270" i="3"/>
  <c r="I270" i="3" s="1"/>
  <c r="V270" i="3"/>
  <c r="A271" i="3"/>
  <c r="B271" i="3" s="1"/>
  <c r="W270" i="3" l="1"/>
  <c r="M270" i="3"/>
  <c r="N270" i="3" s="1"/>
  <c r="J270" i="3"/>
  <c r="L270" i="3" s="1"/>
  <c r="AC271" i="3"/>
  <c r="AD271" i="3"/>
  <c r="Z271" i="3"/>
  <c r="AA271" i="3"/>
  <c r="P271" i="3"/>
  <c r="Q271" i="3" s="1"/>
  <c r="R271" i="3" s="1"/>
  <c r="S271" i="3" s="1"/>
  <c r="T271" i="3" l="1"/>
  <c r="AG271" i="3" s="1"/>
  <c r="U270" i="3"/>
  <c r="Y269" i="3"/>
  <c r="AH271" i="3" l="1"/>
  <c r="E271" i="3"/>
  <c r="H271" i="3" s="1"/>
  <c r="K271" i="3" s="1"/>
  <c r="AE271" i="3" s="1"/>
  <c r="D271" i="3"/>
  <c r="F271" i="3" l="1"/>
  <c r="G271" i="3"/>
  <c r="I271" i="3" s="1"/>
  <c r="V271" i="3"/>
  <c r="A272" i="3"/>
  <c r="B272" i="3" s="1"/>
  <c r="M271" i="3" l="1"/>
  <c r="N271" i="3" s="1"/>
  <c r="J271" i="3"/>
  <c r="L271" i="3" s="1"/>
  <c r="W271" i="3"/>
  <c r="AC272" i="3"/>
  <c r="AD272" i="3"/>
  <c r="P272" i="3"/>
  <c r="Q272" i="3" s="1"/>
  <c r="R272" i="3" s="1"/>
  <c r="S272" i="3" s="1"/>
  <c r="AA272" i="3"/>
  <c r="Z272" i="3"/>
  <c r="T272" i="3" l="1"/>
  <c r="AH272" i="3" s="1"/>
  <c r="U271" i="3"/>
  <c r="Y270" i="3"/>
  <c r="D272" i="3" l="1"/>
  <c r="G272" i="3" s="1"/>
  <c r="AG272" i="3"/>
  <c r="E272" i="3"/>
  <c r="H272" i="3" s="1"/>
  <c r="K272" i="3" s="1"/>
  <c r="AE272" i="3" s="1"/>
  <c r="F272" i="3" l="1"/>
  <c r="I272" i="3"/>
  <c r="J272" i="3"/>
  <c r="M272" i="3"/>
  <c r="N272" i="3" s="1"/>
  <c r="V272" i="3"/>
  <c r="A273" i="3"/>
  <c r="B273" i="3" s="1"/>
  <c r="W272" i="3" l="1"/>
  <c r="Z273" i="3"/>
  <c r="AC273" i="3"/>
  <c r="AD273" i="3"/>
  <c r="AA273" i="3"/>
  <c r="P273" i="3"/>
  <c r="Q273" i="3" s="1"/>
  <c r="R273" i="3" s="1"/>
  <c r="S273" i="3" s="1"/>
  <c r="L272" i="3"/>
  <c r="T273" i="3" l="1"/>
  <c r="AG273" i="3" s="1"/>
  <c r="U272" i="3"/>
  <c r="Y271" i="3"/>
  <c r="D273" i="3" l="1"/>
  <c r="G273" i="3" s="1"/>
  <c r="AH273" i="3"/>
  <c r="E273" i="3"/>
  <c r="H273" i="3" s="1"/>
  <c r="K273" i="3" s="1"/>
  <c r="AE273" i="3" s="1"/>
  <c r="F273" i="3" l="1"/>
  <c r="V273" i="3"/>
  <c r="A274" i="3"/>
  <c r="B274" i="3" s="1"/>
  <c r="I273" i="3"/>
  <c r="J273" i="3"/>
  <c r="M273" i="3"/>
  <c r="N273" i="3" s="1"/>
  <c r="L273" i="3" l="1"/>
  <c r="AA274" i="3"/>
  <c r="P274" i="3"/>
  <c r="Q274" i="3" s="1"/>
  <c r="R274" i="3" s="1"/>
  <c r="S274" i="3" s="1"/>
  <c r="AD274" i="3"/>
  <c r="Z274" i="3"/>
  <c r="AC274" i="3"/>
  <c r="W273" i="3"/>
  <c r="T274" i="3" l="1"/>
  <c r="AG274" i="3" s="1"/>
  <c r="U273" i="3"/>
  <c r="Y272" i="3"/>
  <c r="E274" i="3" l="1"/>
  <c r="H274" i="3" s="1"/>
  <c r="K274" i="3" s="1"/>
  <c r="AE274" i="3" s="1"/>
  <c r="D274" i="3"/>
  <c r="G274" i="3" s="1"/>
  <c r="AH274" i="3"/>
  <c r="F274" i="3" l="1"/>
  <c r="I274" i="3"/>
  <c r="J274" i="3"/>
  <c r="M274" i="3"/>
  <c r="N274" i="3" s="1"/>
  <c r="V274" i="3"/>
  <c r="A275" i="3"/>
  <c r="B275" i="3" s="1"/>
  <c r="W274" i="3" l="1"/>
  <c r="AA275" i="3"/>
  <c r="P275" i="3"/>
  <c r="Q275" i="3" s="1"/>
  <c r="R275" i="3" s="1"/>
  <c r="S275" i="3" s="1"/>
  <c r="AC275" i="3"/>
  <c r="Z275" i="3"/>
  <c r="AD275" i="3"/>
  <c r="L274" i="3"/>
  <c r="U274" i="3" l="1"/>
  <c r="Y273" i="3"/>
  <c r="T275" i="3"/>
  <c r="AH275" i="3" s="1"/>
  <c r="E275" i="3" l="1"/>
  <c r="H275" i="3" s="1"/>
  <c r="AG275" i="3"/>
  <c r="D275" i="3"/>
  <c r="F275" i="3" l="1"/>
  <c r="G275" i="3"/>
  <c r="K275" i="3"/>
  <c r="AE275" i="3" s="1"/>
  <c r="V275" i="3" l="1"/>
  <c r="A276" i="3"/>
  <c r="B276" i="3" s="1"/>
  <c r="I275" i="3"/>
  <c r="J275" i="3"/>
  <c r="M275" i="3"/>
  <c r="N275" i="3" s="1"/>
  <c r="L275" i="3" l="1"/>
  <c r="P276" i="3"/>
  <c r="Q276" i="3" s="1"/>
  <c r="R276" i="3" s="1"/>
  <c r="S276" i="3" s="1"/>
  <c r="AA276" i="3"/>
  <c r="Z276" i="3"/>
  <c r="AD276" i="3"/>
  <c r="AC276" i="3"/>
  <c r="W275" i="3"/>
  <c r="T276" i="3" l="1"/>
  <c r="AG276" i="3" s="1"/>
  <c r="U275" i="3"/>
  <c r="Y274" i="3"/>
  <c r="E276" i="3" l="1"/>
  <c r="H276" i="3" s="1"/>
  <c r="K276" i="3" s="1"/>
  <c r="AE276" i="3" s="1"/>
  <c r="AH276" i="3"/>
  <c r="D276" i="3"/>
  <c r="F276" i="3" l="1"/>
  <c r="G276" i="3"/>
  <c r="I276" i="3" s="1"/>
  <c r="V276" i="3"/>
  <c r="A277" i="3"/>
  <c r="B277" i="3" s="1"/>
  <c r="J276" i="3" l="1"/>
  <c r="L276" i="3" s="1"/>
  <c r="W276" i="3"/>
  <c r="M276" i="3"/>
  <c r="N276" i="3" s="1"/>
  <c r="AA277" i="3"/>
  <c r="P277" i="3"/>
  <c r="Q277" i="3" s="1"/>
  <c r="R277" i="3" s="1"/>
  <c r="S277" i="3" s="1"/>
  <c r="Z277" i="3"/>
  <c r="AC277" i="3"/>
  <c r="AD277" i="3"/>
  <c r="T277" i="3" l="1"/>
  <c r="AH277" i="3" s="1"/>
  <c r="U276" i="3"/>
  <c r="Y275" i="3"/>
  <c r="AG277" i="3" l="1"/>
  <c r="D277" i="3"/>
  <c r="G277" i="3" s="1"/>
  <c r="E277" i="3"/>
  <c r="H277" i="3" s="1"/>
  <c r="K277" i="3" s="1"/>
  <c r="AE277" i="3" s="1"/>
  <c r="F277" i="3" l="1"/>
  <c r="V277" i="3"/>
  <c r="A278" i="3"/>
  <c r="B278" i="3" s="1"/>
  <c r="I277" i="3"/>
  <c r="J277" i="3"/>
  <c r="M277" i="3"/>
  <c r="N277" i="3" s="1"/>
  <c r="AA278" i="3" l="1"/>
  <c r="AD278" i="3"/>
  <c r="P278" i="3"/>
  <c r="Q278" i="3" s="1"/>
  <c r="R278" i="3" s="1"/>
  <c r="S278" i="3" s="1"/>
  <c r="AC278" i="3"/>
  <c r="Z278" i="3"/>
  <c r="L277" i="3"/>
  <c r="W277" i="3"/>
  <c r="U277" i="3" l="1"/>
  <c r="Y276" i="3"/>
  <c r="T278" i="3"/>
  <c r="AH278" i="3" s="1"/>
  <c r="E278" i="3" l="1"/>
  <c r="H278" i="3" s="1"/>
  <c r="K278" i="3" s="1"/>
  <c r="AE278" i="3" s="1"/>
  <c r="D278" i="3"/>
  <c r="AG278" i="3"/>
  <c r="F278" i="3" l="1"/>
  <c r="G278" i="3"/>
  <c r="I278" i="3" s="1"/>
  <c r="V278" i="3"/>
  <c r="A279" i="3"/>
  <c r="B279" i="3" s="1"/>
  <c r="M278" i="3" l="1"/>
  <c r="N278" i="3" s="1"/>
  <c r="J278" i="3"/>
  <c r="L278" i="3" s="1"/>
  <c r="W278" i="3"/>
  <c r="AA279" i="3"/>
  <c r="AC279" i="3"/>
  <c r="Z279" i="3"/>
  <c r="AD279" i="3"/>
  <c r="P279" i="3"/>
  <c r="Q279" i="3" s="1"/>
  <c r="R279" i="3" s="1"/>
  <c r="S279" i="3" s="1"/>
  <c r="T279" i="3" l="1"/>
  <c r="AG279" i="3" s="1"/>
  <c r="U278" i="3"/>
  <c r="Y277" i="3"/>
  <c r="D279" i="3" l="1"/>
  <c r="G279" i="3" s="1"/>
  <c r="AH279" i="3"/>
  <c r="E279" i="3"/>
  <c r="H279" i="3" s="1"/>
  <c r="K279" i="3" s="1"/>
  <c r="AE279" i="3" s="1"/>
  <c r="F279" i="3" l="1"/>
  <c r="V279" i="3"/>
  <c r="A280" i="3"/>
  <c r="B280" i="3" s="1"/>
  <c r="I279" i="3"/>
  <c r="J279" i="3"/>
  <c r="M279" i="3"/>
  <c r="N279" i="3" s="1"/>
  <c r="P280" i="3" l="1"/>
  <c r="Q280" i="3" s="1"/>
  <c r="R280" i="3" s="1"/>
  <c r="S280" i="3" s="1"/>
  <c r="AD280" i="3"/>
  <c r="AC280" i="3"/>
  <c r="AA280" i="3"/>
  <c r="Z280" i="3"/>
  <c r="L279" i="3"/>
  <c r="W279" i="3"/>
  <c r="U279" i="3" l="1"/>
  <c r="Y278" i="3"/>
  <c r="T280" i="3"/>
  <c r="D280" i="3" l="1"/>
  <c r="G280" i="3" s="1"/>
  <c r="E280" i="3"/>
  <c r="H280" i="3" s="1"/>
  <c r="K280" i="3" s="1"/>
  <c r="AE280" i="3" s="1"/>
  <c r="AG280" i="3"/>
  <c r="AH280" i="3"/>
  <c r="F280" i="3" l="1"/>
  <c r="V280" i="3"/>
  <c r="A281" i="3"/>
  <c r="B281" i="3" s="1"/>
  <c r="I280" i="3"/>
  <c r="J280" i="3"/>
  <c r="M280" i="3"/>
  <c r="N280" i="3" s="1"/>
  <c r="P281" i="3" l="1"/>
  <c r="Q281" i="3" s="1"/>
  <c r="R281" i="3" s="1"/>
  <c r="S281" i="3" s="1"/>
  <c r="AA281" i="3"/>
  <c r="Z281" i="3"/>
  <c r="AC281" i="3"/>
  <c r="AD281" i="3"/>
  <c r="L280" i="3"/>
  <c r="W280" i="3"/>
  <c r="U280" i="3" l="1"/>
  <c r="Y279" i="3"/>
  <c r="T281" i="3"/>
  <c r="AH281" i="3" s="1"/>
  <c r="E281" i="3" l="1"/>
  <c r="H281" i="3" s="1"/>
  <c r="K281" i="3" s="1"/>
  <c r="AE281" i="3" s="1"/>
  <c r="D281" i="3"/>
  <c r="G281" i="3" s="1"/>
  <c r="AG281" i="3"/>
  <c r="F281" i="3" l="1"/>
  <c r="I281" i="3"/>
  <c r="J281" i="3"/>
  <c r="M281" i="3"/>
  <c r="N281" i="3" s="1"/>
  <c r="V281" i="3"/>
  <c r="A282" i="3"/>
  <c r="B282" i="3" s="1"/>
  <c r="W281" i="3" l="1"/>
  <c r="AD282" i="3"/>
  <c r="AA282" i="3"/>
  <c r="Z282" i="3"/>
  <c r="P282" i="3"/>
  <c r="Q282" i="3" s="1"/>
  <c r="R282" i="3" s="1"/>
  <c r="S282" i="3" s="1"/>
  <c r="AC282" i="3"/>
  <c r="L281" i="3"/>
  <c r="T282" i="3" l="1"/>
  <c r="AH282" i="3" s="1"/>
  <c r="U281" i="3"/>
  <c r="Y280" i="3"/>
  <c r="D282" i="3" l="1"/>
  <c r="G282" i="3" s="1"/>
  <c r="AG282" i="3"/>
  <c r="E282" i="3"/>
  <c r="H282" i="3" s="1"/>
  <c r="K282" i="3" s="1"/>
  <c r="AE282" i="3" s="1"/>
  <c r="F282" i="3" l="1"/>
  <c r="V282" i="3"/>
  <c r="A283" i="3"/>
  <c r="B283" i="3" s="1"/>
  <c r="I282" i="3"/>
  <c r="J282" i="3"/>
  <c r="M282" i="3"/>
  <c r="N282" i="3" s="1"/>
  <c r="AC283" i="3" l="1"/>
  <c r="AA283" i="3"/>
  <c r="Z283" i="3"/>
  <c r="AD283" i="3"/>
  <c r="P283" i="3"/>
  <c r="Q283" i="3" s="1"/>
  <c r="R283" i="3" s="1"/>
  <c r="S283" i="3" s="1"/>
  <c r="L282" i="3"/>
  <c r="W282" i="3"/>
  <c r="T283" i="3" l="1"/>
  <c r="U282" i="3"/>
  <c r="Y281" i="3"/>
  <c r="E283" i="3" l="1"/>
  <c r="H283" i="3" s="1"/>
  <c r="K283" i="3" s="1"/>
  <c r="AE283" i="3" s="1"/>
  <c r="AG283" i="3"/>
  <c r="AH283" i="3"/>
  <c r="D283" i="3"/>
  <c r="G283" i="3" s="1"/>
  <c r="F283" i="3" l="1"/>
  <c r="I283" i="3"/>
  <c r="J283" i="3"/>
  <c r="M283" i="3"/>
  <c r="N283" i="3" s="1"/>
  <c r="V283" i="3"/>
  <c r="A284" i="3"/>
  <c r="B284" i="3" s="1"/>
  <c r="W283" i="3" l="1"/>
  <c r="L283" i="3"/>
  <c r="AC284" i="3"/>
  <c r="P284" i="3"/>
  <c r="Q284" i="3" s="1"/>
  <c r="R284" i="3" s="1"/>
  <c r="S284" i="3" s="1"/>
  <c r="AD284" i="3"/>
  <c r="Z284" i="3"/>
  <c r="AA284" i="3"/>
  <c r="T284" i="3" l="1"/>
  <c r="AG284" i="3" s="1"/>
  <c r="U283" i="3"/>
  <c r="Y282" i="3"/>
  <c r="AH284" i="3" l="1"/>
  <c r="E284" i="3"/>
  <c r="H284" i="3" s="1"/>
  <c r="K284" i="3" s="1"/>
  <c r="AE284" i="3" s="1"/>
  <c r="D284" i="3"/>
  <c r="F284" i="3" l="1"/>
  <c r="G284" i="3"/>
  <c r="V284" i="3"/>
  <c r="A285" i="3"/>
  <c r="B285" i="3" s="1"/>
  <c r="P285" i="3" l="1"/>
  <c r="Q285" i="3" s="1"/>
  <c r="R285" i="3" s="1"/>
  <c r="S285" i="3" s="1"/>
  <c r="AA285" i="3"/>
  <c r="AC285" i="3"/>
  <c r="AD285" i="3"/>
  <c r="Z285" i="3"/>
  <c r="I284" i="3"/>
  <c r="W284" i="3" s="1"/>
  <c r="J284" i="3"/>
  <c r="M284" i="3"/>
  <c r="N284" i="3" s="1"/>
  <c r="L284" i="3" l="1"/>
  <c r="T285" i="3"/>
  <c r="U284" i="3" l="1"/>
  <c r="E285" i="3" s="1"/>
  <c r="H285" i="3" s="1"/>
  <c r="AH285" i="3"/>
  <c r="AG285" i="3"/>
  <c r="Y283" i="3"/>
  <c r="D285" i="3" l="1"/>
  <c r="F285" i="3" s="1"/>
  <c r="K285" i="3"/>
  <c r="AE285" i="3" s="1"/>
  <c r="G285" i="3" l="1"/>
  <c r="I285" i="3" s="1"/>
  <c r="V285" i="3"/>
  <c r="A286" i="3"/>
  <c r="B286" i="3" s="1"/>
  <c r="M285" i="3" l="1"/>
  <c r="N285" i="3" s="1"/>
  <c r="J285" i="3"/>
  <c r="L285" i="3" s="1"/>
  <c r="W285" i="3"/>
  <c r="AD286" i="3"/>
  <c r="AC286" i="3"/>
  <c r="Z286" i="3"/>
  <c r="AA286" i="3"/>
  <c r="P286" i="3"/>
  <c r="Q286" i="3" s="1"/>
  <c r="R286" i="3" s="1"/>
  <c r="S286" i="3" s="1"/>
  <c r="T286" i="3" l="1"/>
  <c r="AH286" i="3" s="1"/>
  <c r="U285" i="3"/>
  <c r="Y284" i="3"/>
  <c r="D286" i="3" l="1"/>
  <c r="G286" i="3" s="1"/>
  <c r="AG286" i="3"/>
  <c r="E286" i="3"/>
  <c r="H286" i="3" s="1"/>
  <c r="K286" i="3" l="1"/>
  <c r="AE286" i="3" s="1"/>
  <c r="I286" i="3"/>
  <c r="J286" i="3"/>
  <c r="M286" i="3"/>
  <c r="N286" i="3" s="1"/>
  <c r="F286" i="3"/>
  <c r="L286" i="3" l="1"/>
  <c r="V286" i="3"/>
  <c r="W286" i="3" s="1"/>
  <c r="A287" i="3"/>
  <c r="B287" i="3" s="1"/>
  <c r="AD287" i="3" l="1"/>
  <c r="AA287" i="3"/>
  <c r="Z287" i="3"/>
  <c r="P287" i="3"/>
  <c r="Q287" i="3" s="1"/>
  <c r="R287" i="3" s="1"/>
  <c r="S287" i="3" s="1"/>
  <c r="AC287" i="3"/>
  <c r="U286" i="3"/>
  <c r="Y285" i="3"/>
  <c r="T287" i="3" l="1"/>
  <c r="D287" i="3" s="1"/>
  <c r="E287" i="3" l="1"/>
  <c r="H287" i="3" s="1"/>
  <c r="K287" i="3" s="1"/>
  <c r="AE287" i="3" s="1"/>
  <c r="AG287" i="3"/>
  <c r="AH287" i="3"/>
  <c r="G287" i="3"/>
  <c r="F287" i="3" l="1"/>
  <c r="I287" i="3"/>
  <c r="J287" i="3"/>
  <c r="M287" i="3"/>
  <c r="N287" i="3" s="1"/>
  <c r="V287" i="3"/>
  <c r="A288" i="3"/>
  <c r="B288" i="3" s="1"/>
  <c r="W287" i="3" l="1"/>
  <c r="P288" i="3"/>
  <c r="Q288" i="3" s="1"/>
  <c r="R288" i="3" s="1"/>
  <c r="S288" i="3" s="1"/>
  <c r="Z288" i="3"/>
  <c r="AD288" i="3"/>
  <c r="AA288" i="3"/>
  <c r="AC288" i="3"/>
  <c r="L287" i="3"/>
  <c r="U287" i="3" l="1"/>
  <c r="Y286" i="3"/>
  <c r="T288" i="3"/>
  <c r="AG288" i="3" s="1"/>
  <c r="D288" i="3" l="1"/>
  <c r="G288" i="3" s="1"/>
  <c r="AH288" i="3"/>
  <c r="E288" i="3"/>
  <c r="H288" i="3" s="1"/>
  <c r="K288" i="3" l="1"/>
  <c r="AE288" i="3" s="1"/>
  <c r="I288" i="3"/>
  <c r="J288" i="3"/>
  <c r="M288" i="3"/>
  <c r="N288" i="3" s="1"/>
  <c r="F288" i="3"/>
  <c r="L288" i="3" l="1"/>
  <c r="V288" i="3"/>
  <c r="W288" i="3" s="1"/>
  <c r="A289" i="3"/>
  <c r="B289" i="3" s="1"/>
  <c r="AD289" i="3" l="1"/>
  <c r="P289" i="3"/>
  <c r="Q289" i="3" s="1"/>
  <c r="R289" i="3" s="1"/>
  <c r="S289" i="3" s="1"/>
  <c r="Z289" i="3"/>
  <c r="AA289" i="3"/>
  <c r="AC289" i="3"/>
  <c r="U288" i="3"/>
  <c r="Y287" i="3"/>
  <c r="T289" i="3" l="1"/>
  <c r="E289" i="3" s="1"/>
  <c r="H289" i="3" s="1"/>
  <c r="D289" i="3" l="1"/>
  <c r="F289" i="3" s="1"/>
  <c r="K289" i="3"/>
  <c r="AE289" i="3" s="1"/>
  <c r="AH289" i="3"/>
  <c r="AG289" i="3"/>
  <c r="G289" i="3" l="1"/>
  <c r="I289" i="3" s="1"/>
  <c r="V289" i="3"/>
  <c r="A290" i="3"/>
  <c r="B290" i="3" s="1"/>
  <c r="M289" i="3" l="1"/>
  <c r="N289" i="3" s="1"/>
  <c r="J289" i="3"/>
  <c r="L289" i="3" s="1"/>
  <c r="W289" i="3"/>
  <c r="AA290" i="3"/>
  <c r="AC290" i="3"/>
  <c r="Z290" i="3"/>
  <c r="AD290" i="3"/>
  <c r="P290" i="3"/>
  <c r="Q290" i="3" s="1"/>
  <c r="R290" i="3" s="1"/>
  <c r="S290" i="3" s="1"/>
  <c r="T290" i="3" l="1"/>
  <c r="AH290" i="3" s="1"/>
  <c r="U289" i="3"/>
  <c r="Y288" i="3"/>
  <c r="D290" i="3" l="1"/>
  <c r="G290" i="3" s="1"/>
  <c r="AG290" i="3"/>
  <c r="E290" i="3"/>
  <c r="H290" i="3" s="1"/>
  <c r="K290" i="3" s="1"/>
  <c r="AE290" i="3" s="1"/>
  <c r="F290" i="3" l="1"/>
  <c r="V290" i="3"/>
  <c r="A291" i="3"/>
  <c r="B291" i="3" s="1"/>
  <c r="I290" i="3"/>
  <c r="J290" i="3"/>
  <c r="M290" i="3"/>
  <c r="N290" i="3" s="1"/>
  <c r="L290" i="3" l="1"/>
  <c r="P291" i="3"/>
  <c r="Q291" i="3" s="1"/>
  <c r="R291" i="3" s="1"/>
  <c r="S291" i="3" s="1"/>
  <c r="AD291" i="3"/>
  <c r="Z291" i="3"/>
  <c r="AC291" i="3"/>
  <c r="AA291" i="3"/>
  <c r="W290" i="3"/>
  <c r="T291" i="3" l="1"/>
  <c r="AH291" i="3" s="1"/>
  <c r="U290" i="3"/>
  <c r="Y289" i="3"/>
  <c r="AG291" i="3" l="1"/>
  <c r="D291" i="3"/>
  <c r="G291" i="3" s="1"/>
  <c r="E291" i="3"/>
  <c r="H291" i="3" s="1"/>
  <c r="K291" i="3" s="1"/>
  <c r="AE291" i="3" s="1"/>
  <c r="F291" i="3" l="1"/>
  <c r="V291" i="3"/>
  <c r="A292" i="3"/>
  <c r="B292" i="3" s="1"/>
  <c r="I291" i="3"/>
  <c r="J291" i="3"/>
  <c r="M291" i="3"/>
  <c r="N291" i="3" s="1"/>
  <c r="W291" i="3" l="1"/>
  <c r="Z292" i="3"/>
  <c r="AC292" i="3"/>
  <c r="AD292" i="3"/>
  <c r="AA292" i="3"/>
  <c r="P292" i="3"/>
  <c r="Q292" i="3" s="1"/>
  <c r="R292" i="3" s="1"/>
  <c r="S292" i="3" s="1"/>
  <c r="L291" i="3"/>
  <c r="T292" i="3" l="1"/>
  <c r="AH292" i="3" s="1"/>
  <c r="U291" i="3"/>
  <c r="Y290" i="3"/>
  <c r="D292" i="3" l="1"/>
  <c r="G292" i="3" s="1"/>
  <c r="AG292" i="3"/>
  <c r="E292" i="3"/>
  <c r="H292" i="3" s="1"/>
  <c r="K292" i="3" s="1"/>
  <c r="AE292" i="3" s="1"/>
  <c r="F292" i="3" l="1"/>
  <c r="I292" i="3"/>
  <c r="J292" i="3"/>
  <c r="M292" i="3"/>
  <c r="N292" i="3" s="1"/>
  <c r="V292" i="3"/>
  <c r="A293" i="3"/>
  <c r="B293" i="3" s="1"/>
  <c r="W292" i="3" l="1"/>
  <c r="AD293" i="3"/>
  <c r="P293" i="3"/>
  <c r="Q293" i="3" s="1"/>
  <c r="R293" i="3" s="1"/>
  <c r="S293" i="3" s="1"/>
  <c r="AC293" i="3"/>
  <c r="AA293" i="3"/>
  <c r="Z293" i="3"/>
  <c r="L292" i="3"/>
  <c r="T293" i="3" l="1"/>
  <c r="AG293" i="3" s="1"/>
  <c r="U292" i="3"/>
  <c r="Y291" i="3"/>
  <c r="E293" i="3" l="1"/>
  <c r="H293" i="3" s="1"/>
  <c r="K293" i="3" s="1"/>
  <c r="AE293" i="3" s="1"/>
  <c r="AH293" i="3"/>
  <c r="D293" i="3"/>
  <c r="F293" i="3" l="1"/>
  <c r="G293" i="3"/>
  <c r="J293" i="3" s="1"/>
  <c r="V293" i="3"/>
  <c r="A294" i="3"/>
  <c r="B294" i="3" s="1"/>
  <c r="I293" i="3" l="1"/>
  <c r="W293" i="3" s="1"/>
  <c r="M293" i="3"/>
  <c r="N293" i="3" s="1"/>
  <c r="L293" i="3"/>
  <c r="P294" i="3"/>
  <c r="Q294" i="3" s="1"/>
  <c r="R294" i="3" s="1"/>
  <c r="S294" i="3" s="1"/>
  <c r="AA294" i="3"/>
  <c r="AC294" i="3"/>
  <c r="Z294" i="3"/>
  <c r="AD294" i="3"/>
  <c r="T294" i="3" l="1"/>
  <c r="AH294" i="3" s="1"/>
  <c r="U293" i="3"/>
  <c r="Y292" i="3"/>
  <c r="AG294" i="3" l="1"/>
  <c r="D294" i="3"/>
  <c r="G294" i="3" s="1"/>
  <c r="E294" i="3"/>
  <c r="H294" i="3" s="1"/>
  <c r="K294" i="3" s="1"/>
  <c r="AE294" i="3" s="1"/>
  <c r="F294" i="3" l="1"/>
  <c r="I294" i="3"/>
  <c r="J294" i="3"/>
  <c r="M294" i="3"/>
  <c r="N294" i="3" s="1"/>
  <c r="V294" i="3"/>
  <c r="A295" i="3"/>
  <c r="B295" i="3" s="1"/>
  <c r="W294" i="3" l="1"/>
  <c r="AC295" i="3"/>
  <c r="AA295" i="3"/>
  <c r="AD295" i="3"/>
  <c r="P295" i="3"/>
  <c r="Q295" i="3" s="1"/>
  <c r="R295" i="3" s="1"/>
  <c r="S295" i="3" s="1"/>
  <c r="Z295" i="3"/>
  <c r="L294" i="3"/>
  <c r="T295" i="3" l="1"/>
  <c r="AG295" i="3" s="1"/>
  <c r="U294" i="3"/>
  <c r="Y293" i="3"/>
  <c r="E295" i="3" l="1"/>
  <c r="H295" i="3" s="1"/>
  <c r="K295" i="3" s="1"/>
  <c r="AE295" i="3" s="1"/>
  <c r="AH295" i="3"/>
  <c r="D295" i="3"/>
  <c r="F295" i="3" l="1"/>
  <c r="G295" i="3"/>
  <c r="V295" i="3"/>
  <c r="A296" i="3"/>
  <c r="B296" i="3" s="1"/>
  <c r="AC296" i="3" l="1"/>
  <c r="Z296" i="3"/>
  <c r="AD296" i="3"/>
  <c r="AA296" i="3"/>
  <c r="P296" i="3"/>
  <c r="Q296" i="3" s="1"/>
  <c r="R296" i="3" s="1"/>
  <c r="S296" i="3" s="1"/>
  <c r="I295" i="3"/>
  <c r="W295" i="3" s="1"/>
  <c r="J295" i="3"/>
  <c r="M295" i="3"/>
  <c r="N295" i="3" s="1"/>
  <c r="L295" i="3" l="1"/>
  <c r="T296" i="3"/>
  <c r="U295" i="3" l="1"/>
  <c r="D296" i="3" s="1"/>
  <c r="AG296" i="3"/>
  <c r="AH296" i="3"/>
  <c r="Y294" i="3"/>
  <c r="E296" i="3" l="1"/>
  <c r="H296" i="3" s="1"/>
  <c r="K296" i="3" s="1"/>
  <c r="AE296" i="3" s="1"/>
  <c r="G296" i="3"/>
  <c r="F296" i="3" l="1"/>
  <c r="V296" i="3"/>
  <c r="A297" i="3"/>
  <c r="B297" i="3" s="1"/>
  <c r="I296" i="3"/>
  <c r="J296" i="3"/>
  <c r="M296" i="3"/>
  <c r="N296" i="3" s="1"/>
  <c r="L296" i="3" l="1"/>
  <c r="P297" i="3"/>
  <c r="Q297" i="3" s="1"/>
  <c r="R297" i="3" s="1"/>
  <c r="S297" i="3" s="1"/>
  <c r="AC297" i="3"/>
  <c r="AD297" i="3"/>
  <c r="AA297" i="3"/>
  <c r="Z297" i="3"/>
  <c r="W296" i="3"/>
  <c r="T297" i="3" l="1"/>
  <c r="AG297" i="3" s="1"/>
  <c r="U296" i="3"/>
  <c r="Y295" i="3"/>
  <c r="AH297" i="3" l="1"/>
  <c r="D297" i="3"/>
  <c r="G297" i="3" s="1"/>
  <c r="E297" i="3"/>
  <c r="H297" i="3" s="1"/>
  <c r="K297" i="3" s="1"/>
  <c r="AE297" i="3" s="1"/>
  <c r="F297" i="3" l="1"/>
  <c r="V297" i="3"/>
  <c r="A298" i="3"/>
  <c r="B298" i="3" s="1"/>
  <c r="I297" i="3"/>
  <c r="J297" i="3"/>
  <c r="M297" i="3"/>
  <c r="N297" i="3" s="1"/>
  <c r="L297" i="3" l="1"/>
  <c r="P298" i="3"/>
  <c r="Q298" i="3" s="1"/>
  <c r="R298" i="3" s="1"/>
  <c r="S298" i="3" s="1"/>
  <c r="AD298" i="3"/>
  <c r="AA298" i="3"/>
  <c r="AC298" i="3"/>
  <c r="Z298" i="3"/>
  <c r="W297" i="3"/>
  <c r="T298" i="3" l="1"/>
  <c r="AH298" i="3" s="1"/>
  <c r="U297" i="3"/>
  <c r="Y296" i="3"/>
  <c r="AG298" i="3" l="1"/>
  <c r="D298" i="3"/>
  <c r="G298" i="3" s="1"/>
  <c r="E298" i="3"/>
  <c r="H298" i="3" s="1"/>
  <c r="I298" i="3" l="1"/>
  <c r="J298" i="3"/>
  <c r="M298" i="3"/>
  <c r="N298" i="3" s="1"/>
  <c r="K298" i="3"/>
  <c r="AE298" i="3" s="1"/>
  <c r="F298" i="3"/>
  <c r="V298" i="3" l="1"/>
  <c r="W298" i="3" s="1"/>
  <c r="A299" i="3"/>
  <c r="B299" i="3" s="1"/>
  <c r="L298" i="3"/>
  <c r="U298" i="3" l="1"/>
  <c r="Y297" i="3"/>
  <c r="AC299" i="3"/>
  <c r="Z299" i="3"/>
  <c r="AD299" i="3"/>
  <c r="AA299" i="3"/>
  <c r="P299" i="3"/>
  <c r="Q299" i="3" s="1"/>
  <c r="R299" i="3" s="1"/>
  <c r="S299" i="3" s="1"/>
  <c r="T299" i="3" l="1"/>
  <c r="E299" i="3" s="1"/>
  <c r="H299" i="3" s="1"/>
  <c r="D299" i="3" l="1"/>
  <c r="F299" i="3" s="1"/>
  <c r="AH299" i="3"/>
  <c r="AG299" i="3"/>
  <c r="K299" i="3"/>
  <c r="AE299" i="3" s="1"/>
  <c r="G299" i="3" l="1"/>
  <c r="I299" i="3" s="1"/>
  <c r="V299" i="3"/>
  <c r="A300" i="3"/>
  <c r="B300" i="3" s="1"/>
  <c r="J299" i="3" l="1"/>
  <c r="L299" i="3" s="1"/>
  <c r="M299" i="3"/>
  <c r="N299" i="3" s="1"/>
  <c r="P300" i="3"/>
  <c r="Q300" i="3" s="1"/>
  <c r="R300" i="3" s="1"/>
  <c r="S300" i="3" s="1"/>
  <c r="AC300" i="3"/>
  <c r="Z300" i="3"/>
  <c r="AD300" i="3"/>
  <c r="AA300" i="3"/>
  <c r="W299" i="3"/>
  <c r="T300" i="3" l="1"/>
  <c r="U299" i="3"/>
  <c r="Y298" i="3"/>
  <c r="E300" i="3" l="1"/>
  <c r="H300" i="3" s="1"/>
  <c r="K300" i="3" s="1"/>
  <c r="AE300" i="3" s="1"/>
  <c r="AH300" i="3"/>
  <c r="AG300" i="3"/>
  <c r="D300" i="3"/>
  <c r="F300" i="3" l="1"/>
  <c r="G300" i="3"/>
  <c r="V300" i="3"/>
  <c r="A301" i="3"/>
  <c r="B301" i="3" s="1"/>
  <c r="Z301" i="3" l="1"/>
  <c r="AD301" i="3"/>
  <c r="AA301" i="3"/>
  <c r="AC301" i="3"/>
  <c r="P301" i="3"/>
  <c r="Q301" i="3" s="1"/>
  <c r="R301" i="3" s="1"/>
  <c r="S301" i="3" s="1"/>
  <c r="I300" i="3"/>
  <c r="W300" i="3" s="1"/>
  <c r="J300" i="3"/>
  <c r="M300" i="3"/>
  <c r="N300" i="3" s="1"/>
  <c r="L300" i="3" l="1"/>
  <c r="T301" i="3"/>
  <c r="U300" i="3" l="1"/>
  <c r="D301" i="3" s="1"/>
  <c r="AG301" i="3"/>
  <c r="AH301" i="3"/>
  <c r="Y299" i="3"/>
  <c r="E301" i="3" l="1"/>
  <c r="H301" i="3" s="1"/>
  <c r="K301" i="3" s="1"/>
  <c r="AE301" i="3" s="1"/>
  <c r="G301" i="3"/>
  <c r="F301" i="3" l="1"/>
  <c r="V301" i="3"/>
  <c r="A302" i="3"/>
  <c r="B302" i="3" s="1"/>
  <c r="I301" i="3"/>
  <c r="J301" i="3"/>
  <c r="M301" i="3"/>
  <c r="N301" i="3" s="1"/>
  <c r="Z302" i="3" l="1"/>
  <c r="P302" i="3"/>
  <c r="Q302" i="3" s="1"/>
  <c r="R302" i="3" s="1"/>
  <c r="S302" i="3" s="1"/>
  <c r="AD302" i="3"/>
  <c r="AA302" i="3"/>
  <c r="AC302" i="3"/>
  <c r="L301" i="3"/>
  <c r="W301" i="3"/>
  <c r="T302" i="3" l="1"/>
  <c r="U301" i="3"/>
  <c r="Y300" i="3"/>
  <c r="D302" i="3" l="1"/>
  <c r="AG302" i="3"/>
  <c r="E302" i="3"/>
  <c r="H302" i="3" s="1"/>
  <c r="K302" i="3" s="1"/>
  <c r="AE302" i="3" s="1"/>
  <c r="AH302" i="3"/>
  <c r="F302" i="3" l="1"/>
  <c r="G302" i="3"/>
  <c r="I302" i="3" s="1"/>
  <c r="V302" i="3"/>
  <c r="A303" i="3"/>
  <c r="B303" i="3" s="1"/>
  <c r="M302" i="3" l="1"/>
  <c r="N302" i="3" s="1"/>
  <c r="J302" i="3"/>
  <c r="L302" i="3" s="1"/>
  <c r="P303" i="3"/>
  <c r="Q303" i="3" s="1"/>
  <c r="R303" i="3" s="1"/>
  <c r="S303" i="3" s="1"/>
  <c r="AD303" i="3"/>
  <c r="Z303" i="3"/>
  <c r="AA303" i="3"/>
  <c r="AC303" i="3"/>
  <c r="W302" i="3"/>
  <c r="U302" i="3" l="1"/>
  <c r="Y301" i="3"/>
  <c r="T303" i="3"/>
  <c r="D303" i="3" l="1"/>
  <c r="G303" i="3" s="1"/>
  <c r="AG303" i="3"/>
  <c r="AH303" i="3"/>
  <c r="E303" i="3"/>
  <c r="H303" i="3" s="1"/>
  <c r="K303" i="3" l="1"/>
  <c r="AE303" i="3" s="1"/>
  <c r="I303" i="3"/>
  <c r="J303" i="3"/>
  <c r="M303" i="3"/>
  <c r="N303" i="3" s="1"/>
  <c r="F303" i="3"/>
  <c r="L303" i="3" l="1"/>
  <c r="V303" i="3"/>
  <c r="W303" i="3" s="1"/>
  <c r="A304" i="3"/>
  <c r="B304" i="3" s="1"/>
  <c r="AA304" i="3" l="1"/>
  <c r="Z304" i="3"/>
  <c r="AC304" i="3"/>
  <c r="P304" i="3"/>
  <c r="Q304" i="3" s="1"/>
  <c r="R304" i="3" s="1"/>
  <c r="S304" i="3" s="1"/>
  <c r="U303" i="3"/>
  <c r="Y302" i="3"/>
  <c r="T304" i="3" l="1"/>
  <c r="AH304" i="3" s="1"/>
  <c r="D304" i="3" l="1"/>
  <c r="G304" i="3" s="1"/>
  <c r="AG304" i="3"/>
  <c r="E304" i="3"/>
  <c r="H304" i="3" s="1"/>
  <c r="K304" i="3" s="1"/>
  <c r="AE304" i="3" s="1"/>
  <c r="F304" i="3" l="1"/>
  <c r="I304" i="3"/>
  <c r="J304" i="3"/>
  <c r="AD304" i="3" s="1"/>
  <c r="M304" i="3"/>
  <c r="N304" i="3" s="1"/>
  <c r="V304" i="3"/>
  <c r="A305" i="3"/>
  <c r="B305" i="3" s="1"/>
  <c r="W304" i="3" l="1"/>
  <c r="AA305" i="3"/>
  <c r="P305" i="3"/>
  <c r="Q305" i="3" s="1"/>
  <c r="R305" i="3" s="1"/>
  <c r="S305" i="3" s="1"/>
  <c r="Z305" i="3"/>
  <c r="AD305" i="3"/>
  <c r="AC305" i="3"/>
  <c r="L304" i="3"/>
  <c r="T305" i="3" l="1"/>
  <c r="AG305" i="3" s="1"/>
  <c r="U304" i="3"/>
  <c r="Y303" i="3"/>
  <c r="D305" i="3" l="1"/>
  <c r="G305" i="3" s="1"/>
  <c r="AH305" i="3"/>
  <c r="E305" i="3"/>
  <c r="H305" i="3" s="1"/>
  <c r="K305" i="3" l="1"/>
  <c r="AE305" i="3" s="1"/>
  <c r="I305" i="3"/>
  <c r="J305" i="3"/>
  <c r="M305" i="3"/>
  <c r="N305" i="3" s="1"/>
  <c r="F305" i="3"/>
  <c r="L305" i="3" l="1"/>
  <c r="V305" i="3"/>
  <c r="W305" i="3" s="1"/>
  <c r="A306" i="3"/>
  <c r="B306" i="3" s="1"/>
  <c r="P306" i="3" l="1"/>
  <c r="Q306" i="3" s="1"/>
  <c r="R306" i="3" s="1"/>
  <c r="S306" i="3" s="1"/>
  <c r="AD306" i="3"/>
  <c r="AA306" i="3"/>
  <c r="Z306" i="3"/>
  <c r="AC306" i="3"/>
  <c r="U305" i="3"/>
  <c r="Y304" i="3"/>
  <c r="T306" i="3" l="1"/>
  <c r="E306" i="3" s="1"/>
  <c r="H306" i="3" s="1"/>
  <c r="AG306" i="3" l="1"/>
  <c r="D306" i="3"/>
  <c r="F306" i="3" s="1"/>
  <c r="AH306" i="3"/>
  <c r="K306" i="3"/>
  <c r="AE306" i="3" s="1"/>
  <c r="G306" i="3" l="1"/>
  <c r="I306" i="3" s="1"/>
  <c r="V306" i="3"/>
  <c r="A307" i="3"/>
  <c r="B307" i="3" s="1"/>
  <c r="M306" i="3" l="1"/>
  <c r="N306" i="3" s="1"/>
  <c r="J306" i="3"/>
  <c r="L306" i="3" s="1"/>
  <c r="AC307" i="3"/>
  <c r="P307" i="3"/>
  <c r="Q307" i="3" s="1"/>
  <c r="R307" i="3" s="1"/>
  <c r="S307" i="3" s="1"/>
  <c r="AD307" i="3"/>
  <c r="AA307" i="3"/>
  <c r="Z307" i="3"/>
  <c r="W306" i="3"/>
  <c r="T307" i="3" l="1"/>
  <c r="AG307" i="3" s="1"/>
  <c r="U306" i="3"/>
  <c r="Y305" i="3"/>
  <c r="D307" i="3" l="1"/>
  <c r="G307" i="3" s="1"/>
  <c r="AH307" i="3"/>
  <c r="E307" i="3"/>
  <c r="H307" i="3" s="1"/>
  <c r="K307" i="3" s="1"/>
  <c r="AE307" i="3" s="1"/>
  <c r="F307" i="3" l="1"/>
  <c r="V307" i="3"/>
  <c r="A308" i="3"/>
  <c r="B308" i="3" s="1"/>
  <c r="I307" i="3"/>
  <c r="J307" i="3"/>
  <c r="M307" i="3"/>
  <c r="N307" i="3" s="1"/>
  <c r="L307" i="3" l="1"/>
  <c r="Z308" i="3"/>
  <c r="AD308" i="3"/>
  <c r="AA308" i="3"/>
  <c r="AC308" i="3"/>
  <c r="P308" i="3"/>
  <c r="Q308" i="3" s="1"/>
  <c r="R308" i="3" s="1"/>
  <c r="S308" i="3" s="1"/>
  <c r="W307" i="3"/>
  <c r="T308" i="3" l="1"/>
  <c r="AH308" i="3" s="1"/>
  <c r="U307" i="3"/>
  <c r="Y306" i="3"/>
  <c r="AG308" i="3" l="1"/>
  <c r="E308" i="3"/>
  <c r="H308" i="3" s="1"/>
  <c r="K308" i="3" s="1"/>
  <c r="AE308" i="3" s="1"/>
  <c r="D308" i="3"/>
  <c r="G308" i="3" s="1"/>
  <c r="F308" i="3" l="1"/>
  <c r="I308" i="3"/>
  <c r="J308" i="3"/>
  <c r="M308" i="3"/>
  <c r="N308" i="3" s="1"/>
  <c r="V308" i="3"/>
  <c r="A309" i="3"/>
  <c r="B309" i="3" s="1"/>
  <c r="W308" i="3" l="1"/>
  <c r="P309" i="3"/>
  <c r="Q309" i="3" s="1"/>
  <c r="R309" i="3" s="1"/>
  <c r="S309" i="3" s="1"/>
  <c r="Z309" i="3"/>
  <c r="AC309" i="3"/>
  <c r="AD309" i="3"/>
  <c r="AA309" i="3"/>
  <c r="L308" i="3"/>
  <c r="T309" i="3" l="1"/>
  <c r="AG309" i="3" s="1"/>
  <c r="U308" i="3"/>
  <c r="Y307" i="3"/>
  <c r="E309" i="3" l="1"/>
  <c r="H309" i="3" s="1"/>
  <c r="K309" i="3" s="1"/>
  <c r="AE309" i="3" s="1"/>
  <c r="AH309" i="3"/>
  <c r="D309" i="3"/>
  <c r="V309" i="3" l="1"/>
  <c r="A310" i="3"/>
  <c r="B310" i="3" s="1"/>
  <c r="F309" i="3"/>
  <c r="G309" i="3"/>
  <c r="I309" i="3" l="1"/>
  <c r="W309" i="3" s="1"/>
  <c r="J309" i="3"/>
  <c r="M309" i="3"/>
  <c r="N309" i="3" s="1"/>
  <c r="P310" i="3"/>
  <c r="Q310" i="3" s="1"/>
  <c r="R310" i="3" s="1"/>
  <c r="S310" i="3" s="1"/>
  <c r="AA310" i="3"/>
  <c r="Z310" i="3"/>
  <c r="AC310" i="3"/>
  <c r="AD310" i="3"/>
  <c r="L309" i="3" l="1"/>
  <c r="T310" i="3"/>
  <c r="AH310" i="3" l="1"/>
  <c r="U309" i="3"/>
  <c r="D310" i="3" s="1"/>
  <c r="AG310" i="3"/>
  <c r="Y308" i="3"/>
  <c r="E310" i="3" l="1"/>
  <c r="H310" i="3" s="1"/>
  <c r="K310" i="3" s="1"/>
  <c r="AE310" i="3" s="1"/>
  <c r="G310" i="3"/>
  <c r="F310" i="3" l="1"/>
  <c r="V310" i="3"/>
  <c r="A311" i="3"/>
  <c r="B311" i="3" s="1"/>
  <c r="I310" i="3"/>
  <c r="J310" i="3"/>
  <c r="M310" i="3"/>
  <c r="N310" i="3" s="1"/>
  <c r="L310" i="3" l="1"/>
  <c r="Z311" i="3"/>
  <c r="P311" i="3"/>
  <c r="Q311" i="3" s="1"/>
  <c r="R311" i="3" s="1"/>
  <c r="S311" i="3" s="1"/>
  <c r="AA311" i="3"/>
  <c r="AC311" i="3"/>
  <c r="AD311" i="3"/>
  <c r="W310" i="3"/>
  <c r="T311" i="3" l="1"/>
  <c r="AH311" i="3" s="1"/>
  <c r="U310" i="3"/>
  <c r="Y309" i="3"/>
  <c r="D311" i="3" l="1"/>
  <c r="G311" i="3" s="1"/>
  <c r="AG311" i="3"/>
  <c r="E311" i="3"/>
  <c r="H311" i="3" s="1"/>
  <c r="F311" i="3" l="1"/>
  <c r="I311" i="3"/>
  <c r="J311" i="3"/>
  <c r="M311" i="3"/>
  <c r="N311" i="3" s="1"/>
  <c r="K311" i="3"/>
  <c r="AE311" i="3" s="1"/>
  <c r="V311" i="3" l="1"/>
  <c r="W311" i="3" s="1"/>
  <c r="A312" i="3"/>
  <c r="B312" i="3" s="1"/>
  <c r="L311" i="3"/>
  <c r="U311" i="3" l="1"/>
  <c r="Y310" i="3"/>
  <c r="P312" i="3"/>
  <c r="Q312" i="3" s="1"/>
  <c r="R312" i="3" s="1"/>
  <c r="S312" i="3" s="1"/>
  <c r="AD312" i="3"/>
  <c r="AC312" i="3"/>
  <c r="AA312" i="3"/>
  <c r="Z312" i="3"/>
  <c r="T312" i="3" l="1"/>
  <c r="AG312" i="3" s="1"/>
  <c r="AH312" i="3" l="1"/>
  <c r="E312" i="3"/>
  <c r="H312" i="3" s="1"/>
  <c r="K312" i="3" s="1"/>
  <c r="AE312" i="3" s="1"/>
  <c r="D312" i="3"/>
  <c r="G312" i="3" s="1"/>
  <c r="F312" i="3" l="1"/>
  <c r="V312" i="3"/>
  <c r="A313" i="3"/>
  <c r="B313" i="3" s="1"/>
  <c r="I312" i="3"/>
  <c r="J312" i="3"/>
  <c r="M312" i="3"/>
  <c r="N312" i="3" s="1"/>
  <c r="L312" i="3" l="1"/>
  <c r="AD313" i="3"/>
  <c r="AA313" i="3"/>
  <c r="Z313" i="3"/>
  <c r="AC313" i="3"/>
  <c r="P313" i="3"/>
  <c r="Q313" i="3" s="1"/>
  <c r="R313" i="3" s="1"/>
  <c r="S313" i="3" s="1"/>
  <c r="W312" i="3"/>
  <c r="T313" i="3" l="1"/>
  <c r="AH313" i="3" s="1"/>
  <c r="U312" i="3"/>
  <c r="Y311" i="3"/>
  <c r="AG313" i="3" l="1"/>
  <c r="E313" i="3"/>
  <c r="H313" i="3" s="1"/>
  <c r="K313" i="3" s="1"/>
  <c r="AE313" i="3" s="1"/>
  <c r="D313" i="3"/>
  <c r="F313" i="3" l="1"/>
  <c r="G313" i="3"/>
  <c r="I313" i="3" s="1"/>
  <c r="V313" i="3"/>
  <c r="A314" i="3"/>
  <c r="B314" i="3" s="1"/>
  <c r="J313" i="3" l="1"/>
  <c r="L313" i="3" s="1"/>
  <c r="M313" i="3"/>
  <c r="N313" i="3" s="1"/>
  <c r="W313" i="3"/>
  <c r="AA314" i="3"/>
  <c r="P314" i="3"/>
  <c r="Q314" i="3" s="1"/>
  <c r="R314" i="3" s="1"/>
  <c r="S314" i="3" s="1"/>
  <c r="AC314" i="3"/>
  <c r="Z314" i="3"/>
  <c r="AD314" i="3"/>
  <c r="T314" i="3" l="1"/>
  <c r="AG314" i="3" s="1"/>
  <c r="U313" i="3"/>
  <c r="Y312" i="3"/>
  <c r="AH314" i="3" l="1"/>
  <c r="D314" i="3"/>
  <c r="G314" i="3" s="1"/>
  <c r="E314" i="3"/>
  <c r="H314" i="3" s="1"/>
  <c r="K314" i="3" s="1"/>
  <c r="AE314" i="3" s="1"/>
  <c r="F314" i="3" l="1"/>
  <c r="I314" i="3"/>
  <c r="J314" i="3"/>
  <c r="M314" i="3"/>
  <c r="N314" i="3" s="1"/>
  <c r="V314" i="3"/>
  <c r="A315" i="3"/>
  <c r="B315" i="3" s="1"/>
  <c r="W314" i="3" l="1"/>
  <c r="Z315" i="3"/>
  <c r="P315" i="3"/>
  <c r="Q315" i="3" s="1"/>
  <c r="R315" i="3" s="1"/>
  <c r="S315" i="3" s="1"/>
  <c r="AC315" i="3"/>
  <c r="AD315" i="3"/>
  <c r="AA315" i="3"/>
  <c r="L314" i="3"/>
  <c r="T315" i="3" l="1"/>
  <c r="AG315" i="3" s="1"/>
  <c r="U314" i="3"/>
  <c r="Y313" i="3"/>
  <c r="AH315" i="3" l="1"/>
  <c r="D315" i="3"/>
  <c r="G315" i="3" s="1"/>
  <c r="E315" i="3"/>
  <c r="H315" i="3" s="1"/>
  <c r="K315" i="3" s="1"/>
  <c r="AE315" i="3" s="1"/>
  <c r="F315" i="3" l="1"/>
  <c r="V315" i="3"/>
  <c r="A316" i="3"/>
  <c r="B316" i="3" s="1"/>
  <c r="I315" i="3"/>
  <c r="J315" i="3"/>
  <c r="M315" i="3"/>
  <c r="N315" i="3" s="1"/>
  <c r="L315" i="3" l="1"/>
  <c r="Z316" i="3"/>
  <c r="AC316" i="3"/>
  <c r="P316" i="3"/>
  <c r="Q316" i="3" s="1"/>
  <c r="R316" i="3" s="1"/>
  <c r="S316" i="3" s="1"/>
  <c r="AA316" i="3"/>
  <c r="AD316" i="3"/>
  <c r="W315" i="3"/>
  <c r="T316" i="3" l="1"/>
  <c r="AG316" i="3" s="1"/>
  <c r="U315" i="3"/>
  <c r="Y314" i="3"/>
  <c r="D316" i="3" l="1"/>
  <c r="G316" i="3" s="1"/>
  <c r="AH316" i="3"/>
  <c r="E316" i="3"/>
  <c r="H316" i="3" s="1"/>
  <c r="K316" i="3" s="1"/>
  <c r="AE316" i="3" s="1"/>
  <c r="F316" i="3" l="1"/>
  <c r="V316" i="3"/>
  <c r="A317" i="3"/>
  <c r="B317" i="3" s="1"/>
  <c r="I316" i="3"/>
  <c r="J316" i="3"/>
  <c r="M316" i="3"/>
  <c r="N316" i="3" s="1"/>
  <c r="AD317" i="3" l="1"/>
  <c r="AC317" i="3"/>
  <c r="AA317" i="3"/>
  <c r="P317" i="3"/>
  <c r="Q317" i="3" s="1"/>
  <c r="R317" i="3" s="1"/>
  <c r="S317" i="3" s="1"/>
  <c r="Z317" i="3"/>
  <c r="L316" i="3"/>
  <c r="W316" i="3"/>
  <c r="T317" i="3" l="1"/>
  <c r="AH317" i="3" s="1"/>
  <c r="U316" i="3"/>
  <c r="Y315" i="3"/>
  <c r="E317" i="3" l="1"/>
  <c r="H317" i="3" s="1"/>
  <c r="K317" i="3" s="1"/>
  <c r="AE317" i="3" s="1"/>
  <c r="AG317" i="3"/>
  <c r="D317" i="3"/>
  <c r="F317" i="3" l="1"/>
  <c r="G317" i="3"/>
  <c r="V317" i="3"/>
  <c r="A318" i="3"/>
  <c r="B318" i="3" s="1"/>
  <c r="AA318" i="3" l="1"/>
  <c r="P318" i="3"/>
  <c r="Q318" i="3" s="1"/>
  <c r="R318" i="3" s="1"/>
  <c r="S318" i="3" s="1"/>
  <c r="AD318" i="3"/>
  <c r="Z318" i="3"/>
  <c r="AC318" i="3"/>
  <c r="I317" i="3"/>
  <c r="W317" i="3" s="1"/>
  <c r="J317" i="3"/>
  <c r="M317" i="3"/>
  <c r="N317" i="3" s="1"/>
  <c r="T318" i="3" l="1"/>
  <c r="L317" i="3"/>
  <c r="AH318" i="3" l="1"/>
  <c r="U317" i="3"/>
  <c r="D318" i="3" s="1"/>
  <c r="AG318" i="3"/>
  <c r="Y316" i="3"/>
  <c r="E318" i="3" l="1"/>
  <c r="H318" i="3" s="1"/>
  <c r="K318" i="3" s="1"/>
  <c r="AE318" i="3" s="1"/>
  <c r="G318" i="3"/>
  <c r="F318" i="3" l="1"/>
  <c r="I318" i="3"/>
  <c r="J318" i="3"/>
  <c r="M318" i="3"/>
  <c r="N318" i="3" s="1"/>
  <c r="V318" i="3"/>
  <c r="A319" i="3"/>
  <c r="B319" i="3" s="1"/>
  <c r="W318" i="3" l="1"/>
  <c r="P319" i="3"/>
  <c r="Q319" i="3" s="1"/>
  <c r="R319" i="3" s="1"/>
  <c r="S319" i="3" s="1"/>
  <c r="Z319" i="3"/>
  <c r="AC319" i="3"/>
  <c r="AD319" i="3"/>
  <c r="AA319" i="3"/>
  <c r="L318" i="3"/>
  <c r="U318" i="3" l="1"/>
  <c r="Y317" i="3"/>
  <c r="T319" i="3"/>
  <c r="D319" i="3" l="1"/>
  <c r="G319" i="3" s="1"/>
  <c r="E319" i="3"/>
  <c r="H319" i="3" s="1"/>
  <c r="AG319" i="3"/>
  <c r="AH319" i="3"/>
  <c r="K319" i="3" l="1"/>
  <c r="AE319" i="3" s="1"/>
  <c r="I319" i="3"/>
  <c r="J319" i="3"/>
  <c r="M319" i="3"/>
  <c r="N319" i="3" s="1"/>
  <c r="F319" i="3"/>
  <c r="L319" i="3" l="1"/>
  <c r="V319" i="3"/>
  <c r="W319" i="3" s="1"/>
  <c r="A320" i="3"/>
  <c r="B320" i="3" s="1"/>
  <c r="AD320" i="3" l="1"/>
  <c r="AA320" i="3"/>
  <c r="AC320" i="3"/>
  <c r="Z320" i="3"/>
  <c r="P320" i="3"/>
  <c r="Q320" i="3" s="1"/>
  <c r="R320" i="3" s="1"/>
  <c r="S320" i="3" s="1"/>
  <c r="U319" i="3"/>
  <c r="Y318" i="3"/>
  <c r="T320" i="3" l="1"/>
  <c r="AG320" i="3" s="1"/>
  <c r="AH320" i="3" l="1"/>
  <c r="D320" i="3"/>
  <c r="E320" i="3"/>
  <c r="H320" i="3" s="1"/>
  <c r="K320" i="3" s="1"/>
  <c r="AE320" i="3" s="1"/>
  <c r="F320" i="3" l="1"/>
  <c r="G320" i="3"/>
  <c r="I320" i="3" s="1"/>
  <c r="V320" i="3"/>
  <c r="A321" i="3"/>
  <c r="B321" i="3" s="1"/>
  <c r="J320" i="3" l="1"/>
  <c r="L320" i="3" s="1"/>
  <c r="M320" i="3"/>
  <c r="N320" i="3" s="1"/>
  <c r="W320" i="3"/>
  <c r="AA321" i="3"/>
  <c r="Z321" i="3"/>
  <c r="P321" i="3"/>
  <c r="Q321" i="3" s="1"/>
  <c r="R321" i="3" s="1"/>
  <c r="S321" i="3" s="1"/>
  <c r="AC321" i="3"/>
  <c r="AD321" i="3"/>
  <c r="T321" i="3" l="1"/>
  <c r="AH321" i="3" s="1"/>
  <c r="U320" i="3"/>
  <c r="Y319" i="3"/>
  <c r="E321" i="3" l="1"/>
  <c r="H321" i="3" s="1"/>
  <c r="K321" i="3" s="1"/>
  <c r="AE321" i="3" s="1"/>
  <c r="AG321" i="3"/>
  <c r="D321" i="3"/>
  <c r="F321" i="3" l="1"/>
  <c r="G321" i="3"/>
  <c r="V321" i="3"/>
  <c r="A322" i="3"/>
  <c r="B322" i="3" s="1"/>
  <c r="AC322" i="3" l="1"/>
  <c r="AD322" i="3"/>
  <c r="AA322" i="3"/>
  <c r="Z322" i="3"/>
  <c r="P322" i="3"/>
  <c r="Q322" i="3" s="1"/>
  <c r="R322" i="3" s="1"/>
  <c r="S322" i="3" s="1"/>
  <c r="I321" i="3"/>
  <c r="W321" i="3" s="1"/>
  <c r="J321" i="3"/>
  <c r="M321" i="3"/>
  <c r="N321" i="3" s="1"/>
  <c r="L321" i="3" l="1"/>
  <c r="T322" i="3"/>
  <c r="AG322" i="3" l="1"/>
  <c r="U321" i="3"/>
  <c r="D322" i="3" s="1"/>
  <c r="AH322" i="3"/>
  <c r="Y320" i="3"/>
  <c r="E322" i="3" l="1"/>
  <c r="H322" i="3" s="1"/>
  <c r="K322" i="3" s="1"/>
  <c r="AE322" i="3" s="1"/>
  <c r="G322" i="3"/>
  <c r="F322" i="3" l="1"/>
  <c r="V322" i="3"/>
  <c r="A323" i="3"/>
  <c r="B323" i="3" s="1"/>
  <c r="I322" i="3"/>
  <c r="J322" i="3"/>
  <c r="M322" i="3"/>
  <c r="N322" i="3" s="1"/>
  <c r="AD323" i="3" l="1"/>
  <c r="AC323" i="3"/>
  <c r="P323" i="3"/>
  <c r="Q323" i="3" s="1"/>
  <c r="R323" i="3" s="1"/>
  <c r="S323" i="3" s="1"/>
  <c r="Z323" i="3"/>
  <c r="AA323" i="3"/>
  <c r="L322" i="3"/>
  <c r="W322" i="3"/>
  <c r="T323" i="3" l="1"/>
  <c r="AG323" i="3" s="1"/>
  <c r="U322" i="3"/>
  <c r="Y321" i="3"/>
  <c r="E323" i="3" l="1"/>
  <c r="H323" i="3" s="1"/>
  <c r="K323" i="3" s="1"/>
  <c r="AE323" i="3" s="1"/>
  <c r="AH323" i="3"/>
  <c r="D323" i="3"/>
  <c r="F323" i="3" l="1"/>
  <c r="G323" i="3"/>
  <c r="I323" i="3" s="1"/>
  <c r="V323" i="3"/>
  <c r="A324" i="3"/>
  <c r="B324" i="3" s="1"/>
  <c r="M323" i="3" l="1"/>
  <c r="N323" i="3" s="1"/>
  <c r="J323" i="3"/>
  <c r="L323" i="3" s="1"/>
  <c r="W323" i="3"/>
  <c r="Z324" i="3"/>
  <c r="P324" i="3"/>
  <c r="Q324" i="3" s="1"/>
  <c r="R324" i="3" s="1"/>
  <c r="S324" i="3" s="1"/>
  <c r="AC324" i="3"/>
  <c r="AA324" i="3"/>
  <c r="AD324" i="3"/>
  <c r="U323" i="3" l="1"/>
  <c r="Y322" i="3"/>
  <c r="T324" i="3"/>
  <c r="E324" i="3" l="1"/>
  <c r="H324" i="3" s="1"/>
  <c r="K324" i="3" s="1"/>
  <c r="AE324" i="3" s="1"/>
  <c r="AG324" i="3"/>
  <c r="AH324" i="3"/>
  <c r="D324" i="3"/>
  <c r="F324" i="3" l="1"/>
  <c r="G324" i="3"/>
  <c r="I324" i="3" s="1"/>
  <c r="V324" i="3"/>
  <c r="A325" i="3"/>
  <c r="B325" i="3" s="1"/>
  <c r="M324" i="3" l="1"/>
  <c r="N324" i="3" s="1"/>
  <c r="J324" i="3"/>
  <c r="L324" i="3" s="1"/>
  <c r="W324" i="3"/>
  <c r="AC325" i="3"/>
  <c r="AD325" i="3"/>
  <c r="Z325" i="3"/>
  <c r="P325" i="3"/>
  <c r="Q325" i="3" s="1"/>
  <c r="R325" i="3" s="1"/>
  <c r="S325" i="3" s="1"/>
  <c r="AA325" i="3"/>
  <c r="T325" i="3" l="1"/>
  <c r="AG325" i="3" s="1"/>
  <c r="U324" i="3"/>
  <c r="Y323" i="3"/>
  <c r="AH325" i="3" l="1"/>
  <c r="D325" i="3"/>
  <c r="G325" i="3" s="1"/>
  <c r="E325" i="3"/>
  <c r="H325" i="3" s="1"/>
  <c r="K325" i="3" s="1"/>
  <c r="AE325" i="3" s="1"/>
  <c r="F325" i="3" l="1"/>
  <c r="V325" i="3"/>
  <c r="A326" i="3"/>
  <c r="B326" i="3" s="1"/>
  <c r="I325" i="3"/>
  <c r="J325" i="3"/>
  <c r="M325" i="3"/>
  <c r="N325" i="3" s="1"/>
  <c r="P326" i="3" l="1"/>
  <c r="Q326" i="3" s="1"/>
  <c r="R326" i="3" s="1"/>
  <c r="S326" i="3" s="1"/>
  <c r="AD326" i="3"/>
  <c r="Z326" i="3"/>
  <c r="AA326" i="3"/>
  <c r="AC326" i="3"/>
  <c r="L325" i="3"/>
  <c r="W325" i="3"/>
  <c r="T326" i="3" l="1"/>
  <c r="AH326" i="3" s="1"/>
  <c r="U325" i="3"/>
  <c r="Y324" i="3"/>
  <c r="AG326" i="3" l="1"/>
  <c r="E326" i="3"/>
  <c r="H326" i="3" s="1"/>
  <c r="K326" i="3" s="1"/>
  <c r="AE326" i="3" s="1"/>
  <c r="D326" i="3"/>
  <c r="F326" i="3" l="1"/>
  <c r="G326" i="3"/>
  <c r="I326" i="3" s="1"/>
  <c r="V326" i="3"/>
  <c r="A327" i="3"/>
  <c r="B327" i="3" s="1"/>
  <c r="M326" i="3" l="1"/>
  <c r="N326" i="3" s="1"/>
  <c r="J326" i="3"/>
  <c r="L326" i="3" s="1"/>
  <c r="W326" i="3"/>
  <c r="P327" i="3"/>
  <c r="Q327" i="3" s="1"/>
  <c r="R327" i="3" s="1"/>
  <c r="S327" i="3" s="1"/>
  <c r="AD327" i="3"/>
  <c r="Z327" i="3"/>
  <c r="AA327" i="3"/>
  <c r="AC327" i="3"/>
  <c r="T327" i="3" l="1"/>
  <c r="AH327" i="3" s="1"/>
  <c r="U326" i="3"/>
  <c r="Y325" i="3"/>
  <c r="E327" i="3" l="1"/>
  <c r="H327" i="3" s="1"/>
  <c r="K327" i="3" s="1"/>
  <c r="AE327" i="3" s="1"/>
  <c r="AG327" i="3"/>
  <c r="D327" i="3"/>
  <c r="F327" i="3" l="1"/>
  <c r="G327" i="3"/>
  <c r="V327" i="3"/>
  <c r="A328" i="3"/>
  <c r="B328" i="3" s="1"/>
  <c r="AA328" i="3" l="1"/>
  <c r="AD328" i="3"/>
  <c r="P328" i="3"/>
  <c r="Q328" i="3" s="1"/>
  <c r="R328" i="3" s="1"/>
  <c r="S328" i="3" s="1"/>
  <c r="AC328" i="3"/>
  <c r="Z328" i="3"/>
  <c r="I327" i="3"/>
  <c r="W327" i="3" s="1"/>
  <c r="J327" i="3"/>
  <c r="M327" i="3"/>
  <c r="N327" i="3" s="1"/>
  <c r="L327" i="3" l="1"/>
  <c r="T328" i="3"/>
  <c r="AG328" i="3" l="1"/>
  <c r="AH328" i="3"/>
  <c r="U327" i="3"/>
  <c r="D328" i="3" s="1"/>
  <c r="Y326" i="3"/>
  <c r="E328" i="3" l="1"/>
  <c r="H328" i="3" s="1"/>
  <c r="K328" i="3" s="1"/>
  <c r="AE328" i="3" s="1"/>
  <c r="G328" i="3"/>
  <c r="F328" i="3" l="1"/>
  <c r="V328" i="3"/>
  <c r="A329" i="3"/>
  <c r="B329" i="3" s="1"/>
  <c r="I328" i="3"/>
  <c r="J328" i="3"/>
  <c r="M328" i="3"/>
  <c r="N328" i="3" s="1"/>
  <c r="Z329" i="3" l="1"/>
  <c r="AA329" i="3"/>
  <c r="AD329" i="3"/>
  <c r="P329" i="3"/>
  <c r="Q329" i="3" s="1"/>
  <c r="R329" i="3" s="1"/>
  <c r="S329" i="3" s="1"/>
  <c r="AC329" i="3"/>
  <c r="L328" i="3"/>
  <c r="W328" i="3"/>
  <c r="T329" i="3" l="1"/>
  <c r="AH329" i="3" s="1"/>
  <c r="U328" i="3"/>
  <c r="Y327" i="3"/>
  <c r="D329" i="3" l="1"/>
  <c r="G329" i="3" s="1"/>
  <c r="AG329" i="3"/>
  <c r="E329" i="3"/>
  <c r="H329" i="3" s="1"/>
  <c r="K329" i="3" s="1"/>
  <c r="AE329" i="3" s="1"/>
  <c r="F329" i="3" l="1"/>
  <c r="V329" i="3"/>
  <c r="A330" i="3"/>
  <c r="B330" i="3" s="1"/>
  <c r="I329" i="3"/>
  <c r="J329" i="3"/>
  <c r="M329" i="3"/>
  <c r="N329" i="3" s="1"/>
  <c r="L329" i="3" l="1"/>
  <c r="P330" i="3"/>
  <c r="Q330" i="3" s="1"/>
  <c r="R330" i="3" s="1"/>
  <c r="S330" i="3" s="1"/>
  <c r="AC330" i="3"/>
  <c r="AD330" i="3"/>
  <c r="Z330" i="3"/>
  <c r="AA330" i="3"/>
  <c r="W329" i="3"/>
  <c r="T330" i="3" l="1"/>
  <c r="AG330" i="3" s="1"/>
  <c r="U329" i="3"/>
  <c r="Y328" i="3"/>
  <c r="D330" i="3" l="1"/>
  <c r="G330" i="3" s="1"/>
  <c r="AH330" i="3"/>
  <c r="E330" i="3"/>
  <c r="H330" i="3" s="1"/>
  <c r="K330" i="3" l="1"/>
  <c r="AE330" i="3" s="1"/>
  <c r="I330" i="3"/>
  <c r="J330" i="3"/>
  <c r="M330" i="3"/>
  <c r="N330" i="3" s="1"/>
  <c r="F330" i="3"/>
  <c r="L330" i="3" l="1"/>
  <c r="V330" i="3"/>
  <c r="W330" i="3" s="1"/>
  <c r="A331" i="3"/>
  <c r="B331" i="3" s="1"/>
  <c r="Z331" i="3" l="1"/>
  <c r="P331" i="3"/>
  <c r="Q331" i="3" s="1"/>
  <c r="R331" i="3" s="1"/>
  <c r="S331" i="3" s="1"/>
  <c r="AC331" i="3"/>
  <c r="AA331" i="3"/>
  <c r="AD331" i="3"/>
  <c r="U330" i="3"/>
  <c r="Y329" i="3"/>
  <c r="T331" i="3" l="1"/>
  <c r="E331" i="3" s="1"/>
  <c r="H331" i="3" s="1"/>
  <c r="AH331" i="3" l="1"/>
  <c r="AG331" i="3"/>
  <c r="D331" i="3"/>
  <c r="F331" i="3" s="1"/>
  <c r="K331" i="3"/>
  <c r="AE331" i="3" s="1"/>
  <c r="G331" i="3" l="1"/>
  <c r="I331" i="3" s="1"/>
  <c r="V331" i="3"/>
  <c r="A332" i="3"/>
  <c r="B332" i="3" s="1"/>
  <c r="M331" i="3" l="1"/>
  <c r="N331" i="3" s="1"/>
  <c r="J331" i="3"/>
  <c r="L331" i="3" s="1"/>
  <c r="AC332" i="3"/>
  <c r="AA332" i="3"/>
  <c r="P332" i="3"/>
  <c r="Q332" i="3" s="1"/>
  <c r="R332" i="3" s="1"/>
  <c r="S332" i="3" s="1"/>
  <c r="Z332" i="3"/>
  <c r="AD332" i="3"/>
  <c r="W331" i="3"/>
  <c r="T332" i="3" l="1"/>
  <c r="AH332" i="3" s="1"/>
  <c r="U331" i="3"/>
  <c r="Y330" i="3"/>
  <c r="E332" i="3" l="1"/>
  <c r="H332" i="3" s="1"/>
  <c r="K332" i="3" s="1"/>
  <c r="AE332" i="3" s="1"/>
  <c r="AG332" i="3"/>
  <c r="D332" i="3"/>
  <c r="V332" i="3" l="1"/>
  <c r="A333" i="3"/>
  <c r="B333" i="3" s="1"/>
  <c r="F332" i="3"/>
  <c r="G332" i="3"/>
  <c r="I332" i="3" l="1"/>
  <c r="W332" i="3" s="1"/>
  <c r="J332" i="3"/>
  <c r="M332" i="3"/>
  <c r="N332" i="3" s="1"/>
  <c r="AD333" i="3"/>
  <c r="P333" i="3"/>
  <c r="Q333" i="3" s="1"/>
  <c r="R333" i="3" s="1"/>
  <c r="S333" i="3" s="1"/>
  <c r="AC333" i="3"/>
  <c r="AA333" i="3"/>
  <c r="Z333" i="3"/>
  <c r="T333" i="3" l="1"/>
  <c r="L332" i="3"/>
  <c r="AG333" i="3" l="1"/>
  <c r="U332" i="3"/>
  <c r="E333" i="3" s="1"/>
  <c r="H333" i="3" s="1"/>
  <c r="AH333" i="3"/>
  <c r="Y331" i="3"/>
  <c r="D333" i="3" l="1"/>
  <c r="F333" i="3" s="1"/>
  <c r="K333" i="3"/>
  <c r="AE333" i="3" s="1"/>
  <c r="G333" i="3" l="1"/>
  <c r="I333" i="3" s="1"/>
  <c r="V333" i="3"/>
  <c r="A334" i="3"/>
  <c r="B334" i="3" s="1"/>
  <c r="M333" i="3" l="1"/>
  <c r="N333" i="3" s="1"/>
  <c r="J333" i="3"/>
  <c r="L333" i="3" s="1"/>
  <c r="W333" i="3"/>
  <c r="AD334" i="3"/>
  <c r="Z334" i="3"/>
  <c r="P334" i="3"/>
  <c r="Q334" i="3" s="1"/>
  <c r="R334" i="3" s="1"/>
  <c r="S334" i="3" s="1"/>
  <c r="AC334" i="3"/>
  <c r="AA334" i="3"/>
  <c r="T334" i="3" l="1"/>
  <c r="AH334" i="3" s="1"/>
  <c r="U333" i="3"/>
  <c r="Y332" i="3"/>
  <c r="AG334" i="3" l="1"/>
  <c r="E334" i="3"/>
  <c r="H334" i="3" s="1"/>
  <c r="K334" i="3" s="1"/>
  <c r="AE334" i="3" s="1"/>
  <c r="D334" i="3"/>
  <c r="F334" i="3" l="1"/>
  <c r="G334" i="3"/>
  <c r="I334" i="3" s="1"/>
  <c r="V334" i="3"/>
  <c r="A335" i="3"/>
  <c r="B335" i="3" s="1"/>
  <c r="J334" i="3" l="1"/>
  <c r="L334" i="3" s="1"/>
  <c r="M334" i="3"/>
  <c r="N334" i="3" s="1"/>
  <c r="W334" i="3"/>
  <c r="AD335" i="3"/>
  <c r="Z335" i="3"/>
  <c r="AA335" i="3"/>
  <c r="AC335" i="3"/>
  <c r="P335" i="3"/>
  <c r="Q335" i="3" s="1"/>
  <c r="R335" i="3" s="1"/>
  <c r="S335" i="3" s="1"/>
  <c r="U334" i="3" l="1"/>
  <c r="Y333" i="3"/>
  <c r="T335" i="3"/>
  <c r="AG335" i="3" s="1"/>
  <c r="E335" i="3" l="1"/>
  <c r="H335" i="3" s="1"/>
  <c r="D335" i="3"/>
  <c r="AH335" i="3"/>
  <c r="F335" i="3" l="1"/>
  <c r="G335" i="3"/>
  <c r="K335" i="3"/>
  <c r="AE335" i="3" s="1"/>
  <c r="V335" i="3" l="1"/>
  <c r="A336" i="3"/>
  <c r="B336" i="3" s="1"/>
  <c r="I335" i="3"/>
  <c r="J335" i="3"/>
  <c r="M335" i="3"/>
  <c r="N335" i="3" s="1"/>
  <c r="L335" i="3" l="1"/>
  <c r="Z336" i="3"/>
  <c r="AC336" i="3"/>
  <c r="AA336" i="3"/>
  <c r="P336" i="3"/>
  <c r="Q336" i="3" s="1"/>
  <c r="R336" i="3" s="1"/>
  <c r="S336" i="3" s="1"/>
  <c r="AD336" i="3"/>
  <c r="W335" i="3"/>
  <c r="T336" i="3" l="1"/>
  <c r="AH336" i="3" s="1"/>
  <c r="U335" i="3"/>
  <c r="Y334" i="3"/>
  <c r="E336" i="3" l="1"/>
  <c r="H336" i="3" s="1"/>
  <c r="K336" i="3" s="1"/>
  <c r="AE336" i="3" s="1"/>
  <c r="AG336" i="3"/>
  <c r="D336" i="3"/>
  <c r="G336" i="3" s="1"/>
  <c r="F336" i="3" l="1"/>
  <c r="I336" i="3"/>
  <c r="J336" i="3"/>
  <c r="M336" i="3"/>
  <c r="N336" i="3" s="1"/>
  <c r="V336" i="3"/>
  <c r="A337" i="3"/>
  <c r="B337" i="3" s="1"/>
  <c r="W336" i="3" l="1"/>
  <c r="Z337" i="3"/>
  <c r="P337" i="3"/>
  <c r="Q337" i="3" s="1"/>
  <c r="R337" i="3" s="1"/>
  <c r="S337" i="3" s="1"/>
  <c r="AD337" i="3"/>
  <c r="AC337" i="3"/>
  <c r="AA337" i="3"/>
  <c r="L336" i="3"/>
  <c r="U336" i="3" l="1"/>
  <c r="Y335" i="3"/>
  <c r="T337" i="3"/>
  <c r="D337" i="3" l="1"/>
  <c r="G337" i="3" s="1"/>
  <c r="E337" i="3"/>
  <c r="H337" i="3" s="1"/>
  <c r="AG337" i="3"/>
  <c r="AH337" i="3"/>
  <c r="K337" i="3" l="1"/>
  <c r="AE337" i="3" s="1"/>
  <c r="I337" i="3"/>
  <c r="J337" i="3"/>
  <c r="M337" i="3"/>
  <c r="N337" i="3" s="1"/>
  <c r="F337" i="3"/>
  <c r="L337" i="3" l="1"/>
  <c r="V337" i="3"/>
  <c r="W337" i="3" s="1"/>
  <c r="A338" i="3"/>
  <c r="B338" i="3" s="1"/>
  <c r="Z338" i="3" l="1"/>
  <c r="P338" i="3"/>
  <c r="Q338" i="3" s="1"/>
  <c r="R338" i="3" s="1"/>
  <c r="S338" i="3" s="1"/>
  <c r="AD338" i="3"/>
  <c r="AA338" i="3"/>
  <c r="AC338" i="3"/>
  <c r="U337" i="3"/>
  <c r="Y336" i="3"/>
  <c r="T338" i="3" l="1"/>
  <c r="E338" i="3" s="1"/>
  <c r="H338" i="3" s="1"/>
  <c r="D338" i="3" l="1"/>
  <c r="F338" i="3" s="1"/>
  <c r="AG338" i="3"/>
  <c r="AH338" i="3"/>
  <c r="K338" i="3"/>
  <c r="AE338" i="3" s="1"/>
  <c r="G338" i="3" l="1"/>
  <c r="I338" i="3" s="1"/>
  <c r="V338" i="3"/>
  <c r="A339" i="3"/>
  <c r="B339" i="3" s="1"/>
  <c r="M338" i="3" l="1"/>
  <c r="N338" i="3" s="1"/>
  <c r="J338" i="3"/>
  <c r="L338" i="3" s="1"/>
  <c r="W338" i="3"/>
  <c r="Z339" i="3"/>
  <c r="AD339" i="3"/>
  <c r="P339" i="3"/>
  <c r="Q339" i="3" s="1"/>
  <c r="R339" i="3" s="1"/>
  <c r="S339" i="3" s="1"/>
  <c r="AA339" i="3"/>
  <c r="AC339" i="3"/>
  <c r="T339" i="3" l="1"/>
  <c r="AG339" i="3" s="1"/>
  <c r="U338" i="3"/>
  <c r="Y337" i="3"/>
  <c r="D339" i="3" l="1"/>
  <c r="G339" i="3" s="1"/>
  <c r="AH339" i="3"/>
  <c r="E339" i="3"/>
  <c r="H339" i="3" s="1"/>
  <c r="K339" i="3" s="1"/>
  <c r="AE339" i="3" s="1"/>
  <c r="F339" i="3" l="1"/>
  <c r="I339" i="3"/>
  <c r="J339" i="3"/>
  <c r="M339" i="3"/>
  <c r="N339" i="3" s="1"/>
  <c r="V339" i="3"/>
  <c r="A340" i="3"/>
  <c r="B340" i="3" s="1"/>
  <c r="W339" i="3" l="1"/>
  <c r="AA340" i="3"/>
  <c r="AD340" i="3"/>
  <c r="Z340" i="3"/>
  <c r="P340" i="3"/>
  <c r="Q340" i="3" s="1"/>
  <c r="R340" i="3" s="1"/>
  <c r="S340" i="3" s="1"/>
  <c r="AC340" i="3"/>
  <c r="L339" i="3"/>
  <c r="T340" i="3" l="1"/>
  <c r="AG340" i="3" s="1"/>
  <c r="U339" i="3"/>
  <c r="Y338" i="3"/>
  <c r="AH340" i="3" l="1"/>
  <c r="E340" i="3"/>
  <c r="H340" i="3" s="1"/>
  <c r="K340" i="3" s="1"/>
  <c r="AE340" i="3" s="1"/>
  <c r="D340" i="3"/>
  <c r="F340" i="3" l="1"/>
  <c r="G340" i="3"/>
  <c r="I340" i="3" s="1"/>
  <c r="V340" i="3"/>
  <c r="A341" i="3"/>
  <c r="B341" i="3" s="1"/>
  <c r="M340" i="3" l="1"/>
  <c r="N340" i="3" s="1"/>
  <c r="J340" i="3"/>
  <c r="L340" i="3" s="1"/>
  <c r="AA341" i="3"/>
  <c r="AC341" i="3"/>
  <c r="AD341" i="3"/>
  <c r="Z341" i="3"/>
  <c r="P341" i="3"/>
  <c r="Q341" i="3" s="1"/>
  <c r="R341" i="3" s="1"/>
  <c r="S341" i="3" s="1"/>
  <c r="W340" i="3"/>
  <c r="U340" i="3" l="1"/>
  <c r="Y339" i="3"/>
  <c r="T341" i="3"/>
  <c r="D341" i="3" l="1"/>
  <c r="G341" i="3" s="1"/>
  <c r="E341" i="3"/>
  <c r="H341" i="3" s="1"/>
  <c r="K341" i="3" s="1"/>
  <c r="AE341" i="3" s="1"/>
  <c r="AH341" i="3"/>
  <c r="AG341" i="3"/>
  <c r="F341" i="3" l="1"/>
  <c r="V341" i="3"/>
  <c r="A342" i="3"/>
  <c r="B342" i="3" s="1"/>
  <c r="I341" i="3"/>
  <c r="J341" i="3"/>
  <c r="M341" i="3"/>
  <c r="N341" i="3" s="1"/>
  <c r="L341" i="3" l="1"/>
  <c r="P342" i="3"/>
  <c r="Q342" i="3" s="1"/>
  <c r="R342" i="3" s="1"/>
  <c r="S342" i="3" s="1"/>
  <c r="AA342" i="3"/>
  <c r="AD342" i="3"/>
  <c r="AC342" i="3"/>
  <c r="Z342" i="3"/>
  <c r="W341" i="3"/>
  <c r="T342" i="3" l="1"/>
  <c r="AG342" i="3" s="1"/>
  <c r="U341" i="3"/>
  <c r="Y340" i="3"/>
  <c r="D342" i="3" l="1"/>
  <c r="G342" i="3" s="1"/>
  <c r="AH342" i="3"/>
  <c r="E342" i="3"/>
  <c r="H342" i="3" s="1"/>
  <c r="K342" i="3" s="1"/>
  <c r="AE342" i="3" s="1"/>
  <c r="F342" i="3" l="1"/>
  <c r="V342" i="3"/>
  <c r="A343" i="3"/>
  <c r="B343" i="3" s="1"/>
  <c r="I342" i="3"/>
  <c r="J342" i="3"/>
  <c r="M342" i="3"/>
  <c r="N342" i="3" s="1"/>
  <c r="AD343" i="3" l="1"/>
  <c r="P343" i="3"/>
  <c r="Q343" i="3" s="1"/>
  <c r="R343" i="3" s="1"/>
  <c r="S343" i="3" s="1"/>
  <c r="AA343" i="3"/>
  <c r="Z343" i="3"/>
  <c r="AC343" i="3"/>
  <c r="L342" i="3"/>
  <c r="W342" i="3"/>
  <c r="T343" i="3" l="1"/>
  <c r="AG343" i="3" s="1"/>
  <c r="U342" i="3"/>
  <c r="Y341" i="3"/>
  <c r="D343" i="3" l="1"/>
  <c r="G343" i="3" s="1"/>
  <c r="AH343" i="3"/>
  <c r="E343" i="3"/>
  <c r="H343" i="3" s="1"/>
  <c r="K343" i="3" s="1"/>
  <c r="AE343" i="3" s="1"/>
  <c r="F343" i="3" l="1"/>
  <c r="V343" i="3"/>
  <c r="A344" i="3"/>
  <c r="B344" i="3" s="1"/>
  <c r="I343" i="3"/>
  <c r="J343" i="3"/>
  <c r="M343" i="3"/>
  <c r="N343" i="3" s="1"/>
  <c r="W343" i="3" l="1"/>
  <c r="L343" i="3"/>
  <c r="P344" i="3"/>
  <c r="Q344" i="3" s="1"/>
  <c r="R344" i="3" s="1"/>
  <c r="S344" i="3" s="1"/>
  <c r="AC344" i="3"/>
  <c r="AA344" i="3"/>
  <c r="Z344" i="3"/>
  <c r="AD344" i="3"/>
  <c r="T344" i="3" l="1"/>
  <c r="AH344" i="3" s="1"/>
  <c r="U343" i="3"/>
  <c r="Y342" i="3"/>
  <c r="D344" i="3" l="1"/>
  <c r="G344" i="3" s="1"/>
  <c r="E344" i="3"/>
  <c r="H344" i="3" s="1"/>
  <c r="K344" i="3" s="1"/>
  <c r="AE344" i="3" s="1"/>
  <c r="AG344" i="3"/>
  <c r="F344" i="3" l="1"/>
  <c r="I344" i="3"/>
  <c r="J344" i="3"/>
  <c r="M344" i="3"/>
  <c r="N344" i="3" s="1"/>
  <c r="V344" i="3"/>
  <c r="A345" i="3"/>
  <c r="B345" i="3" s="1"/>
  <c r="W344" i="3" l="1"/>
  <c r="P345" i="3"/>
  <c r="Q345" i="3" s="1"/>
  <c r="R345" i="3" s="1"/>
  <c r="S345" i="3" s="1"/>
  <c r="AC345" i="3"/>
  <c r="AD345" i="3"/>
  <c r="Z345" i="3"/>
  <c r="AA345" i="3"/>
  <c r="L344" i="3"/>
  <c r="U344" i="3" l="1"/>
  <c r="Y343" i="3"/>
  <c r="T345" i="3"/>
  <c r="AG345" i="3" s="1"/>
  <c r="E345" i="3" l="1"/>
  <c r="H345" i="3" s="1"/>
  <c r="K345" i="3" s="1"/>
  <c r="AE345" i="3" s="1"/>
  <c r="D345" i="3"/>
  <c r="G345" i="3" s="1"/>
  <c r="AH345" i="3"/>
  <c r="F345" i="3" l="1"/>
  <c r="I345" i="3"/>
  <c r="J345" i="3"/>
  <c r="M345" i="3"/>
  <c r="N345" i="3" s="1"/>
  <c r="V345" i="3"/>
  <c r="A346" i="3"/>
  <c r="B346" i="3" s="1"/>
  <c r="W345" i="3" l="1"/>
  <c r="Z346" i="3"/>
  <c r="AD346" i="3"/>
  <c r="AA346" i="3"/>
  <c r="AC346" i="3"/>
  <c r="P346" i="3"/>
  <c r="Q346" i="3" s="1"/>
  <c r="R346" i="3" s="1"/>
  <c r="S346" i="3" s="1"/>
  <c r="L345" i="3"/>
  <c r="T346" i="3" l="1"/>
  <c r="AG346" i="3" s="1"/>
  <c r="U345" i="3"/>
  <c r="Y344" i="3"/>
  <c r="E346" i="3" l="1"/>
  <c r="H346" i="3" s="1"/>
  <c r="K346" i="3" s="1"/>
  <c r="AE346" i="3" s="1"/>
  <c r="AH346" i="3"/>
  <c r="D346" i="3"/>
  <c r="G346" i="3" s="1"/>
  <c r="F346" i="3" l="1"/>
  <c r="I346" i="3"/>
  <c r="J346" i="3"/>
  <c r="M346" i="3"/>
  <c r="N346" i="3" s="1"/>
  <c r="V346" i="3"/>
  <c r="A347" i="3"/>
  <c r="B347" i="3" s="1"/>
  <c r="W346" i="3" l="1"/>
  <c r="AD347" i="3"/>
  <c r="P347" i="3"/>
  <c r="Q347" i="3" s="1"/>
  <c r="R347" i="3" s="1"/>
  <c r="S347" i="3" s="1"/>
  <c r="Z347" i="3"/>
  <c r="AC347" i="3"/>
  <c r="AA347" i="3"/>
  <c r="L346" i="3"/>
  <c r="T347" i="3" l="1"/>
  <c r="AH347" i="3" s="1"/>
  <c r="U346" i="3"/>
  <c r="Y345" i="3"/>
  <c r="D347" i="3" l="1"/>
  <c r="E347" i="3"/>
  <c r="H347" i="3" s="1"/>
  <c r="AG347" i="3"/>
  <c r="K347" i="3" l="1"/>
  <c r="AE347" i="3" s="1"/>
  <c r="F347" i="3"/>
  <c r="G347" i="3"/>
  <c r="I347" i="3" l="1"/>
  <c r="J347" i="3"/>
  <c r="M347" i="3"/>
  <c r="N347" i="3" s="1"/>
  <c r="V347" i="3"/>
  <c r="A348" i="3"/>
  <c r="B348" i="3" s="1"/>
  <c r="W347" i="3" l="1"/>
  <c r="AD348" i="3"/>
  <c r="Z348" i="3"/>
  <c r="AC348" i="3"/>
  <c r="AA348" i="3"/>
  <c r="P348" i="3"/>
  <c r="Q348" i="3" s="1"/>
  <c r="R348" i="3" s="1"/>
  <c r="S348" i="3" s="1"/>
  <c r="L347" i="3"/>
  <c r="T348" i="3" l="1"/>
  <c r="AG348" i="3" s="1"/>
  <c r="U347" i="3"/>
  <c r="Y346" i="3"/>
  <c r="D348" i="3" l="1"/>
  <c r="G348" i="3" s="1"/>
  <c r="E348" i="3"/>
  <c r="H348" i="3" s="1"/>
  <c r="K348" i="3" s="1"/>
  <c r="AE348" i="3" s="1"/>
  <c r="AH348" i="3"/>
  <c r="F348" i="3" l="1"/>
  <c r="I348" i="3"/>
  <c r="J348" i="3"/>
  <c r="M348" i="3"/>
  <c r="N348" i="3" s="1"/>
  <c r="V348" i="3"/>
  <c r="A349" i="3"/>
  <c r="B349" i="3" s="1"/>
  <c r="W348" i="3" l="1"/>
  <c r="AA349" i="3"/>
  <c r="P349" i="3"/>
  <c r="Q349" i="3" s="1"/>
  <c r="R349" i="3" s="1"/>
  <c r="S349" i="3" s="1"/>
  <c r="AC349" i="3"/>
  <c r="Z349" i="3"/>
  <c r="AD349" i="3"/>
  <c r="L348" i="3"/>
  <c r="U348" i="3" l="1"/>
  <c r="Y347" i="3"/>
  <c r="T349" i="3"/>
  <c r="AG349" i="3" s="1"/>
  <c r="D349" i="3" l="1"/>
  <c r="AH349" i="3"/>
  <c r="E349" i="3"/>
  <c r="H349" i="3" s="1"/>
  <c r="K349" i="3" l="1"/>
  <c r="AE349" i="3" s="1"/>
  <c r="F349" i="3"/>
  <c r="G349" i="3"/>
  <c r="I349" i="3" l="1"/>
  <c r="J349" i="3"/>
  <c r="M349" i="3"/>
  <c r="N349" i="3" s="1"/>
  <c r="V349" i="3"/>
  <c r="A350" i="3"/>
  <c r="B350" i="3" s="1"/>
  <c r="W349" i="3" l="1"/>
  <c r="P350" i="3"/>
  <c r="Q350" i="3" s="1"/>
  <c r="R350" i="3" s="1"/>
  <c r="S350" i="3" s="1"/>
  <c r="AD350" i="3"/>
  <c r="AA350" i="3"/>
  <c r="AC350" i="3"/>
  <c r="Z350" i="3"/>
  <c r="L349" i="3"/>
  <c r="U349" i="3" l="1"/>
  <c r="Y348" i="3"/>
  <c r="T350" i="3"/>
  <c r="AG350" i="3" s="1"/>
  <c r="E350" i="3" l="1"/>
  <c r="H350" i="3" s="1"/>
  <c r="K350" i="3" s="1"/>
  <c r="AE350" i="3" s="1"/>
  <c r="D350" i="3"/>
  <c r="AH350" i="3"/>
  <c r="F350" i="3" l="1"/>
  <c r="G350" i="3"/>
  <c r="V350" i="3"/>
  <c r="A351" i="3"/>
  <c r="B351" i="3" s="1"/>
  <c r="P351" i="3" l="1"/>
  <c r="Q351" i="3" s="1"/>
  <c r="R351" i="3" s="1"/>
  <c r="S351" i="3" s="1"/>
  <c r="Z351" i="3"/>
  <c r="AC351" i="3"/>
  <c r="AD351" i="3"/>
  <c r="AA351" i="3"/>
  <c r="I350" i="3"/>
  <c r="W350" i="3" s="1"/>
  <c r="J350" i="3"/>
  <c r="M350" i="3"/>
  <c r="N350" i="3" s="1"/>
  <c r="L350" i="3" l="1"/>
  <c r="T351" i="3"/>
  <c r="AH351" i="3" l="1"/>
  <c r="U350" i="3"/>
  <c r="D351" i="3" s="1"/>
  <c r="AG351" i="3"/>
  <c r="Y349" i="3"/>
  <c r="E351" i="3" l="1"/>
  <c r="H351" i="3" s="1"/>
  <c r="K351" i="3" s="1"/>
  <c r="AE351" i="3" s="1"/>
  <c r="G351" i="3"/>
  <c r="F351" i="3" l="1"/>
  <c r="V351" i="3"/>
  <c r="A352" i="3"/>
  <c r="B352" i="3" s="1"/>
  <c r="I351" i="3"/>
  <c r="J351" i="3"/>
  <c r="M351" i="3"/>
  <c r="N351" i="3" s="1"/>
  <c r="L351" i="3" l="1"/>
  <c r="AA352" i="3"/>
  <c r="Z352" i="3"/>
  <c r="P352" i="3"/>
  <c r="Q352" i="3" s="1"/>
  <c r="R352" i="3" s="1"/>
  <c r="S352" i="3" s="1"/>
  <c r="AC352" i="3"/>
  <c r="AD352" i="3"/>
  <c r="W351" i="3"/>
  <c r="T352" i="3" l="1"/>
  <c r="AH352" i="3" s="1"/>
  <c r="U351" i="3"/>
  <c r="Y350" i="3"/>
  <c r="E352" i="3" l="1"/>
  <c r="H352" i="3" s="1"/>
  <c r="K352" i="3" s="1"/>
  <c r="AE352" i="3" s="1"/>
  <c r="AG352" i="3"/>
  <c r="D352" i="3"/>
  <c r="F352" i="3" l="1"/>
  <c r="G352" i="3"/>
  <c r="I352" i="3" s="1"/>
  <c r="V352" i="3"/>
  <c r="A353" i="3"/>
  <c r="B353" i="3" s="1"/>
  <c r="M352" i="3" l="1"/>
  <c r="N352" i="3" s="1"/>
  <c r="J352" i="3"/>
  <c r="L352" i="3" s="1"/>
  <c r="AD353" i="3"/>
  <c r="P353" i="3"/>
  <c r="Q353" i="3" s="1"/>
  <c r="R353" i="3" s="1"/>
  <c r="S353" i="3" s="1"/>
  <c r="Z353" i="3"/>
  <c r="AC353" i="3"/>
  <c r="AA353" i="3"/>
  <c r="W352" i="3"/>
  <c r="T353" i="3" l="1"/>
  <c r="AG353" i="3" s="1"/>
  <c r="U352" i="3"/>
  <c r="Y351" i="3"/>
  <c r="D353" i="3" l="1"/>
  <c r="G353" i="3" s="1"/>
  <c r="AH353" i="3"/>
  <c r="E353" i="3"/>
  <c r="H353" i="3" s="1"/>
  <c r="K353" i="3" s="1"/>
  <c r="AE353" i="3" s="1"/>
  <c r="F353" i="3" l="1"/>
  <c r="V353" i="3"/>
  <c r="A354" i="3"/>
  <c r="B354" i="3" s="1"/>
  <c r="I353" i="3"/>
  <c r="J353" i="3"/>
  <c r="M353" i="3"/>
  <c r="N353" i="3" s="1"/>
  <c r="L353" i="3" l="1"/>
  <c r="Z354" i="3"/>
  <c r="AD354" i="3"/>
  <c r="AC354" i="3"/>
  <c r="AA354" i="3"/>
  <c r="P354" i="3"/>
  <c r="Q354" i="3" s="1"/>
  <c r="R354" i="3" s="1"/>
  <c r="S354" i="3" s="1"/>
  <c r="W353" i="3"/>
  <c r="U353" i="3" l="1"/>
  <c r="Y352" i="3"/>
  <c r="T354" i="3"/>
  <c r="D354" i="3" l="1"/>
  <c r="G354" i="3" s="1"/>
  <c r="AH354" i="3"/>
  <c r="AG354" i="3"/>
  <c r="E354" i="3"/>
  <c r="H354" i="3" s="1"/>
  <c r="K354" i="3" l="1"/>
  <c r="AE354" i="3" s="1"/>
  <c r="I354" i="3"/>
  <c r="J354" i="3"/>
  <c r="M354" i="3"/>
  <c r="N354" i="3" s="1"/>
  <c r="F354" i="3"/>
  <c r="L354" i="3" l="1"/>
  <c r="V354" i="3"/>
  <c r="W354" i="3" s="1"/>
  <c r="A355" i="3"/>
  <c r="B355" i="3" s="1"/>
  <c r="AD355" i="3" l="1"/>
  <c r="AA355" i="3"/>
  <c r="P355" i="3"/>
  <c r="Q355" i="3" s="1"/>
  <c r="R355" i="3" s="1"/>
  <c r="S355" i="3" s="1"/>
  <c r="AC355" i="3"/>
  <c r="Z355" i="3"/>
  <c r="U354" i="3"/>
  <c r="Y353" i="3"/>
  <c r="T355" i="3" l="1"/>
  <c r="E355" i="3" s="1"/>
  <c r="H355" i="3" s="1"/>
  <c r="AG355" i="3" l="1"/>
  <c r="AH355" i="3"/>
  <c r="D355" i="3"/>
  <c r="F355" i="3" s="1"/>
  <c r="K355" i="3"/>
  <c r="AE355" i="3" s="1"/>
  <c r="G355" i="3" l="1"/>
  <c r="M355" i="3" s="1"/>
  <c r="N355" i="3" s="1"/>
  <c r="V355" i="3"/>
  <c r="A356" i="3"/>
  <c r="B356" i="3" s="1"/>
  <c r="J355" i="3" l="1"/>
  <c r="L355" i="3" s="1"/>
  <c r="I355" i="3"/>
  <c r="W355" i="3" s="1"/>
  <c r="AC356" i="3"/>
  <c r="P356" i="3"/>
  <c r="Q356" i="3" s="1"/>
  <c r="R356" i="3" s="1"/>
  <c r="S356" i="3" s="1"/>
  <c r="AA356" i="3"/>
  <c r="AD356" i="3"/>
  <c r="Z356" i="3"/>
  <c r="T356" i="3" l="1"/>
  <c r="AH356" i="3" s="1"/>
  <c r="U355" i="3"/>
  <c r="Y354" i="3"/>
  <c r="AG356" i="3" l="1"/>
  <c r="E356" i="3"/>
  <c r="H356" i="3" s="1"/>
  <c r="K356" i="3" s="1"/>
  <c r="AE356" i="3" s="1"/>
  <c r="D356" i="3"/>
  <c r="F356" i="3" l="1"/>
  <c r="G356" i="3"/>
  <c r="I356" i="3" s="1"/>
  <c r="V356" i="3"/>
  <c r="A357" i="3"/>
  <c r="B357" i="3" s="1"/>
  <c r="M356" i="3" l="1"/>
  <c r="N356" i="3" s="1"/>
  <c r="J356" i="3"/>
  <c r="L356" i="3" s="1"/>
  <c r="AC357" i="3"/>
  <c r="AA357" i="3"/>
  <c r="P357" i="3"/>
  <c r="Q357" i="3" s="1"/>
  <c r="R357" i="3" s="1"/>
  <c r="S357" i="3" s="1"/>
  <c r="AD357" i="3"/>
  <c r="Z357" i="3"/>
  <c r="W356" i="3"/>
  <c r="T357" i="3" l="1"/>
  <c r="AG357" i="3" s="1"/>
  <c r="U356" i="3"/>
  <c r="Y355" i="3"/>
  <c r="AH357" i="3" l="1"/>
  <c r="D357" i="3"/>
  <c r="G357" i="3" s="1"/>
  <c r="E357" i="3"/>
  <c r="H357" i="3" s="1"/>
  <c r="K357" i="3" s="1"/>
  <c r="AE357" i="3" s="1"/>
  <c r="F357" i="3" l="1"/>
  <c r="V357" i="3"/>
  <c r="A358" i="3"/>
  <c r="B358" i="3" s="1"/>
  <c r="I357" i="3"/>
  <c r="J357" i="3"/>
  <c r="M357" i="3"/>
  <c r="N357" i="3" s="1"/>
  <c r="L357" i="3" l="1"/>
  <c r="W357" i="3"/>
  <c r="AC358" i="3"/>
  <c r="Z358" i="3"/>
  <c r="AA358" i="3"/>
  <c r="AD358" i="3"/>
  <c r="P358" i="3"/>
  <c r="Q358" i="3" s="1"/>
  <c r="R358" i="3" s="1"/>
  <c r="S358" i="3" s="1"/>
  <c r="T358" i="3" l="1"/>
  <c r="AG358" i="3" s="1"/>
  <c r="U357" i="3"/>
  <c r="Y356" i="3"/>
  <c r="D358" i="3" l="1"/>
  <c r="G358" i="3" s="1"/>
  <c r="AH358" i="3"/>
  <c r="E358" i="3"/>
  <c r="H358" i="3" s="1"/>
  <c r="K358" i="3" l="1"/>
  <c r="AE358" i="3" s="1"/>
  <c r="I358" i="3"/>
  <c r="J358" i="3"/>
  <c r="M358" i="3"/>
  <c r="N358" i="3" s="1"/>
  <c r="F358" i="3"/>
  <c r="L358" i="3" l="1"/>
  <c r="V358" i="3"/>
  <c r="W358" i="3" s="1"/>
  <c r="A359" i="3"/>
  <c r="B359" i="3" s="1"/>
  <c r="AC359" i="3" l="1"/>
  <c r="AA359" i="3"/>
  <c r="Z359" i="3"/>
  <c r="AD359" i="3"/>
  <c r="P359" i="3"/>
  <c r="Q359" i="3" s="1"/>
  <c r="R359" i="3" s="1"/>
  <c r="S359" i="3" s="1"/>
  <c r="U358" i="3"/>
  <c r="Y357" i="3"/>
  <c r="T359" i="3" l="1"/>
  <c r="D359" i="3" s="1"/>
  <c r="E359" i="3" l="1"/>
  <c r="H359" i="3" s="1"/>
  <c r="K359" i="3" s="1"/>
  <c r="AE359" i="3" s="1"/>
  <c r="AG359" i="3"/>
  <c r="AH359" i="3"/>
  <c r="G359" i="3"/>
  <c r="F359" i="3" l="1"/>
  <c r="I359" i="3"/>
  <c r="J359" i="3"/>
  <c r="M359" i="3"/>
  <c r="N359" i="3" s="1"/>
  <c r="V359" i="3"/>
  <c r="A360" i="3"/>
  <c r="B360" i="3" s="1"/>
  <c r="W359" i="3" l="1"/>
  <c r="Z360" i="3"/>
  <c r="P360" i="3"/>
  <c r="Q360" i="3" s="1"/>
  <c r="R360" i="3" s="1"/>
  <c r="S360" i="3" s="1"/>
  <c r="AC360" i="3"/>
  <c r="AA360" i="3"/>
  <c r="AD360" i="3"/>
  <c r="L359" i="3"/>
  <c r="T360" i="3" l="1"/>
  <c r="AH360" i="3" s="1"/>
  <c r="U359" i="3"/>
  <c r="Y358" i="3"/>
  <c r="D360" i="3" l="1"/>
  <c r="G360" i="3" s="1"/>
  <c r="AG360" i="3"/>
  <c r="E360" i="3"/>
  <c r="H360" i="3" s="1"/>
  <c r="K360" i="3" l="1"/>
  <c r="AE360" i="3" s="1"/>
  <c r="I360" i="3"/>
  <c r="J360" i="3"/>
  <c r="M360" i="3"/>
  <c r="N360" i="3" s="1"/>
  <c r="F360" i="3"/>
  <c r="L360" i="3" l="1"/>
  <c r="V360" i="3"/>
  <c r="W360" i="3" s="1"/>
  <c r="A361" i="3"/>
  <c r="B361" i="3" s="1"/>
  <c r="Z361" i="3" l="1"/>
  <c r="AC361" i="3"/>
  <c r="AD361" i="3"/>
  <c r="P361" i="3"/>
  <c r="Q361" i="3" s="1"/>
  <c r="R361" i="3" s="1"/>
  <c r="S361" i="3" s="1"/>
  <c r="AA361" i="3"/>
  <c r="U360" i="3"/>
  <c r="Y359" i="3"/>
  <c r="T361" i="3" l="1"/>
  <c r="AH361" i="3" s="1"/>
  <c r="AG361" i="3" l="1"/>
  <c r="D361" i="3"/>
  <c r="E361" i="3"/>
  <c r="H361" i="3" s="1"/>
  <c r="K361" i="3" l="1"/>
  <c r="AE361" i="3" s="1"/>
  <c r="F361" i="3"/>
  <c r="G361" i="3"/>
  <c r="I361" i="3" l="1"/>
  <c r="J361" i="3"/>
  <c r="M361" i="3"/>
  <c r="N361" i="3" s="1"/>
  <c r="V361" i="3"/>
  <c r="A362" i="3"/>
  <c r="B362" i="3" s="1"/>
  <c r="W361" i="3" l="1"/>
  <c r="Z362" i="3"/>
  <c r="AD362" i="3"/>
  <c r="AC362" i="3"/>
  <c r="AA362" i="3"/>
  <c r="P362" i="3"/>
  <c r="Q362" i="3" s="1"/>
  <c r="R362" i="3" s="1"/>
  <c r="S362" i="3" s="1"/>
  <c r="L361" i="3"/>
  <c r="T362" i="3" l="1"/>
  <c r="AG362" i="3" s="1"/>
  <c r="U361" i="3"/>
  <c r="Y360" i="3"/>
  <c r="E362" i="3" l="1"/>
  <c r="H362" i="3" s="1"/>
  <c r="K362" i="3" s="1"/>
  <c r="AE362" i="3" s="1"/>
  <c r="AH362" i="3"/>
  <c r="D362" i="3"/>
  <c r="F362" i="3" l="1"/>
  <c r="G362" i="3"/>
  <c r="I362" i="3" s="1"/>
  <c r="V362" i="3"/>
  <c r="A363" i="3"/>
  <c r="B363" i="3" s="1"/>
  <c r="M362" i="3" l="1"/>
  <c r="N362" i="3" s="1"/>
  <c r="J362" i="3"/>
  <c r="L362" i="3" s="1"/>
  <c r="W362" i="3"/>
  <c r="AC363" i="3"/>
  <c r="Z363" i="3"/>
  <c r="P363" i="3"/>
  <c r="Q363" i="3" s="1"/>
  <c r="R363" i="3" s="1"/>
  <c r="S363" i="3" s="1"/>
  <c r="AA363" i="3"/>
  <c r="AD363" i="3"/>
  <c r="U362" i="3" l="1"/>
  <c r="Y361" i="3"/>
  <c r="T363" i="3"/>
  <c r="D363" i="3" l="1"/>
  <c r="G363" i="3" s="1"/>
  <c r="E363" i="3"/>
  <c r="H363" i="3" s="1"/>
  <c r="AH363" i="3"/>
  <c r="AG363" i="3"/>
  <c r="I363" i="3" l="1"/>
  <c r="J363" i="3"/>
  <c r="M363" i="3"/>
  <c r="N363" i="3" s="1"/>
  <c r="K363" i="3"/>
  <c r="AE363" i="3" s="1"/>
  <c r="F363" i="3"/>
  <c r="V363" i="3" l="1"/>
  <c r="W363" i="3" s="1"/>
  <c r="A364" i="3"/>
  <c r="B364" i="3" s="1"/>
  <c r="L363" i="3"/>
  <c r="U363" i="3" l="1"/>
  <c r="Y362" i="3"/>
  <c r="AC364" i="3"/>
  <c r="Z364" i="3"/>
  <c r="AD364" i="3"/>
  <c r="AA364" i="3"/>
  <c r="P364" i="3"/>
  <c r="Q364" i="3" s="1"/>
  <c r="R364" i="3" s="1"/>
  <c r="S364" i="3" s="1"/>
  <c r="T364" i="3" l="1"/>
  <c r="AG364" i="3" s="1"/>
  <c r="D364" i="3" l="1"/>
  <c r="G364" i="3" s="1"/>
  <c r="AH364" i="3"/>
  <c r="E364" i="3"/>
  <c r="H364" i="3" s="1"/>
  <c r="K364" i="3" s="1"/>
  <c r="AE364" i="3" s="1"/>
  <c r="F364" i="3" l="1"/>
  <c r="V364" i="3"/>
  <c r="A365" i="3"/>
  <c r="B365" i="3" s="1"/>
  <c r="I364" i="3"/>
  <c r="J364" i="3"/>
  <c r="M364" i="3"/>
  <c r="N364" i="3" s="1"/>
  <c r="L364" i="3" l="1"/>
  <c r="AD365" i="3"/>
  <c r="AA365" i="3"/>
  <c r="Z365" i="3"/>
  <c r="AC365" i="3"/>
  <c r="P365" i="3"/>
  <c r="Q365" i="3" s="1"/>
  <c r="R365" i="3" s="1"/>
  <c r="S365" i="3" s="1"/>
  <c r="W364" i="3"/>
  <c r="T365" i="3" l="1"/>
  <c r="AH365" i="3" s="1"/>
  <c r="U364" i="3"/>
  <c r="Y363" i="3"/>
  <c r="E365" i="3" l="1"/>
  <c r="H365" i="3" s="1"/>
  <c r="K365" i="3" s="1"/>
  <c r="AE365" i="3" s="1"/>
  <c r="AG365" i="3"/>
  <c r="D365" i="3"/>
  <c r="F365" i="3" l="1"/>
  <c r="G365" i="3"/>
  <c r="I365" i="3" s="1"/>
  <c r="V365" i="3"/>
  <c r="A366" i="3"/>
  <c r="B366" i="3" s="1"/>
  <c r="M365" i="3" l="1"/>
  <c r="N365" i="3" s="1"/>
  <c r="W365" i="3"/>
  <c r="J365" i="3"/>
  <c r="L365" i="3" s="1"/>
  <c r="AA366" i="3"/>
  <c r="AD366" i="3"/>
  <c r="P366" i="3"/>
  <c r="Q366" i="3" s="1"/>
  <c r="R366" i="3" s="1"/>
  <c r="S366" i="3" s="1"/>
  <c r="AC366" i="3"/>
  <c r="Z366" i="3"/>
  <c r="T366" i="3" l="1"/>
  <c r="AH366" i="3" s="1"/>
  <c r="U365" i="3"/>
  <c r="Y364" i="3"/>
  <c r="D366" i="3" l="1"/>
  <c r="G366" i="3" s="1"/>
  <c r="AG366" i="3"/>
  <c r="E366" i="3"/>
  <c r="H366" i="3" s="1"/>
  <c r="K366" i="3" s="1"/>
  <c r="AE366" i="3" s="1"/>
  <c r="F366" i="3" l="1"/>
  <c r="V366" i="3"/>
  <c r="A367" i="3"/>
  <c r="B367" i="3" s="1"/>
  <c r="I366" i="3"/>
  <c r="J366" i="3"/>
  <c r="M366" i="3"/>
  <c r="N366" i="3" s="1"/>
  <c r="Z367" i="3" l="1"/>
  <c r="P367" i="3"/>
  <c r="Q367" i="3" s="1"/>
  <c r="R367" i="3" s="1"/>
  <c r="S367" i="3" s="1"/>
  <c r="AA367" i="3"/>
  <c r="AD367" i="3"/>
  <c r="AC367" i="3"/>
  <c r="L366" i="3"/>
  <c r="W366" i="3"/>
  <c r="T367" i="3" l="1"/>
  <c r="AH367" i="3" s="1"/>
  <c r="U366" i="3"/>
  <c r="Y365" i="3"/>
  <c r="D367" i="3" l="1"/>
  <c r="G367" i="3" s="1"/>
  <c r="AG367" i="3"/>
  <c r="E367" i="3"/>
  <c r="H367" i="3" s="1"/>
  <c r="K367" i="3" s="1"/>
  <c r="AE367" i="3" s="1"/>
  <c r="F367" i="3" l="1"/>
  <c r="I367" i="3"/>
  <c r="J367" i="3"/>
  <c r="M367" i="3"/>
  <c r="N367" i="3" s="1"/>
  <c r="V367" i="3"/>
  <c r="A368" i="3"/>
  <c r="B368" i="3" s="1"/>
  <c r="W367" i="3" l="1"/>
  <c r="AD368" i="3"/>
  <c r="AA368" i="3"/>
  <c r="AC368" i="3"/>
  <c r="Z368" i="3"/>
  <c r="P368" i="3"/>
  <c r="Q368" i="3" s="1"/>
  <c r="R368" i="3" s="1"/>
  <c r="S368" i="3" s="1"/>
  <c r="L367" i="3"/>
  <c r="T368" i="3" l="1"/>
  <c r="AH368" i="3" s="1"/>
  <c r="U367" i="3"/>
  <c r="Y366" i="3"/>
  <c r="D368" i="3" l="1"/>
  <c r="G368" i="3" s="1"/>
  <c r="AG368" i="3"/>
  <c r="E368" i="3"/>
  <c r="H368" i="3" s="1"/>
  <c r="K368" i="3" l="1"/>
  <c r="AE368" i="3" s="1"/>
  <c r="I368" i="3"/>
  <c r="J368" i="3"/>
  <c r="M368" i="3"/>
  <c r="N368" i="3" s="1"/>
  <c r="F368" i="3"/>
  <c r="L368" i="3" l="1"/>
  <c r="V368" i="3"/>
  <c r="W368" i="3" s="1"/>
  <c r="A369" i="3"/>
  <c r="B369" i="3" s="1"/>
  <c r="Z369" i="3" l="1"/>
  <c r="AD369" i="3"/>
  <c r="P369" i="3"/>
  <c r="Q369" i="3" s="1"/>
  <c r="R369" i="3" s="1"/>
  <c r="S369" i="3" s="1"/>
  <c r="AC369" i="3"/>
  <c r="AA369" i="3"/>
  <c r="U368" i="3"/>
  <c r="Y367" i="3"/>
  <c r="T369" i="3" l="1"/>
  <c r="AG369" i="3" s="1"/>
  <c r="E369" i="3" l="1"/>
  <c r="H369" i="3" s="1"/>
  <c r="K369" i="3" s="1"/>
  <c r="AE369" i="3" s="1"/>
  <c r="AH369" i="3"/>
  <c r="D369" i="3"/>
  <c r="F369" i="3" l="1"/>
  <c r="G369" i="3"/>
  <c r="V369" i="3"/>
  <c r="A370" i="3"/>
  <c r="B370" i="3" s="1"/>
  <c r="AA370" i="3" l="1"/>
  <c r="Z370" i="3"/>
  <c r="P370" i="3"/>
  <c r="Q370" i="3" s="1"/>
  <c r="R370" i="3" s="1"/>
  <c r="S370" i="3" s="1"/>
  <c r="AD370" i="3"/>
  <c r="AC370" i="3"/>
  <c r="I369" i="3"/>
  <c r="W369" i="3" s="1"/>
  <c r="J369" i="3"/>
  <c r="M369" i="3"/>
  <c r="N369" i="3" s="1"/>
  <c r="L369" i="3" l="1"/>
  <c r="T370" i="3"/>
  <c r="U369" i="3" l="1"/>
  <c r="E370" i="3" s="1"/>
  <c r="H370" i="3" s="1"/>
  <c r="AG370" i="3"/>
  <c r="AH370" i="3"/>
  <c r="Y368" i="3"/>
  <c r="D370" i="3" l="1"/>
  <c r="F370" i="3" s="1"/>
  <c r="K370" i="3"/>
  <c r="AE370" i="3" s="1"/>
  <c r="G370" i="3" l="1"/>
  <c r="I370" i="3" s="1"/>
  <c r="V370" i="3"/>
  <c r="A371" i="3"/>
  <c r="B371" i="3" s="1"/>
  <c r="J370" i="3" l="1"/>
  <c r="L370" i="3" s="1"/>
  <c r="M370" i="3"/>
  <c r="N370" i="3" s="1"/>
  <c r="Z371" i="3"/>
  <c r="P371" i="3"/>
  <c r="Q371" i="3" s="1"/>
  <c r="R371" i="3" s="1"/>
  <c r="S371" i="3" s="1"/>
  <c r="AD371" i="3"/>
  <c r="AC371" i="3"/>
  <c r="AA371" i="3"/>
  <c r="W370" i="3"/>
  <c r="T371" i="3" l="1"/>
  <c r="AG371" i="3" s="1"/>
  <c r="U370" i="3"/>
  <c r="Y369" i="3"/>
  <c r="D371" i="3" l="1"/>
  <c r="G371" i="3" s="1"/>
  <c r="AH371" i="3"/>
  <c r="E371" i="3"/>
  <c r="H371" i="3" s="1"/>
  <c r="K371" i="3" l="1"/>
  <c r="AE371" i="3" s="1"/>
  <c r="I371" i="3"/>
  <c r="J371" i="3"/>
  <c r="M371" i="3"/>
  <c r="N371" i="3" s="1"/>
  <c r="F371" i="3"/>
  <c r="L371" i="3" l="1"/>
  <c r="V371" i="3"/>
  <c r="W371" i="3" s="1"/>
  <c r="A372" i="3"/>
  <c r="B372" i="3" s="1"/>
  <c r="AD372" i="3" l="1"/>
  <c r="P372" i="3"/>
  <c r="Q372" i="3" s="1"/>
  <c r="R372" i="3" s="1"/>
  <c r="S372" i="3" s="1"/>
  <c r="Z372" i="3"/>
  <c r="AA372" i="3"/>
  <c r="AC372" i="3"/>
  <c r="U371" i="3"/>
  <c r="Y370" i="3"/>
  <c r="T372" i="3" l="1"/>
  <c r="AH372" i="3" s="1"/>
  <c r="D372" i="3" l="1"/>
  <c r="G372" i="3" s="1"/>
  <c r="E372" i="3"/>
  <c r="H372" i="3" s="1"/>
  <c r="K372" i="3" s="1"/>
  <c r="AE372" i="3" s="1"/>
  <c r="AG372" i="3"/>
  <c r="F372" i="3" l="1"/>
  <c r="V372" i="3"/>
  <c r="A373" i="3"/>
  <c r="B373" i="3" s="1"/>
  <c r="I372" i="3"/>
  <c r="J372" i="3"/>
  <c r="M372" i="3"/>
  <c r="N372" i="3" s="1"/>
  <c r="L372" i="3" l="1"/>
  <c r="P373" i="3"/>
  <c r="Q373" i="3" s="1"/>
  <c r="R373" i="3" s="1"/>
  <c r="S373" i="3" s="1"/>
  <c r="AD373" i="3"/>
  <c r="AA373" i="3"/>
  <c r="Z373" i="3"/>
  <c r="AC373" i="3"/>
  <c r="W372" i="3"/>
  <c r="T373" i="3" l="1"/>
  <c r="AH373" i="3" s="1"/>
  <c r="U372" i="3"/>
  <c r="Y371" i="3"/>
  <c r="D373" i="3" l="1"/>
  <c r="G373" i="3" s="1"/>
  <c r="E373" i="3"/>
  <c r="H373" i="3" s="1"/>
  <c r="K373" i="3" s="1"/>
  <c r="AE373" i="3" s="1"/>
  <c r="AG373" i="3"/>
  <c r="F373" i="3" l="1"/>
  <c r="I373" i="3"/>
  <c r="J373" i="3"/>
  <c r="M373" i="3"/>
  <c r="N373" i="3" s="1"/>
  <c r="V373" i="3"/>
  <c r="A374" i="3"/>
  <c r="B374" i="3" s="1"/>
  <c r="W373" i="3" l="1"/>
  <c r="AC374" i="3"/>
  <c r="AA374" i="3"/>
  <c r="AD374" i="3"/>
  <c r="Z374" i="3"/>
  <c r="P374" i="3"/>
  <c r="Q374" i="3" s="1"/>
  <c r="R374" i="3" s="1"/>
  <c r="S374" i="3" s="1"/>
  <c r="L373" i="3"/>
  <c r="T374" i="3" l="1"/>
  <c r="AG374" i="3" s="1"/>
  <c r="U373" i="3"/>
  <c r="Y372" i="3"/>
  <c r="E374" i="3" l="1"/>
  <c r="H374" i="3" s="1"/>
  <c r="K374" i="3" s="1"/>
  <c r="AE374" i="3" s="1"/>
  <c r="AH374" i="3"/>
  <c r="D374" i="3"/>
  <c r="F374" i="3" l="1"/>
  <c r="G374" i="3"/>
  <c r="I374" i="3" s="1"/>
  <c r="V374" i="3"/>
  <c r="A375" i="3"/>
  <c r="B375" i="3" s="1"/>
  <c r="M374" i="3" l="1"/>
  <c r="N374" i="3" s="1"/>
  <c r="J374" i="3"/>
  <c r="L374" i="3" s="1"/>
  <c r="AD375" i="3"/>
  <c r="P375" i="3"/>
  <c r="Q375" i="3" s="1"/>
  <c r="R375" i="3" s="1"/>
  <c r="S375" i="3" s="1"/>
  <c r="AC375" i="3"/>
  <c r="Z375" i="3"/>
  <c r="AA375" i="3"/>
  <c r="W374" i="3"/>
  <c r="T375" i="3" l="1"/>
  <c r="AG375" i="3" s="1"/>
  <c r="U374" i="3"/>
  <c r="Y373" i="3"/>
  <c r="AH375" i="3" l="1"/>
  <c r="E375" i="3"/>
  <c r="H375" i="3" s="1"/>
  <c r="K375" i="3" s="1"/>
  <c r="AE375" i="3" s="1"/>
  <c r="D375" i="3"/>
  <c r="F375" i="3" l="1"/>
  <c r="G375" i="3"/>
  <c r="J375" i="3" s="1"/>
  <c r="V375" i="3"/>
  <c r="A376" i="3"/>
  <c r="B376" i="3" s="1"/>
  <c r="M375" i="3" l="1"/>
  <c r="N375" i="3" s="1"/>
  <c r="I375" i="3"/>
  <c r="W375" i="3" s="1"/>
  <c r="Z376" i="3"/>
  <c r="AD376" i="3"/>
  <c r="P376" i="3"/>
  <c r="Q376" i="3" s="1"/>
  <c r="R376" i="3" s="1"/>
  <c r="S376" i="3" s="1"/>
  <c r="AC376" i="3"/>
  <c r="AA376" i="3"/>
  <c r="L375" i="3"/>
  <c r="U375" i="3" l="1"/>
  <c r="Y374" i="3"/>
  <c r="T376" i="3"/>
  <c r="D376" i="3" l="1"/>
  <c r="G376" i="3" s="1"/>
  <c r="E376" i="3"/>
  <c r="H376" i="3" s="1"/>
  <c r="K376" i="3" s="1"/>
  <c r="AE376" i="3" s="1"/>
  <c r="AH376" i="3"/>
  <c r="AG376" i="3"/>
  <c r="F376" i="3" l="1"/>
  <c r="I376" i="3"/>
  <c r="J376" i="3"/>
  <c r="M376" i="3"/>
  <c r="N376" i="3" s="1"/>
  <c r="V376" i="3"/>
  <c r="A377" i="3"/>
  <c r="B377" i="3" s="1"/>
  <c r="W376" i="3" l="1"/>
  <c r="AD377" i="3"/>
  <c r="AC377" i="3"/>
  <c r="Z377" i="3"/>
  <c r="AA377" i="3"/>
  <c r="P377" i="3"/>
  <c r="Q377" i="3" s="1"/>
  <c r="R377" i="3" s="1"/>
  <c r="S377" i="3" s="1"/>
  <c r="L376" i="3"/>
  <c r="U376" i="3" l="1"/>
  <c r="Y375" i="3"/>
  <c r="T377" i="3"/>
  <c r="AG377" i="3" s="1"/>
  <c r="AH377" i="3" l="1"/>
  <c r="D377" i="3"/>
  <c r="G377" i="3" s="1"/>
  <c r="E377" i="3"/>
  <c r="H377" i="3" s="1"/>
  <c r="K377" i="3" s="1"/>
  <c r="AE377" i="3" s="1"/>
  <c r="F377" i="3" l="1"/>
  <c r="I377" i="3"/>
  <c r="J377" i="3"/>
  <c r="M377" i="3"/>
  <c r="N377" i="3" s="1"/>
  <c r="V377" i="3"/>
  <c r="A378" i="3"/>
  <c r="B378" i="3" s="1"/>
  <c r="W377" i="3" l="1"/>
  <c r="AC378" i="3"/>
  <c r="P378" i="3"/>
  <c r="Q378" i="3" s="1"/>
  <c r="R378" i="3" s="1"/>
  <c r="S378" i="3" s="1"/>
  <c r="AD378" i="3"/>
  <c r="Z378" i="3"/>
  <c r="AA378" i="3"/>
  <c r="L377" i="3"/>
  <c r="T378" i="3" l="1"/>
  <c r="AH378" i="3" s="1"/>
  <c r="U377" i="3"/>
  <c r="Y376" i="3"/>
  <c r="D378" i="3" l="1"/>
  <c r="AG378" i="3"/>
  <c r="E378" i="3"/>
  <c r="H378" i="3" s="1"/>
  <c r="K378" i="3" s="1"/>
  <c r="AE378" i="3" s="1"/>
  <c r="F378" i="3" l="1"/>
  <c r="G378" i="3"/>
  <c r="I378" i="3" s="1"/>
  <c r="V378" i="3"/>
  <c r="A379" i="3"/>
  <c r="B379" i="3" s="1"/>
  <c r="M378" i="3" l="1"/>
  <c r="N378" i="3" s="1"/>
  <c r="J378" i="3"/>
  <c r="L378" i="3" s="1"/>
  <c r="AD379" i="3"/>
  <c r="Z379" i="3"/>
  <c r="AC379" i="3"/>
  <c r="AA379" i="3"/>
  <c r="P379" i="3"/>
  <c r="Q379" i="3" s="1"/>
  <c r="R379" i="3" s="1"/>
  <c r="S379" i="3" s="1"/>
  <c r="W378" i="3"/>
  <c r="T379" i="3" l="1"/>
  <c r="AH379" i="3" s="1"/>
  <c r="U378" i="3"/>
  <c r="Y377" i="3"/>
  <c r="AG379" i="3" l="1"/>
  <c r="E379" i="3"/>
  <c r="H379" i="3" s="1"/>
  <c r="K379" i="3" s="1"/>
  <c r="AE379" i="3" s="1"/>
  <c r="D379" i="3"/>
  <c r="G379" i="3" s="1"/>
  <c r="F379" i="3" l="1"/>
  <c r="V379" i="3"/>
  <c r="A380" i="3"/>
  <c r="B380" i="3" s="1"/>
  <c r="I379" i="3"/>
  <c r="J379" i="3"/>
  <c r="M379" i="3"/>
  <c r="N379" i="3" s="1"/>
  <c r="AA380" i="3" l="1"/>
  <c r="Z380" i="3"/>
  <c r="P380" i="3"/>
  <c r="Q380" i="3" s="1"/>
  <c r="R380" i="3" s="1"/>
  <c r="S380" i="3" s="1"/>
  <c r="AC380" i="3"/>
  <c r="AD380" i="3"/>
  <c r="L379" i="3"/>
  <c r="W379" i="3"/>
  <c r="T380" i="3" l="1"/>
  <c r="AH380" i="3" s="1"/>
  <c r="U379" i="3"/>
  <c r="Y378" i="3"/>
  <c r="AG380" i="3" l="1"/>
  <c r="D380" i="3"/>
  <c r="G380" i="3" s="1"/>
  <c r="E380" i="3"/>
  <c r="H380" i="3" s="1"/>
  <c r="K380" i="3" l="1"/>
  <c r="AE380" i="3" s="1"/>
  <c r="I380" i="3"/>
  <c r="J380" i="3"/>
  <c r="M380" i="3"/>
  <c r="N380" i="3" s="1"/>
  <c r="F380" i="3"/>
  <c r="L380" i="3" l="1"/>
  <c r="V380" i="3"/>
  <c r="W380" i="3" s="1"/>
  <c r="A381" i="3"/>
  <c r="B381" i="3" s="1"/>
  <c r="AC381" i="3" l="1"/>
  <c r="P381" i="3"/>
  <c r="Q381" i="3" s="1"/>
  <c r="R381" i="3" s="1"/>
  <c r="S381" i="3" s="1"/>
  <c r="AA381" i="3"/>
  <c r="AD381" i="3"/>
  <c r="Z381" i="3"/>
  <c r="U380" i="3"/>
  <c r="Y379" i="3"/>
  <c r="T381" i="3" l="1"/>
  <c r="AH381" i="3" s="1"/>
  <c r="AG381" i="3" l="1"/>
  <c r="D381" i="3"/>
  <c r="G381" i="3" s="1"/>
  <c r="E381" i="3"/>
  <c r="H381" i="3" s="1"/>
  <c r="K381" i="3" l="1"/>
  <c r="AE381" i="3" s="1"/>
  <c r="I381" i="3"/>
  <c r="J381" i="3"/>
  <c r="M381" i="3"/>
  <c r="N381" i="3" s="1"/>
  <c r="F381" i="3"/>
  <c r="L381" i="3" l="1"/>
  <c r="V381" i="3"/>
  <c r="W381" i="3" s="1"/>
  <c r="A382" i="3"/>
  <c r="B382" i="3" s="1"/>
  <c r="AD382" i="3" l="1"/>
  <c r="Z382" i="3"/>
  <c r="AC382" i="3"/>
  <c r="P382" i="3"/>
  <c r="Q382" i="3" s="1"/>
  <c r="R382" i="3" s="1"/>
  <c r="S382" i="3" s="1"/>
  <c r="AA382" i="3"/>
  <c r="U381" i="3"/>
  <c r="Y380" i="3"/>
  <c r="T382" i="3" l="1"/>
  <c r="D382" i="3" s="1"/>
  <c r="E382" i="3" l="1"/>
  <c r="H382" i="3" s="1"/>
  <c r="K382" i="3" s="1"/>
  <c r="AE382" i="3" s="1"/>
  <c r="AH382" i="3"/>
  <c r="AG382" i="3"/>
  <c r="G382" i="3"/>
  <c r="F382" i="3" l="1"/>
  <c r="V382" i="3"/>
  <c r="A383" i="3"/>
  <c r="B383" i="3" s="1"/>
  <c r="I382" i="3"/>
  <c r="J382" i="3"/>
  <c r="M382" i="3"/>
  <c r="N382" i="3" s="1"/>
  <c r="Z383" i="3" l="1"/>
  <c r="AD383" i="3"/>
  <c r="AA383" i="3"/>
  <c r="AC383" i="3"/>
  <c r="P383" i="3"/>
  <c r="Q383" i="3" s="1"/>
  <c r="R383" i="3" s="1"/>
  <c r="S383" i="3" s="1"/>
  <c r="L382" i="3"/>
  <c r="W382" i="3"/>
  <c r="T383" i="3" l="1"/>
  <c r="AH383" i="3" s="1"/>
  <c r="U382" i="3"/>
  <c r="Y381" i="3"/>
  <c r="AG383" i="3" l="1"/>
  <c r="E383" i="3"/>
  <c r="H383" i="3" s="1"/>
  <c r="K383" i="3" s="1"/>
  <c r="AE383" i="3" s="1"/>
  <c r="D383" i="3"/>
  <c r="G383" i="3" s="1"/>
  <c r="F383" i="3" l="1"/>
  <c r="I383" i="3"/>
  <c r="J383" i="3"/>
  <c r="M383" i="3"/>
  <c r="N383" i="3" s="1"/>
  <c r="V383" i="3"/>
  <c r="A384" i="3"/>
  <c r="B384" i="3" s="1"/>
  <c r="W383" i="3" l="1"/>
  <c r="P384" i="3"/>
  <c r="Q384" i="3" s="1"/>
  <c r="R384" i="3" s="1"/>
  <c r="S384" i="3" s="1"/>
  <c r="Z384" i="3"/>
  <c r="AD384" i="3"/>
  <c r="AC384" i="3"/>
  <c r="AA384" i="3"/>
  <c r="L383" i="3"/>
  <c r="T384" i="3" l="1"/>
  <c r="AG384" i="3" s="1"/>
  <c r="U383" i="3"/>
  <c r="Y382" i="3"/>
  <c r="D384" i="3" l="1"/>
  <c r="G384" i="3" s="1"/>
  <c r="AH384" i="3"/>
  <c r="E384" i="3"/>
  <c r="H384" i="3" s="1"/>
  <c r="K384" i="3" s="1"/>
  <c r="AE384" i="3" s="1"/>
  <c r="F384" i="3" l="1"/>
  <c r="V384" i="3"/>
  <c r="A385" i="3"/>
  <c r="B385" i="3" s="1"/>
  <c r="I384" i="3"/>
  <c r="J384" i="3"/>
  <c r="M384" i="3"/>
  <c r="N384" i="3" s="1"/>
  <c r="AD385" i="3" l="1"/>
  <c r="AC385" i="3"/>
  <c r="Z385" i="3"/>
  <c r="AA385" i="3"/>
  <c r="P385" i="3"/>
  <c r="Q385" i="3" s="1"/>
  <c r="R385" i="3" s="1"/>
  <c r="S385" i="3" s="1"/>
  <c r="L384" i="3"/>
  <c r="W384" i="3"/>
  <c r="U384" i="3" l="1"/>
  <c r="Y383" i="3"/>
  <c r="T385" i="3"/>
  <c r="D385" i="3" l="1"/>
  <c r="G385" i="3" s="1"/>
  <c r="E385" i="3"/>
  <c r="H385" i="3" s="1"/>
  <c r="K385" i="3" s="1"/>
  <c r="AE385" i="3" s="1"/>
  <c r="AG385" i="3"/>
  <c r="AH385" i="3"/>
  <c r="F385" i="3" l="1"/>
  <c r="V385" i="3"/>
  <c r="A386" i="3"/>
  <c r="B386" i="3" s="1"/>
  <c r="I385" i="3"/>
  <c r="J385" i="3"/>
  <c r="M385" i="3"/>
  <c r="N385" i="3" s="1"/>
  <c r="L385" i="3" l="1"/>
  <c r="AC386" i="3"/>
  <c r="P386" i="3"/>
  <c r="Q386" i="3" s="1"/>
  <c r="R386" i="3" s="1"/>
  <c r="S386" i="3" s="1"/>
  <c r="Z386" i="3"/>
  <c r="AA386" i="3"/>
  <c r="AD386" i="3"/>
  <c r="W385" i="3"/>
  <c r="T386" i="3" l="1"/>
  <c r="AG386" i="3" s="1"/>
  <c r="U385" i="3"/>
  <c r="Y384" i="3"/>
  <c r="AH386" i="3" l="1"/>
  <c r="E386" i="3"/>
  <c r="H386" i="3" s="1"/>
  <c r="K386" i="3" s="1"/>
  <c r="AE386" i="3" s="1"/>
  <c r="D386" i="3"/>
  <c r="F386" i="3" l="1"/>
  <c r="G386" i="3"/>
  <c r="I386" i="3" s="1"/>
  <c r="V386" i="3"/>
  <c r="A387" i="3"/>
  <c r="B387" i="3" s="1"/>
  <c r="M386" i="3" l="1"/>
  <c r="N386" i="3" s="1"/>
  <c r="J386" i="3"/>
  <c r="L386" i="3" s="1"/>
  <c r="W386" i="3"/>
  <c r="AC387" i="3"/>
  <c r="AA387" i="3"/>
  <c r="Z387" i="3"/>
  <c r="AD387" i="3"/>
  <c r="P387" i="3"/>
  <c r="Q387" i="3" s="1"/>
  <c r="R387" i="3" s="1"/>
  <c r="S387" i="3" s="1"/>
  <c r="T387" i="3" l="1"/>
  <c r="AH387" i="3" s="1"/>
  <c r="U386" i="3"/>
  <c r="Y385" i="3"/>
  <c r="D387" i="3" l="1"/>
  <c r="G387" i="3" s="1"/>
  <c r="AG387" i="3"/>
  <c r="E387" i="3"/>
  <c r="H387" i="3" s="1"/>
  <c r="K387" i="3" s="1"/>
  <c r="AE387" i="3" s="1"/>
  <c r="F387" i="3" l="1"/>
  <c r="I387" i="3"/>
  <c r="J387" i="3"/>
  <c r="M387" i="3"/>
  <c r="N387" i="3" s="1"/>
  <c r="V387" i="3"/>
  <c r="A388" i="3"/>
  <c r="B388" i="3" s="1"/>
  <c r="W387" i="3" l="1"/>
  <c r="AA388" i="3"/>
  <c r="Z388" i="3"/>
  <c r="P388" i="3"/>
  <c r="Q388" i="3" s="1"/>
  <c r="R388" i="3" s="1"/>
  <c r="S388" i="3" s="1"/>
  <c r="AC388" i="3"/>
  <c r="AD388" i="3"/>
  <c r="L387" i="3"/>
  <c r="T388" i="3" l="1"/>
  <c r="AH388" i="3" s="1"/>
  <c r="U387" i="3"/>
  <c r="Y386" i="3"/>
  <c r="AG388" i="3" l="1"/>
  <c r="E388" i="3"/>
  <c r="H388" i="3" s="1"/>
  <c r="K388" i="3" s="1"/>
  <c r="AE388" i="3" s="1"/>
  <c r="D388" i="3"/>
  <c r="G388" i="3" s="1"/>
  <c r="F388" i="3" l="1"/>
  <c r="I388" i="3"/>
  <c r="J388" i="3"/>
  <c r="M388" i="3"/>
  <c r="N388" i="3" s="1"/>
  <c r="V388" i="3"/>
  <c r="A389" i="3"/>
  <c r="B389" i="3" s="1"/>
  <c r="W388" i="3" l="1"/>
  <c r="AA389" i="3"/>
  <c r="AD389" i="3"/>
  <c r="AC389" i="3"/>
  <c r="Z389" i="3"/>
  <c r="P389" i="3"/>
  <c r="Q389" i="3" s="1"/>
  <c r="R389" i="3" s="1"/>
  <c r="S389" i="3" s="1"/>
  <c r="L388" i="3"/>
  <c r="T389" i="3" l="1"/>
  <c r="AH389" i="3" s="1"/>
  <c r="U388" i="3"/>
  <c r="Y387" i="3"/>
  <c r="AG389" i="3" l="1"/>
  <c r="E389" i="3"/>
  <c r="H389" i="3" s="1"/>
  <c r="K389" i="3" s="1"/>
  <c r="AE389" i="3" s="1"/>
  <c r="D389" i="3"/>
  <c r="F389" i="3" l="1"/>
  <c r="G389" i="3"/>
  <c r="I389" i="3" s="1"/>
  <c r="V389" i="3"/>
  <c r="A390" i="3"/>
  <c r="B390" i="3" s="1"/>
  <c r="M389" i="3" l="1"/>
  <c r="N389" i="3" s="1"/>
  <c r="J389" i="3"/>
  <c r="L389" i="3" s="1"/>
  <c r="W389" i="3"/>
  <c r="P390" i="3"/>
  <c r="Q390" i="3" s="1"/>
  <c r="R390" i="3" s="1"/>
  <c r="S390" i="3" s="1"/>
  <c r="AC390" i="3"/>
  <c r="Z390" i="3"/>
  <c r="AA390" i="3"/>
  <c r="AD390" i="3"/>
  <c r="T390" i="3" l="1"/>
  <c r="AG390" i="3" s="1"/>
  <c r="U389" i="3"/>
  <c r="Y388" i="3"/>
  <c r="D390" i="3" l="1"/>
  <c r="G390" i="3" s="1"/>
  <c r="AH390" i="3"/>
  <c r="E390" i="3"/>
  <c r="H390" i="3" s="1"/>
  <c r="K390" i="3" l="1"/>
  <c r="AE390" i="3" s="1"/>
  <c r="I390" i="3"/>
  <c r="J390" i="3"/>
  <c r="M390" i="3"/>
  <c r="N390" i="3" s="1"/>
  <c r="F390" i="3"/>
  <c r="L390" i="3" l="1"/>
  <c r="V390" i="3"/>
  <c r="W390" i="3" s="1"/>
  <c r="A391" i="3"/>
  <c r="B391" i="3" s="1"/>
  <c r="Z391" i="3" l="1"/>
  <c r="AC391" i="3"/>
  <c r="AA391" i="3"/>
  <c r="AD391" i="3"/>
  <c r="P391" i="3"/>
  <c r="Q391" i="3" s="1"/>
  <c r="R391" i="3" s="1"/>
  <c r="S391" i="3" s="1"/>
  <c r="U390" i="3"/>
  <c r="Y389" i="3"/>
  <c r="T391" i="3" l="1"/>
  <c r="E391" i="3" s="1"/>
  <c r="H391" i="3" s="1"/>
  <c r="AG391" i="3" l="1"/>
  <c r="AH391" i="3"/>
  <c r="D391" i="3"/>
  <c r="G391" i="3" s="1"/>
  <c r="K391" i="3"/>
  <c r="AE391" i="3" s="1"/>
  <c r="F391" i="3" l="1"/>
  <c r="I391" i="3"/>
  <c r="J391" i="3"/>
  <c r="M391" i="3"/>
  <c r="N391" i="3" s="1"/>
  <c r="V391" i="3"/>
  <c r="A392" i="3"/>
  <c r="B392" i="3" s="1"/>
  <c r="W391" i="3" l="1"/>
  <c r="P392" i="3"/>
  <c r="Q392" i="3" s="1"/>
  <c r="R392" i="3" s="1"/>
  <c r="S392" i="3" s="1"/>
  <c r="AD392" i="3"/>
  <c r="Z392" i="3"/>
  <c r="AA392" i="3"/>
  <c r="AC392" i="3"/>
  <c r="L391" i="3"/>
  <c r="T392" i="3" l="1"/>
  <c r="U391" i="3"/>
  <c r="Y390" i="3"/>
  <c r="D392" i="3" l="1"/>
  <c r="G392" i="3" s="1"/>
  <c r="E392" i="3"/>
  <c r="H392" i="3" s="1"/>
  <c r="K392" i="3" s="1"/>
  <c r="AE392" i="3" s="1"/>
  <c r="AH392" i="3"/>
  <c r="AG392" i="3"/>
  <c r="F392" i="3" l="1"/>
  <c r="V392" i="3"/>
  <c r="A393" i="3"/>
  <c r="B393" i="3" s="1"/>
  <c r="I392" i="3"/>
  <c r="J392" i="3"/>
  <c r="M392" i="3"/>
  <c r="N392" i="3" s="1"/>
  <c r="AC393" i="3" l="1"/>
  <c r="AD393" i="3"/>
  <c r="Z393" i="3"/>
  <c r="AA393" i="3"/>
  <c r="P393" i="3"/>
  <c r="Q393" i="3" s="1"/>
  <c r="R393" i="3" s="1"/>
  <c r="S393" i="3" s="1"/>
  <c r="L392" i="3"/>
  <c r="W392" i="3"/>
  <c r="U392" i="3" l="1"/>
  <c r="Y391" i="3"/>
  <c r="T393" i="3"/>
  <c r="E393" i="3" l="1"/>
  <c r="H393" i="3" s="1"/>
  <c r="K393" i="3" s="1"/>
  <c r="AE393" i="3" s="1"/>
  <c r="D393" i="3"/>
  <c r="AG393" i="3"/>
  <c r="AH393" i="3"/>
  <c r="F393" i="3" l="1"/>
  <c r="G393" i="3"/>
  <c r="I393" i="3" s="1"/>
  <c r="V393" i="3"/>
  <c r="A394" i="3"/>
  <c r="B394" i="3" s="1"/>
  <c r="M393" i="3" l="1"/>
  <c r="N393" i="3" s="1"/>
  <c r="J393" i="3"/>
  <c r="L393" i="3" s="1"/>
  <c r="W393" i="3"/>
  <c r="Z394" i="3"/>
  <c r="AA394" i="3"/>
  <c r="AD394" i="3"/>
  <c r="P394" i="3"/>
  <c r="Q394" i="3" s="1"/>
  <c r="R394" i="3" s="1"/>
  <c r="S394" i="3" s="1"/>
  <c r="AC394" i="3"/>
  <c r="T394" i="3" l="1"/>
  <c r="AG394" i="3" s="1"/>
  <c r="U393" i="3"/>
  <c r="Y392" i="3"/>
  <c r="D394" i="3" l="1"/>
  <c r="G394" i="3" s="1"/>
  <c r="AH394" i="3"/>
  <c r="E394" i="3"/>
  <c r="H394" i="3" s="1"/>
  <c r="K394" i="3" s="1"/>
  <c r="AE394" i="3" s="1"/>
  <c r="F394" i="3" l="1"/>
  <c r="V394" i="3"/>
  <c r="A395" i="3"/>
  <c r="B395" i="3" s="1"/>
  <c r="I394" i="3"/>
  <c r="J394" i="3"/>
  <c r="M394" i="3"/>
  <c r="N394" i="3" s="1"/>
  <c r="L394" i="3" l="1"/>
  <c r="Z395" i="3"/>
  <c r="AC395" i="3"/>
  <c r="AD395" i="3"/>
  <c r="P395" i="3"/>
  <c r="Q395" i="3" s="1"/>
  <c r="R395" i="3" s="1"/>
  <c r="S395" i="3" s="1"/>
  <c r="AA395" i="3"/>
  <c r="W394" i="3"/>
  <c r="U394" i="3" l="1"/>
  <c r="Y393" i="3"/>
  <c r="T395" i="3"/>
  <c r="D395" i="3" l="1"/>
  <c r="G395" i="3" s="1"/>
  <c r="E395" i="3"/>
  <c r="H395" i="3" s="1"/>
  <c r="K395" i="3" s="1"/>
  <c r="AE395" i="3" s="1"/>
  <c r="AG395" i="3"/>
  <c r="AH395" i="3"/>
  <c r="F395" i="3" l="1"/>
  <c r="V395" i="3"/>
  <c r="A396" i="3"/>
  <c r="B396" i="3" s="1"/>
  <c r="I395" i="3"/>
  <c r="J395" i="3"/>
  <c r="M395" i="3"/>
  <c r="N395" i="3" s="1"/>
  <c r="L395" i="3" l="1"/>
  <c r="AD396" i="3"/>
  <c r="AC396" i="3"/>
  <c r="AA396" i="3"/>
  <c r="P396" i="3"/>
  <c r="Q396" i="3" s="1"/>
  <c r="R396" i="3" s="1"/>
  <c r="S396" i="3" s="1"/>
  <c r="Z396" i="3"/>
  <c r="W395" i="3"/>
  <c r="T396" i="3" l="1"/>
  <c r="AG396" i="3" s="1"/>
  <c r="U395" i="3"/>
  <c r="Y394" i="3"/>
  <c r="AH396" i="3" l="1"/>
  <c r="D396" i="3"/>
  <c r="G396" i="3" s="1"/>
  <c r="E396" i="3"/>
  <c r="H396" i="3" s="1"/>
  <c r="K396" i="3" s="1"/>
  <c r="AE396" i="3" s="1"/>
  <c r="F396" i="3" l="1"/>
  <c r="I396" i="3"/>
  <c r="J396" i="3"/>
  <c r="M396" i="3"/>
  <c r="N396" i="3" s="1"/>
  <c r="V396" i="3"/>
  <c r="A397" i="3"/>
  <c r="B397" i="3" s="1"/>
  <c r="W396" i="3" l="1"/>
  <c r="Z397" i="3"/>
  <c r="AD397" i="3"/>
  <c r="P397" i="3"/>
  <c r="Q397" i="3" s="1"/>
  <c r="R397" i="3" s="1"/>
  <c r="S397" i="3" s="1"/>
  <c r="AA397" i="3"/>
  <c r="AC397" i="3"/>
  <c r="L396" i="3"/>
  <c r="T397" i="3" l="1"/>
  <c r="AH397" i="3" s="1"/>
  <c r="U396" i="3"/>
  <c r="Y395" i="3"/>
  <c r="E397" i="3" l="1"/>
  <c r="H397" i="3" s="1"/>
  <c r="K397" i="3" s="1"/>
  <c r="AE397" i="3" s="1"/>
  <c r="AG397" i="3"/>
  <c r="D397" i="3"/>
  <c r="F397" i="3" l="1"/>
  <c r="G397" i="3"/>
  <c r="I397" i="3" s="1"/>
  <c r="V397" i="3"/>
  <c r="A398" i="3"/>
  <c r="B398" i="3" s="1"/>
  <c r="M397" i="3" l="1"/>
  <c r="N397" i="3" s="1"/>
  <c r="J397" i="3"/>
  <c r="L397" i="3" s="1"/>
  <c r="W397" i="3"/>
  <c r="Z398" i="3"/>
  <c r="AC398" i="3"/>
  <c r="AA398" i="3"/>
  <c r="AD398" i="3"/>
  <c r="P398" i="3"/>
  <c r="Q398" i="3" s="1"/>
  <c r="R398" i="3" s="1"/>
  <c r="S398" i="3" s="1"/>
  <c r="T398" i="3" l="1"/>
  <c r="AH398" i="3" s="1"/>
  <c r="U397" i="3"/>
  <c r="Y396" i="3"/>
  <c r="D398" i="3" l="1"/>
  <c r="G398" i="3" s="1"/>
  <c r="AG398" i="3"/>
  <c r="E398" i="3"/>
  <c r="H398" i="3" s="1"/>
  <c r="K398" i="3" l="1"/>
  <c r="AE398" i="3" s="1"/>
  <c r="I398" i="3"/>
  <c r="J398" i="3"/>
  <c r="M398" i="3"/>
  <c r="N398" i="3" s="1"/>
  <c r="F398" i="3"/>
  <c r="L398" i="3" l="1"/>
  <c r="V398" i="3"/>
  <c r="W398" i="3" s="1"/>
  <c r="A399" i="3"/>
  <c r="B399" i="3" s="1"/>
  <c r="AA399" i="3" l="1"/>
  <c r="AC399" i="3"/>
  <c r="Z399" i="3"/>
  <c r="AD399" i="3"/>
  <c r="P399" i="3"/>
  <c r="Q399" i="3" s="1"/>
  <c r="R399" i="3" s="1"/>
  <c r="S399" i="3" s="1"/>
  <c r="U398" i="3"/>
  <c r="Y397" i="3"/>
  <c r="T399" i="3" l="1"/>
  <c r="AH399" i="3" s="1"/>
  <c r="D399" i="3" l="1"/>
  <c r="G399" i="3" s="1"/>
  <c r="AG399" i="3"/>
  <c r="E399" i="3"/>
  <c r="H399" i="3" s="1"/>
  <c r="K399" i="3" l="1"/>
  <c r="AE399" i="3" s="1"/>
  <c r="I399" i="3"/>
  <c r="J399" i="3"/>
  <c r="M399" i="3"/>
  <c r="N399" i="3" s="1"/>
  <c r="F399" i="3"/>
  <c r="L399" i="3" l="1"/>
  <c r="V399" i="3"/>
  <c r="W399" i="3" s="1"/>
  <c r="A400" i="3"/>
  <c r="B400" i="3" s="1"/>
  <c r="P400" i="3" l="1"/>
  <c r="Q400" i="3" s="1"/>
  <c r="R400" i="3" s="1"/>
  <c r="S400" i="3" s="1"/>
  <c r="AA400" i="3"/>
  <c r="AD400" i="3"/>
  <c r="AC400" i="3"/>
  <c r="Z400" i="3"/>
  <c r="U399" i="3"/>
  <c r="Y398" i="3"/>
  <c r="T400" i="3" l="1"/>
  <c r="E400" i="3" s="1"/>
  <c r="H400" i="3" s="1"/>
  <c r="K400" i="3" l="1"/>
  <c r="AE400" i="3" s="1"/>
  <c r="AG400" i="3"/>
  <c r="AH400" i="3"/>
  <c r="D400" i="3"/>
  <c r="F400" i="3" l="1"/>
  <c r="G400" i="3"/>
  <c r="V400" i="3"/>
  <c r="A401" i="3"/>
  <c r="B401" i="3" s="1"/>
  <c r="AA401" i="3" l="1"/>
  <c r="Z401" i="3"/>
  <c r="AC401" i="3"/>
  <c r="AD401" i="3"/>
  <c r="P401" i="3"/>
  <c r="Q401" i="3" s="1"/>
  <c r="R401" i="3" s="1"/>
  <c r="S401" i="3" s="1"/>
  <c r="I400" i="3"/>
  <c r="W400" i="3" s="1"/>
  <c r="J400" i="3"/>
  <c r="M400" i="3"/>
  <c r="N400" i="3" s="1"/>
  <c r="T401" i="3" l="1"/>
  <c r="L400" i="3"/>
  <c r="AH401" i="3" l="1"/>
  <c r="AG401" i="3"/>
  <c r="U400" i="3"/>
  <c r="E401" i="3" s="1"/>
  <c r="H401" i="3" s="1"/>
  <c r="Y399" i="3"/>
  <c r="D401" i="3" l="1"/>
  <c r="F401" i="3" s="1"/>
  <c r="K401" i="3"/>
  <c r="AE401" i="3" s="1"/>
  <c r="G401" i="3" l="1"/>
  <c r="I401" i="3" s="1"/>
  <c r="V401" i="3"/>
  <c r="A402" i="3"/>
  <c r="B402" i="3" s="1"/>
  <c r="M401" i="3" l="1"/>
  <c r="N401" i="3" s="1"/>
  <c r="J401" i="3"/>
  <c r="L401" i="3" s="1"/>
  <c r="W401" i="3"/>
  <c r="AA402" i="3"/>
  <c r="AC402" i="3"/>
  <c r="Z402" i="3"/>
  <c r="AD402" i="3"/>
  <c r="P402" i="3"/>
  <c r="Q402" i="3" s="1"/>
  <c r="R402" i="3" s="1"/>
  <c r="S402" i="3" s="1"/>
  <c r="T402" i="3" l="1"/>
  <c r="AG402" i="3" s="1"/>
  <c r="U401" i="3"/>
  <c r="Y400" i="3"/>
  <c r="AH402" i="3" l="1"/>
  <c r="D402" i="3"/>
  <c r="G402" i="3" s="1"/>
  <c r="E402" i="3"/>
  <c r="H402" i="3" s="1"/>
  <c r="K402" i="3" s="1"/>
  <c r="AE402" i="3" s="1"/>
  <c r="F402" i="3" l="1"/>
  <c r="I402" i="3"/>
  <c r="J402" i="3"/>
  <c r="M402" i="3"/>
  <c r="N402" i="3" s="1"/>
  <c r="V402" i="3"/>
  <c r="A403" i="3"/>
  <c r="B403" i="3" s="1"/>
  <c r="W402" i="3" l="1"/>
  <c r="Z403" i="3"/>
  <c r="AD403" i="3"/>
  <c r="AC403" i="3"/>
  <c r="AA403" i="3"/>
  <c r="P403" i="3"/>
  <c r="Q403" i="3" s="1"/>
  <c r="R403" i="3" s="1"/>
  <c r="S403" i="3" s="1"/>
  <c r="L402" i="3"/>
  <c r="T403" i="3" l="1"/>
  <c r="AH403" i="3" s="1"/>
  <c r="U402" i="3"/>
  <c r="Y401" i="3"/>
  <c r="AG403" i="3" l="1"/>
  <c r="D403" i="3"/>
  <c r="G403" i="3" s="1"/>
  <c r="E403" i="3"/>
  <c r="H403" i="3" s="1"/>
  <c r="K403" i="3" s="1"/>
  <c r="AE403" i="3" s="1"/>
  <c r="F403" i="3" l="1"/>
  <c r="V403" i="3"/>
  <c r="A404" i="3"/>
  <c r="B404" i="3" s="1"/>
  <c r="I403" i="3"/>
  <c r="J403" i="3"/>
  <c r="M403" i="3"/>
  <c r="N403" i="3" s="1"/>
  <c r="L403" i="3" l="1"/>
  <c r="AA404" i="3"/>
  <c r="Z404" i="3"/>
  <c r="AC404" i="3"/>
  <c r="P404" i="3"/>
  <c r="Q404" i="3" s="1"/>
  <c r="R404" i="3" s="1"/>
  <c r="S404" i="3" s="1"/>
  <c r="W403" i="3"/>
  <c r="U403" i="3" l="1"/>
  <c r="Y402" i="3"/>
  <c r="T404" i="3"/>
  <c r="E404" i="3" l="1"/>
  <c r="H404" i="3" s="1"/>
  <c r="K404" i="3" s="1"/>
  <c r="AE404" i="3" s="1"/>
  <c r="AG404" i="3"/>
  <c r="D404" i="3"/>
  <c r="G404" i="3" s="1"/>
  <c r="AH404" i="3"/>
  <c r="F404" i="3" l="1"/>
  <c r="I404" i="3"/>
  <c r="J404" i="3"/>
  <c r="AD404" i="3" s="1"/>
  <c r="M404" i="3"/>
  <c r="N404" i="3" s="1"/>
  <c r="V404" i="3"/>
  <c r="W404" i="3" s="1"/>
  <c r="A405" i="3"/>
  <c r="B405" i="3" s="1"/>
  <c r="AA405" i="3" l="1"/>
  <c r="AD405" i="3"/>
  <c r="P405" i="3"/>
  <c r="Q405" i="3" s="1"/>
  <c r="R405" i="3" s="1"/>
  <c r="S405" i="3" s="1"/>
  <c r="Z405" i="3"/>
  <c r="AC405" i="3"/>
  <c r="L404" i="3"/>
  <c r="T405" i="3" l="1"/>
  <c r="AH405" i="3" s="1"/>
  <c r="U404" i="3"/>
  <c r="Y403" i="3"/>
  <c r="E405" i="3" l="1"/>
  <c r="H405" i="3" s="1"/>
  <c r="K405" i="3" s="1"/>
  <c r="AE405" i="3" s="1"/>
  <c r="D405" i="3"/>
  <c r="G405" i="3" s="1"/>
  <c r="AG405" i="3"/>
  <c r="F405" i="3" l="1"/>
  <c r="V405" i="3"/>
  <c r="A406" i="3"/>
  <c r="B406" i="3" s="1"/>
  <c r="I405" i="3"/>
  <c r="J405" i="3"/>
  <c r="M405" i="3"/>
  <c r="N405" i="3" s="1"/>
  <c r="L405" i="3" l="1"/>
  <c r="Z406" i="3"/>
  <c r="AC406" i="3"/>
  <c r="AD406" i="3"/>
  <c r="AA406" i="3"/>
  <c r="P406" i="3"/>
  <c r="Q406" i="3" s="1"/>
  <c r="R406" i="3" s="1"/>
  <c r="S406" i="3" s="1"/>
  <c r="W405" i="3"/>
  <c r="T406" i="3" l="1"/>
  <c r="AH406" i="3" s="1"/>
  <c r="U405" i="3"/>
  <c r="Y404" i="3"/>
  <c r="AG406" i="3" l="1"/>
  <c r="D406" i="3"/>
  <c r="G406" i="3" s="1"/>
  <c r="E406" i="3"/>
  <c r="H406" i="3" s="1"/>
  <c r="K406" i="3" s="1"/>
  <c r="AE406" i="3" s="1"/>
  <c r="F406" i="3" l="1"/>
  <c r="V406" i="3"/>
  <c r="A407" i="3"/>
  <c r="B407" i="3" s="1"/>
  <c r="I406" i="3"/>
  <c r="J406" i="3"/>
  <c r="M406" i="3"/>
  <c r="N406" i="3" s="1"/>
  <c r="AC407" i="3" l="1"/>
  <c r="Z407" i="3"/>
  <c r="P407" i="3"/>
  <c r="Q407" i="3" s="1"/>
  <c r="R407" i="3" s="1"/>
  <c r="S407" i="3" s="1"/>
  <c r="AA407" i="3"/>
  <c r="AD407" i="3"/>
  <c r="L406" i="3"/>
  <c r="W406" i="3"/>
  <c r="T407" i="3" l="1"/>
  <c r="AH407" i="3" s="1"/>
  <c r="U406" i="3"/>
  <c r="Y405" i="3"/>
  <c r="E407" i="3" l="1"/>
  <c r="H407" i="3" s="1"/>
  <c r="K407" i="3" s="1"/>
  <c r="AE407" i="3" s="1"/>
  <c r="AG407" i="3"/>
  <c r="D407" i="3"/>
  <c r="F407" i="3" l="1"/>
  <c r="G407" i="3"/>
  <c r="I407" i="3" s="1"/>
  <c r="V407" i="3"/>
  <c r="A408" i="3"/>
  <c r="B408" i="3" s="1"/>
  <c r="M407" i="3" l="1"/>
  <c r="N407" i="3" s="1"/>
  <c r="J407" i="3"/>
  <c r="L407" i="3" s="1"/>
  <c r="W407" i="3"/>
  <c r="P408" i="3"/>
  <c r="Q408" i="3" s="1"/>
  <c r="R408" i="3" s="1"/>
  <c r="S408" i="3" s="1"/>
  <c r="AD408" i="3"/>
  <c r="Z408" i="3"/>
  <c r="AA408" i="3"/>
  <c r="AC408" i="3"/>
  <c r="T408" i="3" l="1"/>
  <c r="AG408" i="3" s="1"/>
  <c r="U407" i="3"/>
  <c r="Y406" i="3"/>
  <c r="AH408" i="3" l="1"/>
  <c r="E408" i="3"/>
  <c r="H408" i="3" s="1"/>
  <c r="K408" i="3" s="1"/>
  <c r="AE408" i="3" s="1"/>
  <c r="D408" i="3"/>
  <c r="F408" i="3" l="1"/>
  <c r="G408" i="3"/>
  <c r="V408" i="3"/>
  <c r="A409" i="3"/>
  <c r="B409" i="3" s="1"/>
  <c r="P409" i="3" l="1"/>
  <c r="Q409" i="3" s="1"/>
  <c r="R409" i="3" s="1"/>
  <c r="S409" i="3" s="1"/>
  <c r="AA409" i="3"/>
  <c r="Z409" i="3"/>
  <c r="AD409" i="3"/>
  <c r="AC409" i="3"/>
  <c r="I408" i="3"/>
  <c r="W408" i="3" s="1"/>
  <c r="J408" i="3"/>
  <c r="M408" i="3"/>
  <c r="N408" i="3" s="1"/>
  <c r="L408" i="3" l="1"/>
  <c r="T409" i="3"/>
  <c r="AH409" i="3" l="1"/>
  <c r="U408" i="3"/>
  <c r="E409" i="3" s="1"/>
  <c r="H409" i="3" s="1"/>
  <c r="AG409" i="3"/>
  <c r="Y407" i="3"/>
  <c r="D409" i="3" l="1"/>
  <c r="G409" i="3" s="1"/>
  <c r="K409" i="3"/>
  <c r="AE409" i="3" s="1"/>
  <c r="F409" i="3" l="1"/>
  <c r="I409" i="3"/>
  <c r="J409" i="3"/>
  <c r="M409" i="3"/>
  <c r="N409" i="3" s="1"/>
  <c r="V409" i="3"/>
  <c r="A410" i="3"/>
  <c r="B410" i="3" s="1"/>
  <c r="W409" i="3" l="1"/>
  <c r="AA410" i="3"/>
  <c r="AC410" i="3"/>
  <c r="Z410" i="3"/>
  <c r="AD410" i="3"/>
  <c r="P410" i="3"/>
  <c r="Q410" i="3" s="1"/>
  <c r="R410" i="3" s="1"/>
  <c r="S410" i="3" s="1"/>
  <c r="L409" i="3"/>
  <c r="T410" i="3" l="1"/>
  <c r="AG410" i="3" s="1"/>
  <c r="U409" i="3"/>
  <c r="Y408" i="3"/>
  <c r="AH410" i="3" l="1"/>
  <c r="D410" i="3"/>
  <c r="G410" i="3" s="1"/>
  <c r="E410" i="3"/>
  <c r="H410" i="3" s="1"/>
  <c r="K410" i="3" s="1"/>
  <c r="AE410" i="3" s="1"/>
  <c r="F410" i="3" l="1"/>
  <c r="V410" i="3"/>
  <c r="A411" i="3"/>
  <c r="B411" i="3" s="1"/>
  <c r="I410" i="3"/>
  <c r="J410" i="3"/>
  <c r="M410" i="3"/>
  <c r="N410" i="3" s="1"/>
  <c r="L410" i="3" l="1"/>
  <c r="P411" i="3"/>
  <c r="Q411" i="3" s="1"/>
  <c r="R411" i="3" s="1"/>
  <c r="S411" i="3" s="1"/>
  <c r="AC411" i="3"/>
  <c r="Z411" i="3"/>
  <c r="AA411" i="3"/>
  <c r="AD411" i="3"/>
  <c r="W410" i="3"/>
  <c r="T411" i="3" l="1"/>
  <c r="AG411" i="3" s="1"/>
  <c r="U410" i="3"/>
  <c r="Y409" i="3"/>
  <c r="D411" i="3" l="1"/>
  <c r="G411" i="3" s="1"/>
  <c r="AH411" i="3"/>
  <c r="E411" i="3"/>
  <c r="H411" i="3" s="1"/>
  <c r="K411" i="3" s="1"/>
  <c r="AE411" i="3" s="1"/>
  <c r="F411" i="3" l="1"/>
  <c r="V411" i="3"/>
  <c r="A412" i="3"/>
  <c r="B412" i="3" s="1"/>
  <c r="I411" i="3"/>
  <c r="J411" i="3"/>
  <c r="M411" i="3"/>
  <c r="N411" i="3" s="1"/>
  <c r="AD412" i="3" l="1"/>
  <c r="AA412" i="3"/>
  <c r="AC412" i="3"/>
  <c r="Z412" i="3"/>
  <c r="P412" i="3"/>
  <c r="Q412" i="3" s="1"/>
  <c r="R412" i="3" s="1"/>
  <c r="S412" i="3" s="1"/>
  <c r="L411" i="3"/>
  <c r="W411" i="3"/>
  <c r="T412" i="3" l="1"/>
  <c r="AH412" i="3" s="1"/>
  <c r="U411" i="3"/>
  <c r="Y410" i="3"/>
  <c r="AG412" i="3" l="1"/>
  <c r="E412" i="3"/>
  <c r="H412" i="3" s="1"/>
  <c r="K412" i="3" s="1"/>
  <c r="AE412" i="3" s="1"/>
  <c r="D412" i="3"/>
  <c r="G412" i="3" s="1"/>
  <c r="F412" i="3" l="1"/>
  <c r="I412" i="3"/>
  <c r="J412" i="3"/>
  <c r="M412" i="3"/>
  <c r="N412" i="3" s="1"/>
  <c r="V412" i="3"/>
  <c r="A413" i="3"/>
  <c r="B413" i="3" s="1"/>
  <c r="W412" i="3" l="1"/>
  <c r="AA413" i="3"/>
  <c r="Z413" i="3"/>
  <c r="P413" i="3"/>
  <c r="Q413" i="3" s="1"/>
  <c r="R413" i="3" s="1"/>
  <c r="S413" i="3" s="1"/>
  <c r="AC413" i="3"/>
  <c r="AD413" i="3"/>
  <c r="L412" i="3"/>
  <c r="T413" i="3" l="1"/>
  <c r="AG413" i="3" s="1"/>
  <c r="U412" i="3"/>
  <c r="Y411" i="3"/>
  <c r="AH413" i="3" l="1"/>
  <c r="E413" i="3"/>
  <c r="H413" i="3" s="1"/>
  <c r="K413" i="3" s="1"/>
  <c r="AE413" i="3" s="1"/>
  <c r="D413" i="3"/>
  <c r="F413" i="3" l="1"/>
  <c r="G413" i="3"/>
  <c r="J413" i="3" s="1"/>
  <c r="V413" i="3"/>
  <c r="A414" i="3"/>
  <c r="B414" i="3" s="1"/>
  <c r="M413" i="3" l="1"/>
  <c r="N413" i="3" s="1"/>
  <c r="I413" i="3"/>
  <c r="W413" i="3" s="1"/>
  <c r="Z414" i="3"/>
  <c r="AA414" i="3"/>
  <c r="AC414" i="3"/>
  <c r="AD414" i="3"/>
  <c r="P414" i="3"/>
  <c r="Q414" i="3" s="1"/>
  <c r="R414" i="3" s="1"/>
  <c r="S414" i="3" s="1"/>
  <c r="L413" i="3"/>
  <c r="T414" i="3" l="1"/>
  <c r="AH414" i="3" s="1"/>
  <c r="U413" i="3"/>
  <c r="Y412" i="3"/>
  <c r="AG414" i="3" l="1"/>
  <c r="D414" i="3"/>
  <c r="G414" i="3" s="1"/>
  <c r="E414" i="3"/>
  <c r="H414" i="3" s="1"/>
  <c r="K414" i="3" s="1"/>
  <c r="AE414" i="3" s="1"/>
  <c r="F414" i="3" l="1"/>
  <c r="V414" i="3"/>
  <c r="A415" i="3"/>
  <c r="B415" i="3" s="1"/>
  <c r="I414" i="3"/>
  <c r="J414" i="3"/>
  <c r="M414" i="3"/>
  <c r="N414" i="3" s="1"/>
  <c r="L414" i="3" l="1"/>
  <c r="P415" i="3"/>
  <c r="Q415" i="3" s="1"/>
  <c r="R415" i="3" s="1"/>
  <c r="S415" i="3" s="1"/>
  <c r="AA415" i="3"/>
  <c r="Z415" i="3"/>
  <c r="AC415" i="3"/>
  <c r="AD415" i="3"/>
  <c r="W414" i="3"/>
  <c r="T415" i="3" l="1"/>
  <c r="AH415" i="3" s="1"/>
  <c r="U414" i="3"/>
  <c r="Y413" i="3"/>
  <c r="E415" i="3" l="1"/>
  <c r="H415" i="3" s="1"/>
  <c r="K415" i="3" s="1"/>
  <c r="AE415" i="3" s="1"/>
  <c r="AG415" i="3"/>
  <c r="D415" i="3"/>
  <c r="F415" i="3" l="1"/>
  <c r="G415" i="3"/>
  <c r="I415" i="3" s="1"/>
  <c r="V415" i="3"/>
  <c r="A416" i="3"/>
  <c r="B416" i="3" s="1"/>
  <c r="M415" i="3" l="1"/>
  <c r="N415" i="3" s="1"/>
  <c r="J415" i="3"/>
  <c r="L415" i="3" s="1"/>
  <c r="P416" i="3"/>
  <c r="Q416" i="3" s="1"/>
  <c r="R416" i="3" s="1"/>
  <c r="S416" i="3" s="1"/>
  <c r="AC416" i="3"/>
  <c r="Z416" i="3"/>
  <c r="AD416" i="3"/>
  <c r="AA416" i="3"/>
  <c r="W415" i="3"/>
  <c r="T416" i="3" l="1"/>
  <c r="AH416" i="3" s="1"/>
  <c r="U415" i="3"/>
  <c r="Y414" i="3"/>
  <c r="AG416" i="3" l="1"/>
  <c r="E416" i="3"/>
  <c r="H416" i="3" s="1"/>
  <c r="K416" i="3" s="1"/>
  <c r="AE416" i="3" s="1"/>
  <c r="D416" i="3"/>
  <c r="F416" i="3" l="1"/>
  <c r="G416" i="3"/>
  <c r="I416" i="3" s="1"/>
  <c r="V416" i="3"/>
  <c r="A417" i="3"/>
  <c r="B417" i="3" s="1"/>
  <c r="M416" i="3" l="1"/>
  <c r="N416" i="3" s="1"/>
  <c r="J416" i="3"/>
  <c r="L416" i="3" s="1"/>
  <c r="W416" i="3"/>
  <c r="AA417" i="3"/>
  <c r="AC417" i="3"/>
  <c r="AD417" i="3"/>
  <c r="Z417" i="3"/>
  <c r="P417" i="3"/>
  <c r="Q417" i="3" s="1"/>
  <c r="R417" i="3" s="1"/>
  <c r="S417" i="3" s="1"/>
  <c r="T417" i="3" l="1"/>
  <c r="AH417" i="3" s="1"/>
  <c r="U416" i="3"/>
  <c r="Y415" i="3"/>
  <c r="AG417" i="3" l="1"/>
  <c r="E417" i="3"/>
  <c r="H417" i="3" s="1"/>
  <c r="K417" i="3" s="1"/>
  <c r="AE417" i="3" s="1"/>
  <c r="D417" i="3"/>
  <c r="F417" i="3" l="1"/>
  <c r="G417" i="3"/>
  <c r="I417" i="3" s="1"/>
  <c r="V417" i="3"/>
  <c r="A418" i="3"/>
  <c r="B418" i="3" s="1"/>
  <c r="M417" i="3" l="1"/>
  <c r="N417" i="3" s="1"/>
  <c r="J417" i="3"/>
  <c r="L417" i="3" s="1"/>
  <c r="W417" i="3"/>
  <c r="AC418" i="3"/>
  <c r="AD418" i="3"/>
  <c r="P418" i="3"/>
  <c r="Q418" i="3" s="1"/>
  <c r="R418" i="3" s="1"/>
  <c r="S418" i="3" s="1"/>
  <c r="AA418" i="3"/>
  <c r="Z418" i="3"/>
  <c r="U417" i="3" l="1"/>
  <c r="Y416" i="3"/>
  <c r="T418" i="3"/>
  <c r="AG418" i="3" s="1"/>
  <c r="E418" i="3" l="1"/>
  <c r="H418" i="3" s="1"/>
  <c r="D418" i="3"/>
  <c r="AH418" i="3"/>
  <c r="F418" i="3" l="1"/>
  <c r="G418" i="3"/>
  <c r="K418" i="3"/>
  <c r="AE418" i="3" s="1"/>
  <c r="V418" i="3" l="1"/>
  <c r="A419" i="3"/>
  <c r="B419" i="3" s="1"/>
  <c r="I418" i="3"/>
  <c r="J418" i="3"/>
  <c r="M418" i="3"/>
  <c r="N418" i="3" s="1"/>
  <c r="L418" i="3" l="1"/>
  <c r="AD419" i="3"/>
  <c r="AC419" i="3"/>
  <c r="AA419" i="3"/>
  <c r="Z419" i="3"/>
  <c r="P419" i="3"/>
  <c r="Q419" i="3" s="1"/>
  <c r="R419" i="3" s="1"/>
  <c r="S419" i="3" s="1"/>
  <c r="W418" i="3"/>
  <c r="T419" i="3" l="1"/>
  <c r="AG419" i="3" s="1"/>
  <c r="U418" i="3"/>
  <c r="Y417" i="3"/>
  <c r="D419" i="3" l="1"/>
  <c r="G419" i="3" s="1"/>
  <c r="AH419" i="3"/>
  <c r="E419" i="3"/>
  <c r="H419" i="3" s="1"/>
  <c r="K419" i="3" s="1"/>
  <c r="AE419" i="3" s="1"/>
  <c r="F419" i="3" l="1"/>
  <c r="I419" i="3"/>
  <c r="J419" i="3"/>
  <c r="M419" i="3"/>
  <c r="N419" i="3" s="1"/>
  <c r="V419" i="3"/>
  <c r="A420" i="3"/>
  <c r="B420" i="3" s="1"/>
  <c r="W419" i="3" l="1"/>
  <c r="Z420" i="3"/>
  <c r="AC420" i="3"/>
  <c r="AA420" i="3"/>
  <c r="AD420" i="3"/>
  <c r="P420" i="3"/>
  <c r="Q420" i="3" s="1"/>
  <c r="R420" i="3" s="1"/>
  <c r="S420" i="3" s="1"/>
  <c r="L419" i="3"/>
  <c r="T420" i="3" l="1"/>
  <c r="AG420" i="3" s="1"/>
  <c r="U419" i="3"/>
  <c r="Y418" i="3"/>
  <c r="E420" i="3" l="1"/>
  <c r="H420" i="3" s="1"/>
  <c r="K420" i="3" s="1"/>
  <c r="AE420" i="3" s="1"/>
  <c r="AH420" i="3"/>
  <c r="D420" i="3"/>
  <c r="F420" i="3" l="1"/>
  <c r="G420" i="3"/>
  <c r="I420" i="3" s="1"/>
  <c r="V420" i="3"/>
  <c r="A421" i="3"/>
  <c r="B421" i="3" s="1"/>
  <c r="M420" i="3" l="1"/>
  <c r="N420" i="3" s="1"/>
  <c r="J420" i="3"/>
  <c r="L420" i="3" s="1"/>
  <c r="W420" i="3"/>
  <c r="Z421" i="3"/>
  <c r="P421" i="3"/>
  <c r="Q421" i="3" s="1"/>
  <c r="R421" i="3" s="1"/>
  <c r="S421" i="3" s="1"/>
  <c r="AD421" i="3"/>
  <c r="AA421" i="3"/>
  <c r="AC421" i="3"/>
  <c r="T421" i="3" l="1"/>
  <c r="AH421" i="3" s="1"/>
  <c r="U420" i="3"/>
  <c r="Y419" i="3"/>
  <c r="D421" i="3" l="1"/>
  <c r="G421" i="3" s="1"/>
  <c r="AG421" i="3"/>
  <c r="E421" i="3"/>
  <c r="H421" i="3" s="1"/>
  <c r="K421" i="3" s="1"/>
  <c r="AE421" i="3" s="1"/>
  <c r="F421" i="3" l="1"/>
  <c r="V421" i="3"/>
  <c r="A422" i="3"/>
  <c r="B422" i="3" s="1"/>
  <c r="I421" i="3"/>
  <c r="J421" i="3"/>
  <c r="M421" i="3"/>
  <c r="N421" i="3" s="1"/>
  <c r="L421" i="3" l="1"/>
  <c r="P422" i="3"/>
  <c r="Q422" i="3" s="1"/>
  <c r="R422" i="3" s="1"/>
  <c r="S422" i="3" s="1"/>
  <c r="AC422" i="3"/>
  <c r="AA422" i="3"/>
  <c r="AD422" i="3"/>
  <c r="Z422" i="3"/>
  <c r="W421" i="3"/>
  <c r="T422" i="3" l="1"/>
  <c r="AH422" i="3" s="1"/>
  <c r="U421" i="3"/>
  <c r="Y420" i="3"/>
  <c r="D422" i="3" l="1"/>
  <c r="G422" i="3" s="1"/>
  <c r="AG422" i="3"/>
  <c r="E422" i="3"/>
  <c r="H422" i="3" s="1"/>
  <c r="K422" i="3" l="1"/>
  <c r="AE422" i="3" s="1"/>
  <c r="I422" i="3"/>
  <c r="J422" i="3"/>
  <c r="M422" i="3"/>
  <c r="N422" i="3" s="1"/>
  <c r="F422" i="3"/>
  <c r="L422" i="3" l="1"/>
  <c r="V422" i="3"/>
  <c r="W422" i="3" s="1"/>
  <c r="A423" i="3"/>
  <c r="B423" i="3" s="1"/>
  <c r="AD423" i="3" l="1"/>
  <c r="P423" i="3"/>
  <c r="Q423" i="3" s="1"/>
  <c r="R423" i="3" s="1"/>
  <c r="S423" i="3" s="1"/>
  <c r="AA423" i="3"/>
  <c r="Z423" i="3"/>
  <c r="AC423" i="3"/>
  <c r="U422" i="3"/>
  <c r="Y421" i="3"/>
  <c r="T423" i="3" l="1"/>
  <c r="D423" i="3" s="1"/>
  <c r="E423" i="3" l="1"/>
  <c r="H423" i="3" s="1"/>
  <c r="K423" i="3" s="1"/>
  <c r="AE423" i="3" s="1"/>
  <c r="AH423" i="3"/>
  <c r="AG423" i="3"/>
  <c r="G423" i="3"/>
  <c r="F423" i="3" l="1"/>
  <c r="I423" i="3"/>
  <c r="J423" i="3"/>
  <c r="M423" i="3"/>
  <c r="N423" i="3" s="1"/>
  <c r="V423" i="3"/>
  <c r="A424" i="3"/>
  <c r="B424" i="3" s="1"/>
  <c r="W423" i="3" l="1"/>
  <c r="Z424" i="3"/>
  <c r="AC424" i="3"/>
  <c r="AD424" i="3"/>
  <c r="P424" i="3"/>
  <c r="Q424" i="3" s="1"/>
  <c r="R424" i="3" s="1"/>
  <c r="S424" i="3" s="1"/>
  <c r="AA424" i="3"/>
  <c r="L423" i="3"/>
  <c r="U423" i="3" l="1"/>
  <c r="Y422" i="3"/>
  <c r="T424" i="3"/>
  <c r="E424" i="3" l="1"/>
  <c r="H424" i="3" s="1"/>
  <c r="K424" i="3" s="1"/>
  <c r="AE424" i="3" s="1"/>
  <c r="D424" i="3"/>
  <c r="AG424" i="3"/>
  <c r="AH424" i="3"/>
  <c r="F424" i="3" l="1"/>
  <c r="G424" i="3"/>
  <c r="I424" i="3" s="1"/>
  <c r="V424" i="3"/>
  <c r="A425" i="3"/>
  <c r="B425" i="3" s="1"/>
  <c r="W424" i="3" l="1"/>
  <c r="M424" i="3"/>
  <c r="N424" i="3" s="1"/>
  <c r="J424" i="3"/>
  <c r="L424" i="3" s="1"/>
  <c r="AC425" i="3"/>
  <c r="AD425" i="3"/>
  <c r="Z425" i="3"/>
  <c r="P425" i="3"/>
  <c r="Q425" i="3" s="1"/>
  <c r="R425" i="3" s="1"/>
  <c r="S425" i="3" s="1"/>
  <c r="AA425" i="3"/>
  <c r="T425" i="3" l="1"/>
  <c r="AH425" i="3" s="1"/>
  <c r="U424" i="3"/>
  <c r="Y423" i="3"/>
  <c r="AG425" i="3" l="1"/>
  <c r="E425" i="3"/>
  <c r="H425" i="3" s="1"/>
  <c r="K425" i="3" s="1"/>
  <c r="AE425" i="3" s="1"/>
  <c r="D425" i="3"/>
  <c r="G425" i="3" s="1"/>
  <c r="F425" i="3" l="1"/>
  <c r="V425" i="3"/>
  <c r="A426" i="3"/>
  <c r="B426" i="3" s="1"/>
  <c r="I425" i="3"/>
  <c r="J425" i="3"/>
  <c r="M425" i="3"/>
  <c r="N425" i="3" s="1"/>
  <c r="P426" i="3" l="1"/>
  <c r="Q426" i="3" s="1"/>
  <c r="R426" i="3" s="1"/>
  <c r="S426" i="3" s="1"/>
  <c r="AC426" i="3"/>
  <c r="AA426" i="3"/>
  <c r="AD426" i="3"/>
  <c r="Z426" i="3"/>
  <c r="L425" i="3"/>
  <c r="W425" i="3"/>
  <c r="U425" i="3" l="1"/>
  <c r="Y424" i="3"/>
  <c r="T426" i="3"/>
  <c r="AH426" i="3" s="1"/>
  <c r="D426" i="3" l="1"/>
  <c r="AG426" i="3"/>
  <c r="E426" i="3"/>
  <c r="H426" i="3" s="1"/>
  <c r="K426" i="3" l="1"/>
  <c r="AE426" i="3" s="1"/>
  <c r="F426" i="3"/>
  <c r="G426" i="3"/>
  <c r="V426" i="3" l="1"/>
  <c r="A427" i="3"/>
  <c r="B427" i="3" s="1"/>
  <c r="I426" i="3"/>
  <c r="J426" i="3"/>
  <c r="M426" i="3"/>
  <c r="N426" i="3" s="1"/>
  <c r="L426" i="3" l="1"/>
  <c r="Z427" i="3"/>
  <c r="AA427" i="3"/>
  <c r="P427" i="3"/>
  <c r="Q427" i="3" s="1"/>
  <c r="R427" i="3" s="1"/>
  <c r="S427" i="3" s="1"/>
  <c r="AD427" i="3"/>
  <c r="AC427" i="3"/>
  <c r="W426" i="3"/>
  <c r="T427" i="3" l="1"/>
  <c r="AH427" i="3" s="1"/>
  <c r="U426" i="3"/>
  <c r="Y425" i="3"/>
  <c r="AG427" i="3" l="1"/>
  <c r="D427" i="3"/>
  <c r="G427" i="3" s="1"/>
  <c r="E427" i="3"/>
  <c r="H427" i="3" s="1"/>
  <c r="K427" i="3" s="1"/>
  <c r="AE427" i="3" s="1"/>
  <c r="F427" i="3" l="1"/>
  <c r="I427" i="3"/>
  <c r="J427" i="3"/>
  <c r="M427" i="3"/>
  <c r="N427" i="3" s="1"/>
  <c r="V427" i="3"/>
  <c r="A428" i="3"/>
  <c r="B428" i="3" s="1"/>
  <c r="W427" i="3" l="1"/>
  <c r="AA428" i="3"/>
  <c r="AD428" i="3"/>
  <c r="P428" i="3"/>
  <c r="Q428" i="3" s="1"/>
  <c r="R428" i="3" s="1"/>
  <c r="S428" i="3" s="1"/>
  <c r="Z428" i="3"/>
  <c r="AC428" i="3"/>
  <c r="L427" i="3"/>
  <c r="T428" i="3" l="1"/>
  <c r="AH428" i="3" s="1"/>
  <c r="U427" i="3"/>
  <c r="Y426" i="3"/>
  <c r="D428" i="3" l="1"/>
  <c r="G428" i="3" s="1"/>
  <c r="E428" i="3"/>
  <c r="H428" i="3" s="1"/>
  <c r="K428" i="3" s="1"/>
  <c r="AE428" i="3" s="1"/>
  <c r="AG428" i="3"/>
  <c r="F428" i="3" l="1"/>
  <c r="V428" i="3"/>
  <c r="A429" i="3"/>
  <c r="B429" i="3" s="1"/>
  <c r="I428" i="3"/>
  <c r="J428" i="3"/>
  <c r="M428" i="3"/>
  <c r="N428" i="3" s="1"/>
  <c r="P429" i="3" l="1"/>
  <c r="Q429" i="3" s="1"/>
  <c r="R429" i="3" s="1"/>
  <c r="S429" i="3" s="1"/>
  <c r="AC429" i="3"/>
  <c r="AD429" i="3"/>
  <c r="AA429" i="3"/>
  <c r="Z429" i="3"/>
  <c r="L428" i="3"/>
  <c r="W428" i="3"/>
  <c r="U428" i="3" l="1"/>
  <c r="Y427" i="3"/>
  <c r="T429" i="3"/>
  <c r="AG429" i="3" s="1"/>
  <c r="E429" i="3" l="1"/>
  <c r="H429" i="3" s="1"/>
  <c r="K429" i="3" s="1"/>
  <c r="AE429" i="3" s="1"/>
  <c r="AH429" i="3"/>
  <c r="D429" i="3"/>
  <c r="F429" i="3" l="1"/>
  <c r="G429" i="3"/>
  <c r="I429" i="3" s="1"/>
  <c r="V429" i="3"/>
  <c r="A430" i="3"/>
  <c r="B430" i="3" s="1"/>
  <c r="M429" i="3" l="1"/>
  <c r="N429" i="3" s="1"/>
  <c r="J429" i="3"/>
  <c r="L429" i="3" s="1"/>
  <c r="P430" i="3"/>
  <c r="Q430" i="3" s="1"/>
  <c r="R430" i="3" s="1"/>
  <c r="S430" i="3" s="1"/>
  <c r="AC430" i="3"/>
  <c r="AD430" i="3"/>
  <c r="AA430" i="3"/>
  <c r="Z430" i="3"/>
  <c r="W429" i="3"/>
  <c r="T430" i="3" l="1"/>
  <c r="AH430" i="3" s="1"/>
  <c r="U429" i="3"/>
  <c r="Y428" i="3"/>
  <c r="D430" i="3" l="1"/>
  <c r="G430" i="3" s="1"/>
  <c r="E430" i="3"/>
  <c r="H430" i="3" s="1"/>
  <c r="K430" i="3" s="1"/>
  <c r="AE430" i="3" s="1"/>
  <c r="AG430" i="3"/>
  <c r="F430" i="3" l="1"/>
  <c r="V430" i="3"/>
  <c r="A431" i="3"/>
  <c r="B431" i="3" s="1"/>
  <c r="I430" i="3"/>
  <c r="J430" i="3"/>
  <c r="M430" i="3"/>
  <c r="N430" i="3" s="1"/>
  <c r="AC431" i="3" l="1"/>
  <c r="Z431" i="3"/>
  <c r="P431" i="3"/>
  <c r="Q431" i="3" s="1"/>
  <c r="R431" i="3" s="1"/>
  <c r="S431" i="3" s="1"/>
  <c r="AD431" i="3"/>
  <c r="AA431" i="3"/>
  <c r="L430" i="3"/>
  <c r="W430" i="3"/>
  <c r="T431" i="3" l="1"/>
  <c r="AG431" i="3" s="1"/>
  <c r="U430" i="3"/>
  <c r="Y429" i="3"/>
  <c r="AH431" i="3" l="1"/>
  <c r="D431" i="3"/>
  <c r="G431" i="3" s="1"/>
  <c r="E431" i="3"/>
  <c r="H431" i="3" s="1"/>
  <c r="K431" i="3" l="1"/>
  <c r="AE431" i="3" s="1"/>
  <c r="I431" i="3"/>
  <c r="J431" i="3"/>
  <c r="M431" i="3"/>
  <c r="N431" i="3" s="1"/>
  <c r="F431" i="3"/>
  <c r="L431" i="3" l="1"/>
  <c r="V431" i="3"/>
  <c r="W431" i="3" s="1"/>
  <c r="A432" i="3"/>
  <c r="B432" i="3" s="1"/>
  <c r="AC432" i="3" l="1"/>
  <c r="Z432" i="3"/>
  <c r="AD432" i="3"/>
  <c r="AA432" i="3"/>
  <c r="P432" i="3"/>
  <c r="Q432" i="3" s="1"/>
  <c r="R432" i="3" s="1"/>
  <c r="S432" i="3" s="1"/>
  <c r="U431" i="3"/>
  <c r="Y430" i="3"/>
  <c r="T432" i="3" l="1"/>
  <c r="E432" i="3" s="1"/>
  <c r="H432" i="3" s="1"/>
  <c r="AH432" i="3" l="1"/>
  <c r="D432" i="3"/>
  <c r="F432" i="3" s="1"/>
  <c r="AG432" i="3"/>
  <c r="K432" i="3"/>
  <c r="AE432" i="3" s="1"/>
  <c r="G432" i="3" l="1"/>
  <c r="I432" i="3" s="1"/>
  <c r="V432" i="3"/>
  <c r="A433" i="3"/>
  <c r="B433" i="3" s="1"/>
  <c r="M432" i="3" l="1"/>
  <c r="N432" i="3" s="1"/>
  <c r="J432" i="3"/>
  <c r="L432" i="3" s="1"/>
  <c r="W432" i="3"/>
  <c r="AA433" i="3"/>
  <c r="P433" i="3"/>
  <c r="Q433" i="3" s="1"/>
  <c r="R433" i="3" s="1"/>
  <c r="S433" i="3" s="1"/>
  <c r="AD433" i="3"/>
  <c r="AC433" i="3"/>
  <c r="Z433" i="3"/>
  <c r="T433" i="3" l="1"/>
  <c r="AG433" i="3" s="1"/>
  <c r="U432" i="3"/>
  <c r="Y431" i="3"/>
  <c r="E433" i="3" l="1"/>
  <c r="H433" i="3" s="1"/>
  <c r="K433" i="3" s="1"/>
  <c r="AE433" i="3" s="1"/>
  <c r="AH433" i="3"/>
  <c r="D433" i="3"/>
  <c r="F433" i="3" l="1"/>
  <c r="G433" i="3"/>
  <c r="V433" i="3"/>
  <c r="A434" i="3"/>
  <c r="B434" i="3" s="1"/>
  <c r="AA434" i="3" l="1"/>
  <c r="AC434" i="3"/>
  <c r="P434" i="3"/>
  <c r="Q434" i="3" s="1"/>
  <c r="R434" i="3" s="1"/>
  <c r="S434" i="3" s="1"/>
  <c r="Z434" i="3"/>
  <c r="AD434" i="3"/>
  <c r="I433" i="3"/>
  <c r="W433" i="3" s="1"/>
  <c r="J433" i="3"/>
  <c r="M433" i="3"/>
  <c r="N433" i="3" s="1"/>
  <c r="T434" i="3" l="1"/>
  <c r="L433" i="3"/>
  <c r="U433" i="3" l="1"/>
  <c r="D434" i="3" s="1"/>
  <c r="AH434" i="3"/>
  <c r="AG434" i="3"/>
  <c r="Y432" i="3"/>
  <c r="E434" i="3" l="1"/>
  <c r="H434" i="3" s="1"/>
  <c r="K434" i="3" s="1"/>
  <c r="AE434" i="3" s="1"/>
  <c r="G434" i="3"/>
  <c r="F434" i="3" l="1"/>
  <c r="I434" i="3"/>
  <c r="J434" i="3"/>
  <c r="M434" i="3"/>
  <c r="N434" i="3" s="1"/>
  <c r="V434" i="3"/>
  <c r="A435" i="3"/>
  <c r="B435" i="3" s="1"/>
  <c r="W434" i="3" l="1"/>
  <c r="P435" i="3"/>
  <c r="Q435" i="3" s="1"/>
  <c r="R435" i="3" s="1"/>
  <c r="S435" i="3" s="1"/>
  <c r="AD435" i="3"/>
  <c r="AC435" i="3"/>
  <c r="Z435" i="3"/>
  <c r="AA435" i="3"/>
  <c r="L434" i="3"/>
  <c r="T435" i="3" l="1"/>
  <c r="AH435" i="3" s="1"/>
  <c r="U434" i="3"/>
  <c r="Y433" i="3"/>
  <c r="E435" i="3" l="1"/>
  <c r="H435" i="3" s="1"/>
  <c r="K435" i="3" s="1"/>
  <c r="AE435" i="3" s="1"/>
  <c r="D435" i="3"/>
  <c r="AG435" i="3"/>
  <c r="F435" i="3" l="1"/>
  <c r="G435" i="3"/>
  <c r="J435" i="3" s="1"/>
  <c r="V435" i="3"/>
  <c r="A436" i="3"/>
  <c r="B436" i="3" s="1"/>
  <c r="M435" i="3" l="1"/>
  <c r="N435" i="3" s="1"/>
  <c r="I435" i="3"/>
  <c r="W435" i="3" s="1"/>
  <c r="L435" i="3"/>
  <c r="AA436" i="3"/>
  <c r="AD436" i="3"/>
  <c r="AC436" i="3"/>
  <c r="P436" i="3"/>
  <c r="Q436" i="3" s="1"/>
  <c r="R436" i="3" s="1"/>
  <c r="S436" i="3" s="1"/>
  <c r="Z436" i="3"/>
  <c r="T436" i="3" l="1"/>
  <c r="U435" i="3"/>
  <c r="Y434" i="3"/>
  <c r="E436" i="3" l="1"/>
  <c r="H436" i="3" s="1"/>
  <c r="K436" i="3" s="1"/>
  <c r="AE436" i="3" s="1"/>
  <c r="AH436" i="3"/>
  <c r="AG436" i="3"/>
  <c r="D436" i="3"/>
  <c r="G436" i="3" s="1"/>
  <c r="F436" i="3" l="1"/>
  <c r="V436" i="3"/>
  <c r="A437" i="3"/>
  <c r="B437" i="3" s="1"/>
  <c r="I436" i="3"/>
  <c r="J436" i="3"/>
  <c r="M436" i="3"/>
  <c r="N436" i="3" s="1"/>
  <c r="P437" i="3" l="1"/>
  <c r="Q437" i="3" s="1"/>
  <c r="R437" i="3" s="1"/>
  <c r="S437" i="3" s="1"/>
  <c r="AD437" i="3"/>
  <c r="Z437" i="3"/>
  <c r="AC437" i="3"/>
  <c r="AA437" i="3"/>
  <c r="L436" i="3"/>
  <c r="W436" i="3"/>
  <c r="T437" i="3" l="1"/>
  <c r="AH437" i="3" s="1"/>
  <c r="U436" i="3"/>
  <c r="Y435" i="3"/>
  <c r="D437" i="3" l="1"/>
  <c r="G437" i="3" s="1"/>
  <c r="AG437" i="3"/>
  <c r="E437" i="3"/>
  <c r="H437" i="3" s="1"/>
  <c r="K437" i="3" s="1"/>
  <c r="AE437" i="3" s="1"/>
  <c r="F437" i="3" l="1"/>
  <c r="I437" i="3"/>
  <c r="J437" i="3"/>
  <c r="M437" i="3"/>
  <c r="N437" i="3" s="1"/>
  <c r="V437" i="3"/>
  <c r="A438" i="3"/>
  <c r="B438" i="3" s="1"/>
  <c r="W437" i="3" l="1"/>
  <c r="AA438" i="3"/>
  <c r="AD438" i="3"/>
  <c r="Z438" i="3"/>
  <c r="AC438" i="3"/>
  <c r="P438" i="3"/>
  <c r="Q438" i="3" s="1"/>
  <c r="R438" i="3" s="1"/>
  <c r="S438" i="3" s="1"/>
  <c r="L437" i="3"/>
  <c r="T438" i="3" l="1"/>
  <c r="AH438" i="3" s="1"/>
  <c r="U437" i="3"/>
  <c r="Y436" i="3"/>
  <c r="D438" i="3" l="1"/>
  <c r="G438" i="3" s="1"/>
  <c r="AG438" i="3"/>
  <c r="E438" i="3"/>
  <c r="H438" i="3" s="1"/>
  <c r="K438" i="3" s="1"/>
  <c r="AE438" i="3" s="1"/>
  <c r="F438" i="3" l="1"/>
  <c r="I438" i="3"/>
  <c r="J438" i="3"/>
  <c r="M438" i="3"/>
  <c r="N438" i="3" s="1"/>
  <c r="V438" i="3"/>
  <c r="A439" i="3"/>
  <c r="B439" i="3" s="1"/>
  <c r="W438" i="3" l="1"/>
  <c r="P439" i="3"/>
  <c r="Q439" i="3" s="1"/>
  <c r="R439" i="3" s="1"/>
  <c r="S439" i="3" s="1"/>
  <c r="AA439" i="3"/>
  <c r="AD439" i="3"/>
  <c r="AC439" i="3"/>
  <c r="Z439" i="3"/>
  <c r="L438" i="3"/>
  <c r="T439" i="3" l="1"/>
  <c r="AG439" i="3" s="1"/>
  <c r="U438" i="3"/>
  <c r="Y437" i="3"/>
  <c r="D439" i="3" l="1"/>
  <c r="G439" i="3" s="1"/>
  <c r="E439" i="3"/>
  <c r="H439" i="3" s="1"/>
  <c r="K439" i="3" s="1"/>
  <c r="AE439" i="3" s="1"/>
  <c r="AH439" i="3"/>
  <c r="F439" i="3" l="1"/>
  <c r="I439" i="3"/>
  <c r="J439" i="3"/>
  <c r="M439" i="3"/>
  <c r="N439" i="3" s="1"/>
  <c r="V439" i="3"/>
  <c r="A440" i="3"/>
  <c r="B440" i="3" s="1"/>
  <c r="W439" i="3" l="1"/>
  <c r="AA440" i="3"/>
  <c r="AC440" i="3"/>
  <c r="AD440" i="3"/>
  <c r="Z440" i="3"/>
  <c r="P440" i="3"/>
  <c r="Q440" i="3" s="1"/>
  <c r="R440" i="3" s="1"/>
  <c r="S440" i="3" s="1"/>
  <c r="L439" i="3"/>
  <c r="T440" i="3" l="1"/>
  <c r="AG440" i="3" s="1"/>
  <c r="U439" i="3"/>
  <c r="Y438" i="3"/>
  <c r="AH440" i="3" l="1"/>
  <c r="D440" i="3"/>
  <c r="G440" i="3" s="1"/>
  <c r="E440" i="3"/>
  <c r="H440" i="3" s="1"/>
  <c r="K440" i="3" s="1"/>
  <c r="AE440" i="3" s="1"/>
  <c r="F440" i="3" l="1"/>
  <c r="V440" i="3"/>
  <c r="A441" i="3"/>
  <c r="B441" i="3" s="1"/>
  <c r="I440" i="3"/>
  <c r="J440" i="3"/>
  <c r="M440" i="3"/>
  <c r="N440" i="3" s="1"/>
  <c r="L440" i="3" l="1"/>
  <c r="P441" i="3"/>
  <c r="Q441" i="3" s="1"/>
  <c r="R441" i="3" s="1"/>
  <c r="S441" i="3" s="1"/>
  <c r="AD441" i="3"/>
  <c r="AC441" i="3"/>
  <c r="Z441" i="3"/>
  <c r="AA441" i="3"/>
  <c r="W440" i="3"/>
  <c r="T441" i="3" l="1"/>
  <c r="AG441" i="3" s="1"/>
  <c r="U440" i="3"/>
  <c r="Y439" i="3"/>
  <c r="D441" i="3" l="1"/>
  <c r="G441" i="3" s="1"/>
  <c r="AH441" i="3"/>
  <c r="E441" i="3"/>
  <c r="H441" i="3" s="1"/>
  <c r="K441" i="3" s="1"/>
  <c r="AE441" i="3" s="1"/>
  <c r="F441" i="3" l="1"/>
  <c r="V441" i="3"/>
  <c r="A442" i="3"/>
  <c r="B442" i="3" s="1"/>
  <c r="I441" i="3"/>
  <c r="J441" i="3"/>
  <c r="M441" i="3"/>
  <c r="N441" i="3" s="1"/>
  <c r="AA442" i="3" l="1"/>
  <c r="P442" i="3"/>
  <c r="Q442" i="3" s="1"/>
  <c r="R442" i="3" s="1"/>
  <c r="S442" i="3" s="1"/>
  <c r="AD442" i="3"/>
  <c r="Z442" i="3"/>
  <c r="AC442" i="3"/>
  <c r="L441" i="3"/>
  <c r="W441" i="3"/>
  <c r="T442" i="3" l="1"/>
  <c r="AG442" i="3" s="1"/>
  <c r="U441" i="3"/>
  <c r="Y440" i="3"/>
  <c r="AH442" i="3" l="1"/>
  <c r="E442" i="3"/>
  <c r="H442" i="3" s="1"/>
  <c r="K442" i="3" s="1"/>
  <c r="AE442" i="3" s="1"/>
  <c r="D442" i="3"/>
  <c r="F442" i="3" l="1"/>
  <c r="G442" i="3"/>
  <c r="I442" i="3" s="1"/>
  <c r="V442" i="3"/>
  <c r="A443" i="3"/>
  <c r="B443" i="3" s="1"/>
  <c r="M442" i="3" l="1"/>
  <c r="N442" i="3" s="1"/>
  <c r="J442" i="3"/>
  <c r="L442" i="3" s="1"/>
  <c r="Z443" i="3"/>
  <c r="P443" i="3"/>
  <c r="Q443" i="3" s="1"/>
  <c r="R443" i="3" s="1"/>
  <c r="S443" i="3" s="1"/>
  <c r="AA443" i="3"/>
  <c r="AD443" i="3"/>
  <c r="AC443" i="3"/>
  <c r="W442" i="3"/>
  <c r="T443" i="3" l="1"/>
  <c r="AH443" i="3" s="1"/>
  <c r="U442" i="3"/>
  <c r="Y441" i="3"/>
  <c r="E443" i="3" l="1"/>
  <c r="H443" i="3" s="1"/>
  <c r="K443" i="3" s="1"/>
  <c r="AE443" i="3" s="1"/>
  <c r="AG443" i="3"/>
  <c r="D443" i="3"/>
  <c r="F443" i="3" l="1"/>
  <c r="G443" i="3"/>
  <c r="I443" i="3" s="1"/>
  <c r="V443" i="3"/>
  <c r="A444" i="3"/>
  <c r="B444" i="3" s="1"/>
  <c r="M443" i="3" l="1"/>
  <c r="N443" i="3" s="1"/>
  <c r="J443" i="3"/>
  <c r="L443" i="3" s="1"/>
  <c r="Z444" i="3"/>
  <c r="P444" i="3"/>
  <c r="Q444" i="3" s="1"/>
  <c r="R444" i="3" s="1"/>
  <c r="S444" i="3" s="1"/>
  <c r="AC444" i="3"/>
  <c r="AA444" i="3"/>
  <c r="AD444" i="3"/>
  <c r="W443" i="3"/>
  <c r="T444" i="3" l="1"/>
  <c r="AG444" i="3" s="1"/>
  <c r="U443" i="3"/>
  <c r="Y442" i="3"/>
  <c r="AH444" i="3" l="1"/>
  <c r="D444" i="3"/>
  <c r="G444" i="3" s="1"/>
  <c r="E444" i="3"/>
  <c r="H444" i="3" s="1"/>
  <c r="K444" i="3" l="1"/>
  <c r="AE444" i="3" s="1"/>
  <c r="I444" i="3"/>
  <c r="J444" i="3"/>
  <c r="M444" i="3"/>
  <c r="N444" i="3" s="1"/>
  <c r="F444" i="3"/>
  <c r="L444" i="3" l="1"/>
  <c r="V444" i="3"/>
  <c r="W444" i="3" s="1"/>
  <c r="A445" i="3"/>
  <c r="B445" i="3" s="1"/>
  <c r="Z445" i="3" l="1"/>
  <c r="AC445" i="3"/>
  <c r="AA445" i="3"/>
  <c r="P445" i="3"/>
  <c r="Q445" i="3" s="1"/>
  <c r="R445" i="3" s="1"/>
  <c r="S445" i="3" s="1"/>
  <c r="AD445" i="3"/>
  <c r="U444" i="3"/>
  <c r="Y443" i="3"/>
  <c r="T445" i="3" l="1"/>
  <c r="D445" i="3" s="1"/>
  <c r="E445" i="3" l="1"/>
  <c r="H445" i="3" s="1"/>
  <c r="K445" i="3" s="1"/>
  <c r="AE445" i="3" s="1"/>
  <c r="AG445" i="3"/>
  <c r="AH445" i="3"/>
  <c r="G445" i="3"/>
  <c r="F445" i="3" l="1"/>
  <c r="I445" i="3"/>
  <c r="J445" i="3"/>
  <c r="M445" i="3"/>
  <c r="N445" i="3" s="1"/>
  <c r="V445" i="3"/>
  <c r="A446" i="3"/>
  <c r="B446" i="3" s="1"/>
  <c r="W445" i="3" l="1"/>
  <c r="Z446" i="3"/>
  <c r="AA446" i="3"/>
  <c r="AD446" i="3"/>
  <c r="AC446" i="3"/>
  <c r="P446" i="3"/>
  <c r="Q446" i="3" s="1"/>
  <c r="R446" i="3" s="1"/>
  <c r="S446" i="3" s="1"/>
  <c r="L445" i="3"/>
  <c r="T446" i="3" l="1"/>
  <c r="AH446" i="3" s="1"/>
  <c r="U445" i="3"/>
  <c r="Y444" i="3"/>
  <c r="AG446" i="3" l="1"/>
  <c r="E446" i="3"/>
  <c r="H446" i="3" s="1"/>
  <c r="K446" i="3" s="1"/>
  <c r="AE446" i="3" s="1"/>
  <c r="D446" i="3"/>
  <c r="F446" i="3" l="1"/>
  <c r="G446" i="3"/>
  <c r="I446" i="3" s="1"/>
  <c r="V446" i="3"/>
  <c r="A447" i="3"/>
  <c r="B447" i="3" s="1"/>
  <c r="M446" i="3" l="1"/>
  <c r="N446" i="3" s="1"/>
  <c r="J446" i="3"/>
  <c r="L446" i="3" s="1"/>
  <c r="AA447" i="3"/>
  <c r="AD447" i="3"/>
  <c r="Z447" i="3"/>
  <c r="AC447" i="3"/>
  <c r="P447" i="3"/>
  <c r="Q447" i="3" s="1"/>
  <c r="R447" i="3" s="1"/>
  <c r="S447" i="3" s="1"/>
  <c r="W446" i="3"/>
  <c r="T447" i="3" l="1"/>
  <c r="AG447" i="3" s="1"/>
  <c r="U446" i="3"/>
  <c r="Y445" i="3"/>
  <c r="D447" i="3" l="1"/>
  <c r="G447" i="3" s="1"/>
  <c r="AH447" i="3"/>
  <c r="E447" i="3"/>
  <c r="H447" i="3" s="1"/>
  <c r="K447" i="3" s="1"/>
  <c r="AE447" i="3" s="1"/>
  <c r="F447" i="3" l="1"/>
  <c r="V447" i="3"/>
  <c r="A448" i="3"/>
  <c r="B448" i="3" s="1"/>
  <c r="I447" i="3"/>
  <c r="J447" i="3"/>
  <c r="M447" i="3"/>
  <c r="N447" i="3" s="1"/>
  <c r="L447" i="3" l="1"/>
  <c r="P448" i="3"/>
  <c r="Q448" i="3" s="1"/>
  <c r="R448" i="3" s="1"/>
  <c r="S448" i="3" s="1"/>
  <c r="Z448" i="3"/>
  <c r="AA448" i="3"/>
  <c r="AD448" i="3"/>
  <c r="AC448" i="3"/>
  <c r="W447" i="3"/>
  <c r="T448" i="3" l="1"/>
  <c r="AG448" i="3" s="1"/>
  <c r="U447" i="3"/>
  <c r="Y446" i="3"/>
  <c r="D448" i="3" l="1"/>
  <c r="G448" i="3" s="1"/>
  <c r="AH448" i="3"/>
  <c r="E448" i="3"/>
  <c r="H448" i="3" s="1"/>
  <c r="K448" i="3" s="1"/>
  <c r="AE448" i="3" s="1"/>
  <c r="F448" i="3" l="1"/>
  <c r="V448" i="3"/>
  <c r="A449" i="3"/>
  <c r="B449" i="3" s="1"/>
  <c r="I448" i="3"/>
  <c r="J448" i="3"/>
  <c r="M448" i="3"/>
  <c r="N448" i="3" s="1"/>
  <c r="L448" i="3" l="1"/>
  <c r="AD449" i="3"/>
  <c r="AA449" i="3"/>
  <c r="Z449" i="3"/>
  <c r="P449" i="3"/>
  <c r="Q449" i="3" s="1"/>
  <c r="R449" i="3" s="1"/>
  <c r="S449" i="3" s="1"/>
  <c r="AC449" i="3"/>
  <c r="W448" i="3"/>
  <c r="T449" i="3" l="1"/>
  <c r="AH449" i="3" s="1"/>
  <c r="U448" i="3"/>
  <c r="Y447" i="3"/>
  <c r="E449" i="3" l="1"/>
  <c r="H449" i="3" s="1"/>
  <c r="K449" i="3" s="1"/>
  <c r="AE449" i="3" s="1"/>
  <c r="D449" i="3"/>
  <c r="G449" i="3" s="1"/>
  <c r="AG449" i="3"/>
  <c r="F449" i="3" l="1"/>
  <c r="I449" i="3"/>
  <c r="J449" i="3"/>
  <c r="M449" i="3"/>
  <c r="N449" i="3" s="1"/>
  <c r="V449" i="3"/>
  <c r="A450" i="3"/>
  <c r="B450" i="3" s="1"/>
  <c r="W449" i="3" l="1"/>
  <c r="Z450" i="3"/>
  <c r="AC450" i="3"/>
  <c r="AA450" i="3"/>
  <c r="AD450" i="3"/>
  <c r="P450" i="3"/>
  <c r="Q450" i="3" s="1"/>
  <c r="R450" i="3" s="1"/>
  <c r="S450" i="3" s="1"/>
  <c r="L449" i="3"/>
  <c r="T450" i="3" l="1"/>
  <c r="U449" i="3"/>
  <c r="Y448" i="3"/>
  <c r="E450" i="3" l="1"/>
  <c r="H450" i="3" s="1"/>
  <c r="K450" i="3" s="1"/>
  <c r="AE450" i="3" s="1"/>
  <c r="AH450" i="3"/>
  <c r="D450" i="3"/>
  <c r="G450" i="3" s="1"/>
  <c r="AG450" i="3"/>
  <c r="F450" i="3" l="1"/>
  <c r="I450" i="3"/>
  <c r="J450" i="3"/>
  <c r="M450" i="3"/>
  <c r="N450" i="3" s="1"/>
  <c r="V450" i="3"/>
  <c r="A451" i="3"/>
  <c r="B451" i="3" s="1"/>
  <c r="W450" i="3" l="1"/>
  <c r="P451" i="3"/>
  <c r="Q451" i="3" s="1"/>
  <c r="R451" i="3" s="1"/>
  <c r="S451" i="3" s="1"/>
  <c r="AC451" i="3"/>
  <c r="AD451" i="3"/>
  <c r="AA451" i="3"/>
  <c r="Z451" i="3"/>
  <c r="L450" i="3"/>
  <c r="U450" i="3" l="1"/>
  <c r="Y449" i="3"/>
  <c r="T451" i="3"/>
  <c r="AH451" i="3" s="1"/>
  <c r="D451" i="3" l="1"/>
  <c r="AG451" i="3"/>
  <c r="E451" i="3"/>
  <c r="H451" i="3" s="1"/>
  <c r="K451" i="3" l="1"/>
  <c r="AE451" i="3" s="1"/>
  <c r="F451" i="3"/>
  <c r="G451" i="3"/>
  <c r="I451" i="3" l="1"/>
  <c r="J451" i="3"/>
  <c r="M451" i="3"/>
  <c r="N451" i="3" s="1"/>
  <c r="V451" i="3"/>
  <c r="A452" i="3"/>
  <c r="B452" i="3" s="1"/>
  <c r="W451" i="3" l="1"/>
  <c r="AD452" i="3"/>
  <c r="AA452" i="3"/>
  <c r="AC452" i="3"/>
  <c r="Z452" i="3"/>
  <c r="P452" i="3"/>
  <c r="Q452" i="3" s="1"/>
  <c r="R452" i="3" s="1"/>
  <c r="S452" i="3" s="1"/>
  <c r="L451" i="3"/>
  <c r="T452" i="3" l="1"/>
  <c r="AH452" i="3" s="1"/>
  <c r="U451" i="3"/>
  <c r="Y450" i="3"/>
  <c r="D452" i="3" l="1"/>
  <c r="G452" i="3" s="1"/>
  <c r="AG452" i="3"/>
  <c r="E452" i="3"/>
  <c r="H452" i="3" s="1"/>
  <c r="K452" i="3" l="1"/>
  <c r="AE452" i="3" s="1"/>
  <c r="I452" i="3"/>
  <c r="J452" i="3"/>
  <c r="M452" i="3"/>
  <c r="N452" i="3" s="1"/>
  <c r="F452" i="3"/>
  <c r="L452" i="3" l="1"/>
  <c r="V452" i="3"/>
  <c r="W452" i="3" s="1"/>
  <c r="A453" i="3"/>
  <c r="B453" i="3" s="1"/>
  <c r="AA453" i="3" l="1"/>
  <c r="Z453" i="3"/>
  <c r="AD453" i="3"/>
  <c r="P453" i="3"/>
  <c r="Q453" i="3" s="1"/>
  <c r="R453" i="3" s="1"/>
  <c r="S453" i="3" s="1"/>
  <c r="AC453" i="3"/>
  <c r="U452" i="3"/>
  <c r="Y451" i="3"/>
  <c r="T453" i="3" l="1"/>
  <c r="AG453" i="3" s="1"/>
  <c r="AH453" i="3" l="1"/>
  <c r="D453" i="3"/>
  <c r="G453" i="3" s="1"/>
  <c r="E453" i="3"/>
  <c r="H453" i="3" s="1"/>
  <c r="K453" i="3" s="1"/>
  <c r="AE453" i="3" s="1"/>
  <c r="F453" i="3" l="1"/>
  <c r="V453" i="3"/>
  <c r="A454" i="3"/>
  <c r="B454" i="3" s="1"/>
  <c r="I453" i="3"/>
  <c r="J453" i="3"/>
  <c r="M453" i="3"/>
  <c r="N453" i="3" s="1"/>
  <c r="L453" i="3" l="1"/>
  <c r="Z454" i="3"/>
  <c r="AC454" i="3"/>
  <c r="P454" i="3"/>
  <c r="Q454" i="3" s="1"/>
  <c r="R454" i="3" s="1"/>
  <c r="S454" i="3" s="1"/>
  <c r="AD454" i="3"/>
  <c r="AA454" i="3"/>
  <c r="W453" i="3"/>
  <c r="T454" i="3" l="1"/>
  <c r="AG454" i="3" s="1"/>
  <c r="U453" i="3"/>
  <c r="Y452" i="3"/>
  <c r="D454" i="3" l="1"/>
  <c r="G454" i="3" s="1"/>
  <c r="AH454" i="3"/>
  <c r="E454" i="3"/>
  <c r="H454" i="3" s="1"/>
  <c r="K454" i="3" s="1"/>
  <c r="AE454" i="3" s="1"/>
  <c r="F454" i="3" l="1"/>
  <c r="V454" i="3"/>
  <c r="A455" i="3"/>
  <c r="B455" i="3" s="1"/>
  <c r="I454" i="3"/>
  <c r="J454" i="3"/>
  <c r="M454" i="3"/>
  <c r="N454" i="3" s="1"/>
  <c r="AA455" i="3" l="1"/>
  <c r="Z455" i="3"/>
  <c r="AC455" i="3"/>
  <c r="P455" i="3"/>
  <c r="Q455" i="3" s="1"/>
  <c r="R455" i="3" s="1"/>
  <c r="S455" i="3" s="1"/>
  <c r="AD455" i="3"/>
  <c r="L454" i="3"/>
  <c r="W454" i="3"/>
  <c r="T455" i="3" l="1"/>
  <c r="AH455" i="3" s="1"/>
  <c r="U454" i="3"/>
  <c r="Y453" i="3"/>
  <c r="E455" i="3" l="1"/>
  <c r="H455" i="3" s="1"/>
  <c r="K455" i="3" s="1"/>
  <c r="AE455" i="3" s="1"/>
  <c r="AG455" i="3"/>
  <c r="D455" i="3"/>
  <c r="G455" i="3" s="1"/>
  <c r="F455" i="3" l="1"/>
  <c r="I455" i="3"/>
  <c r="J455" i="3"/>
  <c r="M455" i="3"/>
  <c r="N455" i="3" s="1"/>
  <c r="V455" i="3"/>
  <c r="A456" i="3"/>
  <c r="B456" i="3" s="1"/>
  <c r="W455" i="3" l="1"/>
  <c r="AA456" i="3"/>
  <c r="AC456" i="3"/>
  <c r="AD456" i="3"/>
  <c r="Z456" i="3"/>
  <c r="P456" i="3"/>
  <c r="Q456" i="3" s="1"/>
  <c r="R456" i="3" s="1"/>
  <c r="S456" i="3" s="1"/>
  <c r="L455" i="3"/>
  <c r="T456" i="3" l="1"/>
  <c r="AG456" i="3" s="1"/>
  <c r="U455" i="3"/>
  <c r="Y454" i="3"/>
  <c r="AH456" i="3" l="1"/>
  <c r="D456" i="3"/>
  <c r="G456" i="3" s="1"/>
  <c r="E456" i="3"/>
  <c r="H456" i="3" s="1"/>
  <c r="K456" i="3" s="1"/>
  <c r="AE456" i="3" s="1"/>
  <c r="F456" i="3" l="1"/>
  <c r="V456" i="3"/>
  <c r="A457" i="3"/>
  <c r="B457" i="3" s="1"/>
  <c r="I456" i="3"/>
  <c r="J456" i="3"/>
  <c r="M456" i="3"/>
  <c r="N456" i="3" s="1"/>
  <c r="AD457" i="3" l="1"/>
  <c r="AA457" i="3"/>
  <c r="AC457" i="3"/>
  <c r="P457" i="3"/>
  <c r="Q457" i="3" s="1"/>
  <c r="R457" i="3" s="1"/>
  <c r="S457" i="3" s="1"/>
  <c r="Z457" i="3"/>
  <c r="L456" i="3"/>
  <c r="W456" i="3"/>
  <c r="T457" i="3" l="1"/>
  <c r="AH457" i="3" s="1"/>
  <c r="U456" i="3"/>
  <c r="Y455" i="3"/>
  <c r="E457" i="3" l="1"/>
  <c r="H457" i="3" s="1"/>
  <c r="K457" i="3" s="1"/>
  <c r="AE457" i="3" s="1"/>
  <c r="D457" i="3"/>
  <c r="AG457" i="3"/>
  <c r="F457" i="3" l="1"/>
  <c r="G457" i="3"/>
  <c r="I457" i="3" s="1"/>
  <c r="V457" i="3"/>
  <c r="A458" i="3"/>
  <c r="B458" i="3" s="1"/>
  <c r="J457" i="3" l="1"/>
  <c r="L457" i="3" s="1"/>
  <c r="M457" i="3"/>
  <c r="N457" i="3" s="1"/>
  <c r="AA458" i="3"/>
  <c r="P458" i="3"/>
  <c r="Q458" i="3" s="1"/>
  <c r="R458" i="3" s="1"/>
  <c r="S458" i="3" s="1"/>
  <c r="Z458" i="3"/>
  <c r="AD458" i="3"/>
  <c r="AC458" i="3"/>
  <c r="W457" i="3"/>
  <c r="T458" i="3" l="1"/>
  <c r="AH458" i="3" s="1"/>
  <c r="U457" i="3"/>
  <c r="Y456" i="3"/>
  <c r="E458" i="3" l="1"/>
  <c r="H458" i="3" s="1"/>
  <c r="K458" i="3" s="1"/>
  <c r="AE458" i="3" s="1"/>
  <c r="AG458" i="3"/>
  <c r="D458" i="3"/>
  <c r="F458" i="3" l="1"/>
  <c r="G458" i="3"/>
  <c r="V458" i="3"/>
  <c r="A459" i="3"/>
  <c r="B459" i="3" s="1"/>
  <c r="AA459" i="3" l="1"/>
  <c r="AD459" i="3"/>
  <c r="AC459" i="3"/>
  <c r="P459" i="3"/>
  <c r="Q459" i="3" s="1"/>
  <c r="R459" i="3" s="1"/>
  <c r="S459" i="3" s="1"/>
  <c r="Z459" i="3"/>
  <c r="I458" i="3"/>
  <c r="W458" i="3" s="1"/>
  <c r="J458" i="3"/>
  <c r="M458" i="3"/>
  <c r="N458" i="3" s="1"/>
  <c r="T459" i="3" l="1"/>
  <c r="L458" i="3"/>
  <c r="AG459" i="3" l="1"/>
  <c r="AH459" i="3"/>
  <c r="U458" i="3"/>
  <c r="D459" i="3" s="1"/>
  <c r="Y457" i="3"/>
  <c r="E459" i="3" l="1"/>
  <c r="H459" i="3" s="1"/>
  <c r="K459" i="3" s="1"/>
  <c r="AE459" i="3" s="1"/>
  <c r="G459" i="3"/>
  <c r="F459" i="3" l="1"/>
  <c r="V459" i="3"/>
  <c r="A460" i="3"/>
  <c r="B460" i="3" s="1"/>
  <c r="I459" i="3"/>
  <c r="J459" i="3"/>
  <c r="M459" i="3"/>
  <c r="N459" i="3" s="1"/>
  <c r="W459" i="3" l="1"/>
  <c r="L459" i="3"/>
  <c r="AD460" i="3"/>
  <c r="AC460" i="3"/>
  <c r="Z460" i="3"/>
  <c r="AA460" i="3"/>
  <c r="P460" i="3"/>
  <c r="Q460" i="3" s="1"/>
  <c r="R460" i="3" s="1"/>
  <c r="S460" i="3" s="1"/>
  <c r="U459" i="3" l="1"/>
  <c r="Y458" i="3"/>
  <c r="T460" i="3"/>
  <c r="AG460" i="3" s="1"/>
  <c r="E460" i="3" l="1"/>
  <c r="H460" i="3" s="1"/>
  <c r="K460" i="3" s="1"/>
  <c r="AE460" i="3" s="1"/>
  <c r="AH460" i="3"/>
  <c r="D460" i="3"/>
  <c r="F460" i="3" l="1"/>
  <c r="G460" i="3"/>
  <c r="I460" i="3" s="1"/>
  <c r="V460" i="3"/>
  <c r="A461" i="3"/>
  <c r="B461" i="3" s="1"/>
  <c r="M460" i="3" l="1"/>
  <c r="N460" i="3" s="1"/>
  <c r="J460" i="3"/>
  <c r="L460" i="3" s="1"/>
  <c r="W460" i="3"/>
  <c r="Z461" i="3"/>
  <c r="P461" i="3"/>
  <c r="Q461" i="3" s="1"/>
  <c r="R461" i="3" s="1"/>
  <c r="S461" i="3" s="1"/>
  <c r="AC461" i="3"/>
  <c r="AD461" i="3"/>
  <c r="AA461" i="3"/>
  <c r="T461" i="3" l="1"/>
  <c r="AH461" i="3" s="1"/>
  <c r="U460" i="3"/>
  <c r="Y459" i="3"/>
  <c r="E461" i="3" l="1"/>
  <c r="H461" i="3" s="1"/>
  <c r="K461" i="3" s="1"/>
  <c r="AE461" i="3" s="1"/>
  <c r="D461" i="3"/>
  <c r="AG461" i="3"/>
  <c r="F461" i="3" l="1"/>
  <c r="G461" i="3"/>
  <c r="I461" i="3" s="1"/>
  <c r="V461" i="3"/>
  <c r="A462" i="3"/>
  <c r="B462" i="3" s="1"/>
  <c r="M461" i="3" l="1"/>
  <c r="N461" i="3" s="1"/>
  <c r="J461" i="3"/>
  <c r="L461" i="3" s="1"/>
  <c r="W461" i="3"/>
  <c r="AA462" i="3"/>
  <c r="AC462" i="3"/>
  <c r="AD462" i="3"/>
  <c r="Z462" i="3"/>
  <c r="P462" i="3"/>
  <c r="Q462" i="3" s="1"/>
  <c r="R462" i="3" s="1"/>
  <c r="S462" i="3" s="1"/>
  <c r="T462" i="3" l="1"/>
  <c r="AH462" i="3" s="1"/>
  <c r="U461" i="3"/>
  <c r="Y460" i="3"/>
  <c r="AG462" i="3" l="1"/>
  <c r="E462" i="3"/>
  <c r="H462" i="3" s="1"/>
  <c r="K462" i="3" s="1"/>
  <c r="AE462" i="3" s="1"/>
  <c r="D462" i="3"/>
  <c r="G462" i="3" s="1"/>
  <c r="F462" i="3" l="1"/>
  <c r="I462" i="3"/>
  <c r="J462" i="3"/>
  <c r="M462" i="3"/>
  <c r="N462" i="3" s="1"/>
  <c r="V462" i="3"/>
  <c r="A463" i="3"/>
  <c r="B463" i="3" s="1"/>
  <c r="W462" i="3" l="1"/>
  <c r="AC463" i="3"/>
  <c r="Z463" i="3"/>
  <c r="P463" i="3"/>
  <c r="Q463" i="3" s="1"/>
  <c r="R463" i="3" s="1"/>
  <c r="S463" i="3" s="1"/>
  <c r="AA463" i="3"/>
  <c r="AD463" i="3"/>
  <c r="L462" i="3"/>
  <c r="T463" i="3" l="1"/>
  <c r="AH463" i="3" s="1"/>
  <c r="U462" i="3"/>
  <c r="Y461" i="3"/>
  <c r="D463" i="3" l="1"/>
  <c r="G463" i="3" s="1"/>
  <c r="E463" i="3"/>
  <c r="H463" i="3" s="1"/>
  <c r="K463" i="3" s="1"/>
  <c r="AE463" i="3" s="1"/>
  <c r="AG463" i="3"/>
  <c r="F463" i="3" l="1"/>
  <c r="V463" i="3"/>
  <c r="A464" i="3"/>
  <c r="B464" i="3" s="1"/>
  <c r="I463" i="3"/>
  <c r="J463" i="3"/>
  <c r="M463" i="3"/>
  <c r="N463" i="3" s="1"/>
  <c r="AA464" i="3" l="1"/>
  <c r="P464" i="3"/>
  <c r="Q464" i="3" s="1"/>
  <c r="R464" i="3" s="1"/>
  <c r="S464" i="3" s="1"/>
  <c r="AD464" i="3"/>
  <c r="AC464" i="3"/>
  <c r="Z464" i="3"/>
  <c r="L463" i="3"/>
  <c r="W463" i="3"/>
  <c r="T464" i="3" l="1"/>
  <c r="AH464" i="3" s="1"/>
  <c r="U463" i="3"/>
  <c r="Y462" i="3"/>
  <c r="E464" i="3" l="1"/>
  <c r="H464" i="3" s="1"/>
  <c r="K464" i="3" s="1"/>
  <c r="AE464" i="3" s="1"/>
  <c r="AG464" i="3"/>
  <c r="D464" i="3"/>
  <c r="F464" i="3" l="1"/>
  <c r="G464" i="3"/>
  <c r="I464" i="3" s="1"/>
  <c r="V464" i="3"/>
  <c r="A465" i="3"/>
  <c r="B465" i="3" s="1"/>
  <c r="M464" i="3" l="1"/>
  <c r="N464" i="3" s="1"/>
  <c r="J464" i="3"/>
  <c r="L464" i="3" s="1"/>
  <c r="AD465" i="3"/>
  <c r="AA465" i="3"/>
  <c r="Z465" i="3"/>
  <c r="AC465" i="3"/>
  <c r="P465" i="3"/>
  <c r="Q465" i="3" s="1"/>
  <c r="R465" i="3" s="1"/>
  <c r="S465" i="3" s="1"/>
  <c r="W464" i="3"/>
  <c r="T465" i="3" l="1"/>
  <c r="AH465" i="3" s="1"/>
  <c r="U464" i="3"/>
  <c r="Y463" i="3"/>
  <c r="AG465" i="3" l="1"/>
  <c r="E465" i="3"/>
  <c r="H465" i="3" s="1"/>
  <c r="K465" i="3" s="1"/>
  <c r="AE465" i="3" s="1"/>
  <c r="D465" i="3"/>
  <c r="F465" i="3" l="1"/>
  <c r="G465" i="3"/>
  <c r="J465" i="3" s="1"/>
  <c r="V465" i="3"/>
  <c r="A466" i="3"/>
  <c r="B466" i="3" s="1"/>
  <c r="M465" i="3" l="1"/>
  <c r="N465" i="3" s="1"/>
  <c r="I465" i="3"/>
  <c r="W465" i="3" s="1"/>
  <c r="L465" i="3"/>
  <c r="Z466" i="3"/>
  <c r="AA466" i="3"/>
  <c r="P466" i="3"/>
  <c r="Q466" i="3" s="1"/>
  <c r="R466" i="3" s="1"/>
  <c r="S466" i="3" s="1"/>
  <c r="AD466" i="3"/>
  <c r="AC466" i="3"/>
  <c r="T466" i="3" l="1"/>
  <c r="AH466" i="3" s="1"/>
  <c r="U465" i="3"/>
  <c r="Y464" i="3"/>
  <c r="E466" i="3" l="1"/>
  <c r="H466" i="3" s="1"/>
  <c r="K466" i="3" s="1"/>
  <c r="AE466" i="3" s="1"/>
  <c r="AG466" i="3"/>
  <c r="D466" i="3"/>
  <c r="F466" i="3" l="1"/>
  <c r="G466" i="3"/>
  <c r="J466" i="3" s="1"/>
  <c r="V466" i="3"/>
  <c r="A467" i="3"/>
  <c r="B467" i="3" s="1"/>
  <c r="M466" i="3" l="1"/>
  <c r="N466" i="3" s="1"/>
  <c r="I466" i="3"/>
  <c r="W466" i="3" s="1"/>
  <c r="L466" i="3"/>
  <c r="AA467" i="3"/>
  <c r="AD467" i="3"/>
  <c r="Z467" i="3"/>
  <c r="P467" i="3"/>
  <c r="Q467" i="3" s="1"/>
  <c r="R467" i="3" s="1"/>
  <c r="S467" i="3" s="1"/>
  <c r="AC467" i="3"/>
  <c r="T467" i="3" l="1"/>
  <c r="AH467" i="3" s="1"/>
  <c r="U466" i="3"/>
  <c r="Y465" i="3"/>
  <c r="D467" i="3" l="1"/>
  <c r="G467" i="3" s="1"/>
  <c r="AG467" i="3"/>
  <c r="E467" i="3"/>
  <c r="H467" i="3" s="1"/>
  <c r="K467" i="3" s="1"/>
  <c r="AE467" i="3" s="1"/>
  <c r="F467" i="3" l="1"/>
  <c r="V467" i="3"/>
  <c r="A468" i="3"/>
  <c r="B468" i="3" s="1"/>
  <c r="I467" i="3"/>
  <c r="J467" i="3"/>
  <c r="M467" i="3"/>
  <c r="N467" i="3" s="1"/>
  <c r="L467" i="3" l="1"/>
  <c r="AC468" i="3"/>
  <c r="Z468" i="3"/>
  <c r="P468" i="3"/>
  <c r="Q468" i="3" s="1"/>
  <c r="R468" i="3" s="1"/>
  <c r="S468" i="3" s="1"/>
  <c r="AA468" i="3"/>
  <c r="AD468" i="3"/>
  <c r="W467" i="3"/>
  <c r="T468" i="3" l="1"/>
  <c r="U467" i="3"/>
  <c r="Y466" i="3"/>
  <c r="D468" i="3" l="1"/>
  <c r="G468" i="3" s="1"/>
  <c r="E468" i="3"/>
  <c r="H468" i="3" s="1"/>
  <c r="K468" i="3" s="1"/>
  <c r="AE468" i="3" s="1"/>
  <c r="AG468" i="3"/>
  <c r="AH468" i="3"/>
  <c r="F468" i="3" l="1"/>
  <c r="V468" i="3"/>
  <c r="A469" i="3"/>
  <c r="B469" i="3" s="1"/>
  <c r="I468" i="3"/>
  <c r="J468" i="3"/>
  <c r="M468" i="3"/>
  <c r="N468" i="3" s="1"/>
  <c r="Z469" i="3" l="1"/>
  <c r="AD469" i="3"/>
  <c r="AA469" i="3"/>
  <c r="AC469" i="3"/>
  <c r="P469" i="3"/>
  <c r="Q469" i="3" s="1"/>
  <c r="R469" i="3" s="1"/>
  <c r="S469" i="3" s="1"/>
  <c r="L468" i="3"/>
  <c r="W468" i="3"/>
  <c r="U468" i="3" l="1"/>
  <c r="Y467" i="3"/>
  <c r="T469" i="3"/>
  <c r="AG469" i="3" s="1"/>
  <c r="E469" i="3" l="1"/>
  <c r="H469" i="3" s="1"/>
  <c r="K469" i="3" s="1"/>
  <c r="AE469" i="3" s="1"/>
  <c r="D469" i="3"/>
  <c r="AH469" i="3"/>
  <c r="F469" i="3" l="1"/>
  <c r="G469" i="3"/>
  <c r="I469" i="3" s="1"/>
  <c r="V469" i="3"/>
  <c r="A470" i="3"/>
  <c r="B470" i="3" s="1"/>
  <c r="M469" i="3" l="1"/>
  <c r="N469" i="3" s="1"/>
  <c r="J469" i="3"/>
  <c r="L469" i="3" s="1"/>
  <c r="AA470" i="3"/>
  <c r="Z470" i="3"/>
  <c r="AD470" i="3"/>
  <c r="AC470" i="3"/>
  <c r="P470" i="3"/>
  <c r="Q470" i="3" s="1"/>
  <c r="R470" i="3" s="1"/>
  <c r="S470" i="3" s="1"/>
  <c r="W469" i="3"/>
  <c r="U469" i="3" l="1"/>
  <c r="Y468" i="3"/>
  <c r="T470" i="3"/>
  <c r="E470" i="3" l="1"/>
  <c r="H470" i="3" s="1"/>
  <c r="K470" i="3" s="1"/>
  <c r="AE470" i="3" s="1"/>
  <c r="AH470" i="3"/>
  <c r="D470" i="3"/>
  <c r="AG470" i="3"/>
  <c r="F470" i="3" l="1"/>
  <c r="G470" i="3"/>
  <c r="V470" i="3"/>
  <c r="A471" i="3"/>
  <c r="B471" i="3" s="1"/>
  <c r="Z471" i="3" l="1"/>
  <c r="AA471" i="3"/>
  <c r="AD471" i="3"/>
  <c r="AC471" i="3"/>
  <c r="P471" i="3"/>
  <c r="Q471" i="3" s="1"/>
  <c r="R471" i="3" s="1"/>
  <c r="S471" i="3" s="1"/>
  <c r="I470" i="3"/>
  <c r="W470" i="3" s="1"/>
  <c r="J470" i="3"/>
  <c r="M470" i="3"/>
  <c r="N470" i="3" s="1"/>
  <c r="T471" i="3" l="1"/>
  <c r="L470" i="3"/>
  <c r="U470" i="3" l="1"/>
  <c r="E471" i="3" s="1"/>
  <c r="H471" i="3" s="1"/>
  <c r="AG471" i="3"/>
  <c r="AH471" i="3"/>
  <c r="Y469" i="3"/>
  <c r="D471" i="3" l="1"/>
  <c r="F471" i="3" s="1"/>
  <c r="K471" i="3"/>
  <c r="AE471" i="3" s="1"/>
  <c r="G471" i="3" l="1"/>
  <c r="I471" i="3" s="1"/>
  <c r="V471" i="3"/>
  <c r="A472" i="3"/>
  <c r="B472" i="3" s="1"/>
  <c r="M471" i="3" l="1"/>
  <c r="N471" i="3" s="1"/>
  <c r="J471" i="3"/>
  <c r="L471" i="3" s="1"/>
  <c r="W471" i="3"/>
  <c r="P472" i="3"/>
  <c r="Q472" i="3" s="1"/>
  <c r="R472" i="3" s="1"/>
  <c r="S472" i="3" s="1"/>
  <c r="AD472" i="3"/>
  <c r="AA472" i="3"/>
  <c r="AC472" i="3"/>
  <c r="Z472" i="3"/>
  <c r="U471" i="3" l="1"/>
  <c r="Y470" i="3"/>
  <c r="T472" i="3"/>
  <c r="AH472" i="3" s="1"/>
  <c r="D472" i="3" l="1"/>
  <c r="E472" i="3"/>
  <c r="H472" i="3" s="1"/>
  <c r="AG472" i="3"/>
  <c r="K472" i="3" l="1"/>
  <c r="AE472" i="3" s="1"/>
  <c r="F472" i="3"/>
  <c r="G472" i="3"/>
  <c r="I472" i="3" l="1"/>
  <c r="J472" i="3"/>
  <c r="M472" i="3"/>
  <c r="N472" i="3" s="1"/>
  <c r="V472" i="3"/>
  <c r="A473" i="3"/>
  <c r="B473" i="3" s="1"/>
  <c r="W472" i="3" l="1"/>
  <c r="Z473" i="3"/>
  <c r="AA473" i="3"/>
  <c r="AD473" i="3"/>
  <c r="AC473" i="3"/>
  <c r="P473" i="3"/>
  <c r="Q473" i="3" s="1"/>
  <c r="R473" i="3" s="1"/>
  <c r="S473" i="3" s="1"/>
  <c r="L472" i="3"/>
  <c r="T473" i="3" l="1"/>
  <c r="AH473" i="3" s="1"/>
  <c r="U472" i="3"/>
  <c r="Y471" i="3"/>
  <c r="D473" i="3" l="1"/>
  <c r="G473" i="3" s="1"/>
  <c r="AG473" i="3"/>
  <c r="E473" i="3"/>
  <c r="H473" i="3" s="1"/>
  <c r="K473" i="3" l="1"/>
  <c r="AE473" i="3" s="1"/>
  <c r="I473" i="3"/>
  <c r="J473" i="3"/>
  <c r="M473" i="3"/>
  <c r="N473" i="3" s="1"/>
  <c r="F473" i="3"/>
  <c r="L473" i="3" l="1"/>
  <c r="V473" i="3"/>
  <c r="W473" i="3" s="1"/>
  <c r="A474" i="3"/>
  <c r="B474" i="3" s="1"/>
  <c r="Z474" i="3" l="1"/>
  <c r="AA474" i="3"/>
  <c r="P474" i="3"/>
  <c r="Q474" i="3" s="1"/>
  <c r="R474" i="3" s="1"/>
  <c r="S474" i="3" s="1"/>
  <c r="AC474" i="3"/>
  <c r="AD474" i="3"/>
  <c r="U473" i="3"/>
  <c r="Y472" i="3"/>
  <c r="T474" i="3" l="1"/>
  <c r="AH474" i="3" s="1"/>
  <c r="D474" i="3" l="1"/>
  <c r="E474" i="3"/>
  <c r="H474" i="3" s="1"/>
  <c r="AG474" i="3"/>
  <c r="K474" i="3" l="1"/>
  <c r="AE474" i="3" s="1"/>
  <c r="F474" i="3"/>
  <c r="G474" i="3"/>
  <c r="I474" i="3" l="1"/>
  <c r="J474" i="3"/>
  <c r="M474" i="3"/>
  <c r="N474" i="3" s="1"/>
  <c r="V474" i="3"/>
  <c r="A475" i="3"/>
  <c r="B475" i="3" s="1"/>
  <c r="W474" i="3" l="1"/>
  <c r="P475" i="3"/>
  <c r="Q475" i="3" s="1"/>
  <c r="R475" i="3" s="1"/>
  <c r="S475" i="3" s="1"/>
  <c r="AC475" i="3"/>
  <c r="AD475" i="3"/>
  <c r="AA475" i="3"/>
  <c r="Z475" i="3"/>
  <c r="L474" i="3"/>
  <c r="U474" i="3" l="1"/>
  <c r="Y473" i="3"/>
  <c r="T475" i="3"/>
  <c r="D475" i="3" l="1"/>
  <c r="G475" i="3" s="1"/>
  <c r="AH475" i="3"/>
  <c r="AG475" i="3"/>
  <c r="E475" i="3"/>
  <c r="H475" i="3" s="1"/>
  <c r="K475" i="3" l="1"/>
  <c r="AE475" i="3" s="1"/>
  <c r="I475" i="3"/>
  <c r="J475" i="3"/>
  <c r="M475" i="3"/>
  <c r="N475" i="3" s="1"/>
  <c r="F475" i="3"/>
  <c r="L475" i="3" l="1"/>
  <c r="V475" i="3"/>
  <c r="W475" i="3" s="1"/>
  <c r="A476" i="3"/>
  <c r="B476" i="3" s="1"/>
  <c r="AA476" i="3" l="1"/>
  <c r="AD476" i="3"/>
  <c r="AC476" i="3"/>
  <c r="P476" i="3"/>
  <c r="Q476" i="3" s="1"/>
  <c r="R476" i="3" s="1"/>
  <c r="S476" i="3" s="1"/>
  <c r="Z476" i="3"/>
  <c r="U475" i="3"/>
  <c r="Y474" i="3"/>
  <c r="T476" i="3" l="1"/>
  <c r="E476" i="3" s="1"/>
  <c r="H476" i="3" s="1"/>
  <c r="D476" i="3" l="1"/>
  <c r="F476" i="3" s="1"/>
  <c r="AG476" i="3"/>
  <c r="AH476" i="3"/>
  <c r="K476" i="3"/>
  <c r="AE476" i="3" s="1"/>
  <c r="G476" i="3" l="1"/>
  <c r="I476" i="3" s="1"/>
  <c r="V476" i="3"/>
  <c r="A477" i="3"/>
  <c r="B477" i="3" s="1"/>
  <c r="M476" i="3" l="1"/>
  <c r="N476" i="3" s="1"/>
  <c r="J476" i="3"/>
  <c r="L476" i="3" s="1"/>
  <c r="W476" i="3"/>
  <c r="AA477" i="3"/>
  <c r="AD477" i="3"/>
  <c r="AC477" i="3"/>
  <c r="P477" i="3"/>
  <c r="Q477" i="3" s="1"/>
  <c r="R477" i="3" s="1"/>
  <c r="S477" i="3" s="1"/>
  <c r="Z477" i="3"/>
  <c r="T477" i="3" l="1"/>
  <c r="AG477" i="3" s="1"/>
  <c r="U476" i="3"/>
  <c r="Y475" i="3"/>
  <c r="D477" i="3" l="1"/>
  <c r="G477" i="3" s="1"/>
  <c r="AH477" i="3"/>
  <c r="E477" i="3"/>
  <c r="H477" i="3" s="1"/>
  <c r="K477" i="3" s="1"/>
  <c r="AE477" i="3" s="1"/>
  <c r="F477" i="3" l="1"/>
  <c r="V477" i="3"/>
  <c r="A478" i="3"/>
  <c r="B478" i="3" s="1"/>
  <c r="I477" i="3"/>
  <c r="J477" i="3"/>
  <c r="M477" i="3"/>
  <c r="N477" i="3" s="1"/>
  <c r="L477" i="3" l="1"/>
  <c r="AC478" i="3"/>
  <c r="Z478" i="3"/>
  <c r="AA478" i="3"/>
  <c r="AD478" i="3"/>
  <c r="P478" i="3"/>
  <c r="Q478" i="3" s="1"/>
  <c r="R478" i="3" s="1"/>
  <c r="S478" i="3" s="1"/>
  <c r="W477" i="3"/>
  <c r="T478" i="3" l="1"/>
  <c r="AH478" i="3" s="1"/>
  <c r="U477" i="3"/>
  <c r="Y476" i="3"/>
  <c r="AG478" i="3" l="1"/>
  <c r="D478" i="3"/>
  <c r="G478" i="3" s="1"/>
  <c r="E478" i="3"/>
  <c r="H478" i="3" s="1"/>
  <c r="K478" i="3" s="1"/>
  <c r="AE478" i="3" s="1"/>
  <c r="F478" i="3" l="1"/>
  <c r="V478" i="3"/>
  <c r="A479" i="3"/>
  <c r="B479" i="3" s="1"/>
  <c r="I478" i="3"/>
  <c r="J478" i="3"/>
  <c r="M478" i="3"/>
  <c r="N478" i="3" s="1"/>
  <c r="AD479" i="3" l="1"/>
  <c r="P479" i="3"/>
  <c r="Q479" i="3" s="1"/>
  <c r="R479" i="3" s="1"/>
  <c r="S479" i="3" s="1"/>
  <c r="AA479" i="3"/>
  <c r="Z479" i="3"/>
  <c r="AC479" i="3"/>
  <c r="L478" i="3"/>
  <c r="W478" i="3"/>
  <c r="T479" i="3" l="1"/>
  <c r="AG479" i="3" s="1"/>
  <c r="U478" i="3"/>
  <c r="Y477" i="3"/>
  <c r="AH479" i="3" l="1"/>
  <c r="D479" i="3"/>
  <c r="G479" i="3" s="1"/>
  <c r="E479" i="3"/>
  <c r="H479" i="3" s="1"/>
  <c r="K479" i="3" s="1"/>
  <c r="AE479" i="3" s="1"/>
  <c r="F479" i="3" l="1"/>
  <c r="V479" i="3"/>
  <c r="A480" i="3"/>
  <c r="B480" i="3" s="1"/>
  <c r="I479" i="3"/>
  <c r="J479" i="3"/>
  <c r="M479" i="3"/>
  <c r="N479" i="3" s="1"/>
  <c r="P480" i="3" l="1"/>
  <c r="Q480" i="3" s="1"/>
  <c r="R480" i="3" s="1"/>
  <c r="S480" i="3" s="1"/>
  <c r="AA480" i="3"/>
  <c r="AC480" i="3"/>
  <c r="AD480" i="3"/>
  <c r="Z480" i="3"/>
  <c r="L479" i="3"/>
  <c r="W479" i="3"/>
  <c r="U479" i="3" l="1"/>
  <c r="Y478" i="3"/>
  <c r="T480" i="3"/>
  <c r="AH480" i="3" s="1"/>
  <c r="D480" i="3" l="1"/>
  <c r="AG480" i="3"/>
  <c r="E480" i="3"/>
  <c r="H480" i="3" s="1"/>
  <c r="K480" i="3" l="1"/>
  <c r="AE480" i="3" s="1"/>
  <c r="F480" i="3"/>
  <c r="G480" i="3"/>
  <c r="I480" i="3" l="1"/>
  <c r="J480" i="3"/>
  <c r="M480" i="3"/>
  <c r="N480" i="3" s="1"/>
  <c r="V480" i="3"/>
  <c r="A481" i="3"/>
  <c r="B481" i="3" s="1"/>
  <c r="W480" i="3" l="1"/>
  <c r="AA481" i="3"/>
  <c r="AD481" i="3"/>
  <c r="Z481" i="3"/>
  <c r="AC481" i="3"/>
  <c r="P481" i="3"/>
  <c r="Q481" i="3" s="1"/>
  <c r="R481" i="3" s="1"/>
  <c r="S481" i="3" s="1"/>
  <c r="L480" i="3"/>
  <c r="U480" i="3" l="1"/>
  <c r="Y479" i="3"/>
  <c r="T481" i="3"/>
  <c r="E481" i="3" l="1"/>
  <c r="H481" i="3" s="1"/>
  <c r="K481" i="3" s="1"/>
  <c r="AE481" i="3" s="1"/>
  <c r="AG481" i="3"/>
  <c r="D481" i="3"/>
  <c r="AH481" i="3"/>
  <c r="F481" i="3" l="1"/>
  <c r="G481" i="3"/>
  <c r="I481" i="3" s="1"/>
  <c r="V481" i="3"/>
  <c r="A482" i="3"/>
  <c r="B482" i="3" s="1"/>
  <c r="W481" i="3" l="1"/>
  <c r="J481" i="3"/>
  <c r="L481" i="3" s="1"/>
  <c r="M481" i="3"/>
  <c r="N481" i="3" s="1"/>
  <c r="Z482" i="3"/>
  <c r="AD482" i="3"/>
  <c r="AC482" i="3"/>
  <c r="AA482" i="3"/>
  <c r="P482" i="3"/>
  <c r="Q482" i="3" s="1"/>
  <c r="R482" i="3" s="1"/>
  <c r="S482" i="3" s="1"/>
  <c r="T482" i="3" l="1"/>
  <c r="AG482" i="3" s="1"/>
  <c r="U481" i="3"/>
  <c r="Y480" i="3"/>
  <c r="D482" i="3" l="1"/>
  <c r="G482" i="3" s="1"/>
  <c r="E482" i="3"/>
  <c r="H482" i="3" s="1"/>
  <c r="K482" i="3" s="1"/>
  <c r="AE482" i="3" s="1"/>
  <c r="AH482" i="3"/>
  <c r="F482" i="3" l="1"/>
  <c r="I482" i="3"/>
  <c r="J482" i="3"/>
  <c r="M482" i="3"/>
  <c r="N482" i="3" s="1"/>
  <c r="V482" i="3"/>
  <c r="A483" i="3"/>
  <c r="B483" i="3" s="1"/>
  <c r="W482" i="3" l="1"/>
  <c r="L482" i="3"/>
  <c r="AA483" i="3"/>
  <c r="P483" i="3"/>
  <c r="Q483" i="3" s="1"/>
  <c r="R483" i="3" s="1"/>
  <c r="S483" i="3" s="1"/>
  <c r="AC483" i="3"/>
  <c r="AD483" i="3"/>
  <c r="Z483" i="3"/>
  <c r="T483" i="3" l="1"/>
  <c r="AG483" i="3" s="1"/>
  <c r="U482" i="3"/>
  <c r="Y481" i="3"/>
  <c r="AH483" i="3" l="1"/>
  <c r="D483" i="3"/>
  <c r="G483" i="3" s="1"/>
  <c r="E483" i="3"/>
  <c r="H483" i="3" s="1"/>
  <c r="K483" i="3" l="1"/>
  <c r="AE483" i="3" s="1"/>
  <c r="I483" i="3"/>
  <c r="J483" i="3"/>
  <c r="M483" i="3"/>
  <c r="N483" i="3" s="1"/>
  <c r="F483" i="3"/>
  <c r="V483" i="3" l="1"/>
  <c r="W483" i="3" s="1"/>
  <c r="A484" i="3"/>
  <c r="B484" i="3" s="1"/>
  <c r="L483" i="3"/>
  <c r="Z484" i="3" l="1"/>
  <c r="AD484" i="3"/>
  <c r="AC484" i="3"/>
  <c r="AA484" i="3"/>
  <c r="P484" i="3"/>
  <c r="Q484" i="3" s="1"/>
  <c r="R484" i="3" s="1"/>
  <c r="S484" i="3" s="1"/>
  <c r="U483" i="3"/>
  <c r="Y482" i="3"/>
  <c r="T484" i="3" l="1"/>
  <c r="AG484" i="3" s="1"/>
  <c r="E484" i="3" l="1"/>
  <c r="H484" i="3" s="1"/>
  <c r="K484" i="3" s="1"/>
  <c r="AE484" i="3" s="1"/>
  <c r="AH484" i="3"/>
  <c r="D484" i="3"/>
  <c r="F484" i="3" l="1"/>
  <c r="G484" i="3"/>
  <c r="V484" i="3"/>
  <c r="A485" i="3"/>
  <c r="B485" i="3" s="1"/>
  <c r="AC485" i="3" l="1"/>
  <c r="Z485" i="3"/>
  <c r="P485" i="3"/>
  <c r="Q485" i="3" s="1"/>
  <c r="R485" i="3" s="1"/>
  <c r="S485" i="3" s="1"/>
  <c r="AD485" i="3"/>
  <c r="AA485" i="3"/>
  <c r="I484" i="3"/>
  <c r="W484" i="3" s="1"/>
  <c r="J484" i="3"/>
  <c r="M484" i="3"/>
  <c r="N484" i="3" s="1"/>
  <c r="T485" i="3" l="1"/>
  <c r="L484" i="3"/>
  <c r="AH485" i="3" l="1"/>
  <c r="U484" i="3"/>
  <c r="D485" i="3" s="1"/>
  <c r="AG485" i="3"/>
  <c r="Y483" i="3"/>
  <c r="E485" i="3" l="1"/>
  <c r="H485" i="3" s="1"/>
  <c r="K485" i="3" s="1"/>
  <c r="AE485" i="3" s="1"/>
  <c r="G485" i="3"/>
  <c r="F485" i="3" l="1"/>
  <c r="V485" i="3"/>
  <c r="A486" i="3"/>
  <c r="B486" i="3" s="1"/>
  <c r="I485" i="3"/>
  <c r="J485" i="3"/>
  <c r="M485" i="3"/>
  <c r="N485" i="3" s="1"/>
  <c r="L485" i="3" l="1"/>
  <c r="AC486" i="3"/>
  <c r="AD486" i="3"/>
  <c r="Z486" i="3"/>
  <c r="P486" i="3"/>
  <c r="Q486" i="3" s="1"/>
  <c r="R486" i="3" s="1"/>
  <c r="S486" i="3" s="1"/>
  <c r="AA486" i="3"/>
  <c r="W485" i="3"/>
  <c r="T486" i="3" l="1"/>
  <c r="AG486" i="3" s="1"/>
  <c r="U485" i="3"/>
  <c r="Y484" i="3"/>
  <c r="D486" i="3" l="1"/>
  <c r="G486" i="3" s="1"/>
  <c r="E486" i="3"/>
  <c r="H486" i="3" s="1"/>
  <c r="K486" i="3" s="1"/>
  <c r="AE486" i="3" s="1"/>
  <c r="AH486" i="3"/>
  <c r="F486" i="3" l="1"/>
  <c r="I486" i="3"/>
  <c r="J486" i="3"/>
  <c r="M486" i="3"/>
  <c r="N486" i="3" s="1"/>
  <c r="V486" i="3"/>
  <c r="A487" i="3"/>
  <c r="B487" i="3" s="1"/>
  <c r="W486" i="3" l="1"/>
  <c r="Z487" i="3"/>
  <c r="AA487" i="3"/>
  <c r="AD487" i="3"/>
  <c r="AC487" i="3"/>
  <c r="P487" i="3"/>
  <c r="Q487" i="3" s="1"/>
  <c r="R487" i="3" s="1"/>
  <c r="S487" i="3" s="1"/>
  <c r="L486" i="3"/>
  <c r="T487" i="3" l="1"/>
  <c r="AG487" i="3" s="1"/>
  <c r="U486" i="3"/>
  <c r="Y485" i="3"/>
  <c r="AH487" i="3" l="1"/>
  <c r="D487" i="3"/>
  <c r="G487" i="3" s="1"/>
  <c r="E487" i="3"/>
  <c r="H487" i="3" s="1"/>
  <c r="K487" i="3" s="1"/>
  <c r="AE487" i="3" s="1"/>
  <c r="F487" i="3" l="1"/>
  <c r="I487" i="3"/>
  <c r="J487" i="3"/>
  <c r="M487" i="3"/>
  <c r="N487" i="3" s="1"/>
  <c r="V487" i="3"/>
  <c r="A488" i="3"/>
  <c r="B488" i="3" s="1"/>
  <c r="W487" i="3" l="1"/>
  <c r="AA488" i="3"/>
  <c r="Z488" i="3"/>
  <c r="AC488" i="3"/>
  <c r="AD488" i="3"/>
  <c r="P488" i="3"/>
  <c r="Q488" i="3" s="1"/>
  <c r="R488" i="3" s="1"/>
  <c r="S488" i="3" s="1"/>
  <c r="L487" i="3"/>
  <c r="T488" i="3" l="1"/>
  <c r="AH488" i="3" s="1"/>
  <c r="U487" i="3"/>
  <c r="Y486" i="3"/>
  <c r="E488" i="3" l="1"/>
  <c r="H488" i="3" s="1"/>
  <c r="K488" i="3" s="1"/>
  <c r="AE488" i="3" s="1"/>
  <c r="AG488" i="3"/>
  <c r="D488" i="3"/>
  <c r="F488" i="3" l="1"/>
  <c r="G488" i="3"/>
  <c r="I488" i="3" s="1"/>
  <c r="V488" i="3"/>
  <c r="A489" i="3"/>
  <c r="B489" i="3" s="1"/>
  <c r="M488" i="3" l="1"/>
  <c r="N488" i="3" s="1"/>
  <c r="J488" i="3"/>
  <c r="L488" i="3" s="1"/>
  <c r="Z489" i="3"/>
  <c r="AC489" i="3"/>
  <c r="AA489" i="3"/>
  <c r="AD489" i="3"/>
  <c r="P489" i="3"/>
  <c r="Q489" i="3" s="1"/>
  <c r="R489" i="3" s="1"/>
  <c r="S489" i="3" s="1"/>
  <c r="W488" i="3"/>
  <c r="T489" i="3" l="1"/>
  <c r="AH489" i="3" s="1"/>
  <c r="U488" i="3"/>
  <c r="Y487" i="3"/>
  <c r="AG489" i="3" l="1"/>
  <c r="E489" i="3"/>
  <c r="H489" i="3" s="1"/>
  <c r="K489" i="3" s="1"/>
  <c r="AE489" i="3" s="1"/>
  <c r="D489" i="3"/>
  <c r="G489" i="3" s="1"/>
  <c r="F489" i="3" l="1"/>
  <c r="I489" i="3"/>
  <c r="J489" i="3"/>
  <c r="M489" i="3"/>
  <c r="N489" i="3" s="1"/>
  <c r="V489" i="3"/>
  <c r="A490" i="3"/>
  <c r="B490" i="3" s="1"/>
  <c r="W489" i="3" l="1"/>
  <c r="P490" i="3"/>
  <c r="Q490" i="3" s="1"/>
  <c r="R490" i="3" s="1"/>
  <c r="S490" i="3" s="1"/>
  <c r="AC490" i="3"/>
  <c r="AD490" i="3"/>
  <c r="AA490" i="3"/>
  <c r="Z490" i="3"/>
  <c r="L489" i="3"/>
  <c r="U489" i="3" l="1"/>
  <c r="Y488" i="3"/>
  <c r="T490" i="3"/>
  <c r="E490" i="3" l="1"/>
  <c r="H490" i="3" s="1"/>
  <c r="K490" i="3" s="1"/>
  <c r="AE490" i="3" s="1"/>
  <c r="AH490" i="3"/>
  <c r="AG490" i="3"/>
  <c r="D490" i="3"/>
  <c r="F490" i="3" l="1"/>
  <c r="G490" i="3"/>
  <c r="V490" i="3"/>
  <c r="A491" i="3"/>
  <c r="B491" i="3" s="1"/>
  <c r="AD491" i="3" l="1"/>
  <c r="P491" i="3"/>
  <c r="Q491" i="3" s="1"/>
  <c r="R491" i="3" s="1"/>
  <c r="S491" i="3" s="1"/>
  <c r="AC491" i="3"/>
  <c r="AA491" i="3"/>
  <c r="Z491" i="3"/>
  <c r="I490" i="3"/>
  <c r="W490" i="3" s="1"/>
  <c r="J490" i="3"/>
  <c r="M490" i="3"/>
  <c r="N490" i="3" s="1"/>
  <c r="L490" i="3" l="1"/>
  <c r="T491" i="3"/>
  <c r="AG491" i="3" l="1"/>
  <c r="U490" i="3"/>
  <c r="E491" i="3" s="1"/>
  <c r="H491" i="3" s="1"/>
  <c r="AH491" i="3"/>
  <c r="Y489" i="3"/>
  <c r="D491" i="3" l="1"/>
  <c r="F491" i="3" s="1"/>
  <c r="K491" i="3"/>
  <c r="AE491" i="3" s="1"/>
  <c r="G491" i="3" l="1"/>
  <c r="I491" i="3" s="1"/>
  <c r="V491" i="3"/>
  <c r="A492" i="3"/>
  <c r="B492" i="3" s="1"/>
  <c r="W491" i="3" l="1"/>
  <c r="M491" i="3"/>
  <c r="N491" i="3" s="1"/>
  <c r="J491" i="3"/>
  <c r="L491" i="3" s="1"/>
  <c r="Z492" i="3"/>
  <c r="P492" i="3"/>
  <c r="Q492" i="3" s="1"/>
  <c r="R492" i="3" s="1"/>
  <c r="S492" i="3" s="1"/>
  <c r="AA492" i="3"/>
  <c r="AD492" i="3"/>
  <c r="AC492" i="3"/>
  <c r="T492" i="3" l="1"/>
  <c r="AH492" i="3" s="1"/>
  <c r="U491" i="3"/>
  <c r="Y490" i="3"/>
  <c r="AG492" i="3" l="1"/>
  <c r="E492" i="3"/>
  <c r="H492" i="3" s="1"/>
  <c r="K492" i="3" s="1"/>
  <c r="AE492" i="3" s="1"/>
  <c r="D492" i="3"/>
  <c r="V492" i="3" l="1"/>
  <c r="A493" i="3"/>
  <c r="B493" i="3" s="1"/>
  <c r="F492" i="3"/>
  <c r="G492" i="3"/>
  <c r="AA493" i="3" l="1"/>
  <c r="P493" i="3"/>
  <c r="Q493" i="3" s="1"/>
  <c r="R493" i="3" s="1"/>
  <c r="S493" i="3" s="1"/>
  <c r="AD493" i="3"/>
  <c r="Z493" i="3"/>
  <c r="AC493" i="3"/>
  <c r="I492" i="3"/>
  <c r="W492" i="3" s="1"/>
  <c r="J492" i="3"/>
  <c r="M492" i="3"/>
  <c r="N492" i="3" s="1"/>
  <c r="T493" i="3" l="1"/>
  <c r="L492" i="3"/>
  <c r="AG493" i="3" l="1"/>
  <c r="AH493" i="3"/>
  <c r="U492" i="3"/>
  <c r="E493" i="3" s="1"/>
  <c r="H493" i="3" s="1"/>
  <c r="Y491" i="3"/>
  <c r="K493" i="3" l="1"/>
  <c r="AE493" i="3" s="1"/>
  <c r="D493" i="3"/>
  <c r="F493" i="3" l="1"/>
  <c r="G493" i="3"/>
  <c r="V493" i="3"/>
  <c r="A494" i="3"/>
  <c r="B494" i="3" s="1"/>
  <c r="AC494" i="3" l="1"/>
  <c r="P494" i="3"/>
  <c r="Q494" i="3" s="1"/>
  <c r="R494" i="3" s="1"/>
  <c r="S494" i="3" s="1"/>
  <c r="Z494" i="3"/>
  <c r="AA494" i="3"/>
  <c r="AD494" i="3"/>
  <c r="I493" i="3"/>
  <c r="W493" i="3" s="1"/>
  <c r="J493" i="3"/>
  <c r="M493" i="3"/>
  <c r="N493" i="3" s="1"/>
  <c r="L493" i="3" l="1"/>
  <c r="T494" i="3"/>
  <c r="AH494" i="3" l="1"/>
  <c r="AG494" i="3"/>
  <c r="U493" i="3"/>
  <c r="E494" i="3" s="1"/>
  <c r="H494" i="3" s="1"/>
  <c r="Y492" i="3"/>
  <c r="D494" i="3" l="1"/>
  <c r="F494" i="3" s="1"/>
  <c r="K494" i="3"/>
  <c r="AE494" i="3" s="1"/>
  <c r="G494" i="3" l="1"/>
  <c r="I494" i="3" s="1"/>
  <c r="V494" i="3"/>
  <c r="A495" i="3"/>
  <c r="B495" i="3" s="1"/>
  <c r="W494" i="3" l="1"/>
  <c r="J494" i="3"/>
  <c r="L494" i="3" s="1"/>
  <c r="M494" i="3"/>
  <c r="N494" i="3" s="1"/>
  <c r="AC495" i="3"/>
  <c r="P495" i="3"/>
  <c r="Q495" i="3" s="1"/>
  <c r="R495" i="3" s="1"/>
  <c r="S495" i="3" s="1"/>
  <c r="Z495" i="3"/>
  <c r="AA495" i="3"/>
  <c r="AD495" i="3"/>
  <c r="T495" i="3" l="1"/>
  <c r="AH495" i="3" s="1"/>
  <c r="U494" i="3"/>
  <c r="Y493" i="3"/>
  <c r="E495" i="3" l="1"/>
  <c r="H495" i="3" s="1"/>
  <c r="K495" i="3" s="1"/>
  <c r="AE495" i="3" s="1"/>
  <c r="D495" i="3"/>
  <c r="AG495" i="3"/>
  <c r="F495" i="3" l="1"/>
  <c r="G495" i="3"/>
  <c r="I495" i="3" s="1"/>
  <c r="V495" i="3"/>
  <c r="A496" i="3"/>
  <c r="B496" i="3" s="1"/>
  <c r="M495" i="3" l="1"/>
  <c r="N495" i="3" s="1"/>
  <c r="J495" i="3"/>
  <c r="L495" i="3" s="1"/>
  <c r="W495" i="3"/>
  <c r="AD496" i="3"/>
  <c r="Z496" i="3"/>
  <c r="AC496" i="3"/>
  <c r="AA496" i="3"/>
  <c r="P496" i="3"/>
  <c r="Q496" i="3" s="1"/>
  <c r="R496" i="3" s="1"/>
  <c r="S496" i="3" s="1"/>
  <c r="T496" i="3" l="1"/>
  <c r="AH496" i="3" s="1"/>
  <c r="U495" i="3"/>
  <c r="Y494" i="3"/>
  <c r="AG496" i="3" l="1"/>
  <c r="E496" i="3"/>
  <c r="H496" i="3" s="1"/>
  <c r="K496" i="3" s="1"/>
  <c r="AE496" i="3" s="1"/>
  <c r="D496" i="3"/>
  <c r="F496" i="3" l="1"/>
  <c r="G496" i="3"/>
  <c r="I496" i="3" s="1"/>
  <c r="V496" i="3"/>
  <c r="A497" i="3"/>
  <c r="B497" i="3" s="1"/>
  <c r="M496" i="3" l="1"/>
  <c r="N496" i="3" s="1"/>
  <c r="J496" i="3"/>
  <c r="L496" i="3" s="1"/>
  <c r="AC497" i="3"/>
  <c r="AA497" i="3"/>
  <c r="AD497" i="3"/>
  <c r="Z497" i="3"/>
  <c r="P497" i="3"/>
  <c r="Q497" i="3" s="1"/>
  <c r="R497" i="3" s="1"/>
  <c r="S497" i="3" s="1"/>
  <c r="W496" i="3"/>
  <c r="T497" i="3" l="1"/>
  <c r="AH497" i="3" s="1"/>
  <c r="U496" i="3"/>
  <c r="Y495" i="3"/>
  <c r="D497" i="3" l="1"/>
  <c r="G497" i="3" s="1"/>
  <c r="AG497" i="3"/>
  <c r="E497" i="3"/>
  <c r="H497" i="3" s="1"/>
  <c r="K497" i="3" s="1"/>
  <c r="AE497" i="3" s="1"/>
  <c r="F497" i="3" l="1"/>
  <c r="V497" i="3"/>
  <c r="A498" i="3"/>
  <c r="B498" i="3" s="1"/>
  <c r="I497" i="3"/>
  <c r="J497" i="3"/>
  <c r="M497" i="3"/>
  <c r="N497" i="3" s="1"/>
  <c r="AA498" i="3" l="1"/>
  <c r="P498" i="3"/>
  <c r="Q498" i="3" s="1"/>
  <c r="R498" i="3" s="1"/>
  <c r="S498" i="3" s="1"/>
  <c r="Z498" i="3"/>
  <c r="AC498" i="3"/>
  <c r="AD498" i="3"/>
  <c r="L497" i="3"/>
  <c r="W497" i="3"/>
  <c r="T498" i="3" l="1"/>
  <c r="AH498" i="3" s="1"/>
  <c r="U497" i="3"/>
  <c r="Y496" i="3"/>
  <c r="AG498" i="3" l="1"/>
  <c r="E498" i="3"/>
  <c r="H498" i="3" s="1"/>
  <c r="K498" i="3" s="1"/>
  <c r="AE498" i="3" s="1"/>
  <c r="D498" i="3"/>
  <c r="F498" i="3" l="1"/>
  <c r="G498" i="3"/>
  <c r="I498" i="3" s="1"/>
  <c r="V498" i="3"/>
  <c r="A499" i="3"/>
  <c r="B499" i="3" s="1"/>
  <c r="W498" i="3" l="1"/>
  <c r="M498" i="3"/>
  <c r="N498" i="3" s="1"/>
  <c r="J498" i="3"/>
  <c r="L498" i="3" s="1"/>
  <c r="AD499" i="3"/>
  <c r="AA499" i="3"/>
  <c r="Z499" i="3"/>
  <c r="AC499" i="3"/>
  <c r="P499" i="3"/>
  <c r="Q499" i="3" s="1"/>
  <c r="R499" i="3" s="1"/>
  <c r="S499" i="3" s="1"/>
  <c r="U498" i="3" l="1"/>
  <c r="Y497" i="3"/>
  <c r="T499" i="3"/>
  <c r="AH499" i="3" s="1"/>
  <c r="D499" i="3" l="1"/>
  <c r="AG499" i="3"/>
  <c r="E499" i="3"/>
  <c r="H499" i="3" s="1"/>
  <c r="K499" i="3" l="1"/>
  <c r="AE499" i="3" s="1"/>
  <c r="F499" i="3"/>
  <c r="G499" i="3"/>
  <c r="I499" i="3" l="1"/>
  <c r="J499" i="3"/>
  <c r="M499" i="3"/>
  <c r="N499" i="3" s="1"/>
  <c r="V499" i="3"/>
  <c r="A500" i="3"/>
  <c r="B500" i="3" s="1"/>
  <c r="W499" i="3" l="1"/>
  <c r="Z500" i="3"/>
  <c r="P500" i="3"/>
  <c r="Q500" i="3" s="1"/>
  <c r="R500" i="3" s="1"/>
  <c r="S500" i="3" s="1"/>
  <c r="AC500" i="3"/>
  <c r="AD500" i="3"/>
  <c r="AA500" i="3"/>
  <c r="L499" i="3"/>
  <c r="T500" i="3" l="1"/>
  <c r="AG500" i="3" s="1"/>
  <c r="U499" i="3"/>
  <c r="Y498" i="3"/>
  <c r="D500" i="3" l="1"/>
  <c r="G500" i="3" s="1"/>
  <c r="AH500" i="3"/>
  <c r="E500" i="3"/>
  <c r="H500" i="3" s="1"/>
  <c r="K500" i="3" s="1"/>
  <c r="AE500" i="3" s="1"/>
  <c r="F500" i="3" l="1"/>
  <c r="I500" i="3"/>
  <c r="J500" i="3"/>
  <c r="M500" i="3"/>
  <c r="N500" i="3" s="1"/>
  <c r="V500" i="3"/>
  <c r="A501" i="3"/>
  <c r="B501" i="3" s="1"/>
  <c r="W500" i="3" l="1"/>
  <c r="Z501" i="3"/>
  <c r="AD501" i="3"/>
  <c r="AA501" i="3"/>
  <c r="P501" i="3"/>
  <c r="Q501" i="3" s="1"/>
  <c r="R501" i="3" s="1"/>
  <c r="S501" i="3" s="1"/>
  <c r="AC501" i="3"/>
  <c r="L500" i="3"/>
  <c r="T501" i="3" l="1"/>
  <c r="AH501" i="3" s="1"/>
  <c r="U500" i="3"/>
  <c r="Y499" i="3"/>
  <c r="D501" i="3" l="1"/>
  <c r="G501" i="3" s="1"/>
  <c r="E501" i="3"/>
  <c r="H501" i="3" s="1"/>
  <c r="K501" i="3" s="1"/>
  <c r="AE501" i="3" s="1"/>
  <c r="AG501" i="3"/>
  <c r="F501" i="3" l="1"/>
  <c r="I501" i="3"/>
  <c r="J501" i="3"/>
  <c r="M501" i="3"/>
  <c r="N501" i="3" s="1"/>
  <c r="V501" i="3"/>
  <c r="A502" i="3"/>
  <c r="B502" i="3" s="1"/>
  <c r="W501" i="3" l="1"/>
  <c r="L501" i="3"/>
  <c r="AA502" i="3"/>
  <c r="AC502" i="3"/>
  <c r="Z502" i="3"/>
  <c r="AD502" i="3"/>
  <c r="P502" i="3"/>
  <c r="Q502" i="3" s="1"/>
  <c r="R502" i="3" s="1"/>
  <c r="S502" i="3" s="1"/>
  <c r="T502" i="3" l="1"/>
  <c r="AG502" i="3" s="1"/>
  <c r="U501" i="3"/>
  <c r="Y500" i="3"/>
  <c r="E502" i="3" l="1"/>
  <c r="H502" i="3" s="1"/>
  <c r="K502" i="3" s="1"/>
  <c r="AE502" i="3" s="1"/>
  <c r="D502" i="3"/>
  <c r="AH502" i="3"/>
  <c r="F502" i="3" l="1"/>
  <c r="G502" i="3"/>
  <c r="M502" i="3" s="1"/>
  <c r="N502" i="3" s="1"/>
  <c r="V502" i="3"/>
  <c r="A503" i="3"/>
  <c r="B503" i="3" s="1"/>
  <c r="J502" i="3" l="1"/>
  <c r="L502" i="3" s="1"/>
  <c r="I502" i="3"/>
  <c r="W502" i="3" s="1"/>
  <c r="Z503" i="3"/>
  <c r="AC503" i="3"/>
  <c r="AA503" i="3"/>
  <c r="AD503" i="3"/>
  <c r="P503" i="3"/>
  <c r="Q503" i="3" s="1"/>
  <c r="R503" i="3" s="1"/>
  <c r="S503" i="3" s="1"/>
  <c r="T503" i="3" l="1"/>
  <c r="AH503" i="3" s="1"/>
  <c r="U502" i="3"/>
  <c r="Y501" i="3"/>
  <c r="E503" i="3" l="1"/>
  <c r="H503" i="3" s="1"/>
  <c r="K503" i="3" s="1"/>
  <c r="AE503" i="3" s="1"/>
  <c r="AG503" i="3"/>
  <c r="D503" i="3"/>
  <c r="F503" i="3" l="1"/>
  <c r="G503" i="3"/>
  <c r="I503" i="3" s="1"/>
  <c r="V503" i="3"/>
  <c r="A504" i="3"/>
  <c r="B504" i="3" s="1"/>
  <c r="M503" i="3" l="1"/>
  <c r="N503" i="3" s="1"/>
  <c r="J503" i="3"/>
  <c r="L503" i="3" s="1"/>
  <c r="W503" i="3"/>
  <c r="AC504" i="3"/>
  <c r="Z504" i="3"/>
  <c r="P504" i="3"/>
  <c r="Q504" i="3" s="1"/>
  <c r="R504" i="3" s="1"/>
  <c r="S504" i="3" s="1"/>
  <c r="AA504" i="3"/>
  <c r="U503" i="3" l="1"/>
  <c r="Y502" i="3"/>
  <c r="T504" i="3"/>
  <c r="E504" i="3" l="1"/>
  <c r="H504" i="3" s="1"/>
  <c r="K504" i="3" s="1"/>
  <c r="AE504" i="3" s="1"/>
  <c r="AH504" i="3"/>
  <c r="AG504" i="3"/>
  <c r="D504" i="3"/>
  <c r="F504" i="3" l="1"/>
  <c r="G504" i="3"/>
  <c r="V504" i="3"/>
  <c r="A505" i="3"/>
  <c r="B505" i="3" s="1"/>
  <c r="P505" i="3" l="1"/>
  <c r="Q505" i="3" s="1"/>
  <c r="R505" i="3" s="1"/>
  <c r="S505" i="3" s="1"/>
  <c r="AD505" i="3"/>
  <c r="AA505" i="3"/>
  <c r="Z505" i="3"/>
  <c r="AC505" i="3"/>
  <c r="I504" i="3"/>
  <c r="W504" i="3" s="1"/>
  <c r="J504" i="3"/>
  <c r="AD504" i="3" s="1"/>
  <c r="M504" i="3"/>
  <c r="N504" i="3" s="1"/>
  <c r="L504" i="3" l="1"/>
  <c r="T505" i="3"/>
  <c r="AG505" i="3" l="1"/>
  <c r="AH505" i="3"/>
  <c r="U504" i="3"/>
  <c r="E505" i="3" s="1"/>
  <c r="H505" i="3" s="1"/>
  <c r="Y503" i="3"/>
  <c r="K505" i="3" l="1"/>
  <c r="AE505" i="3" s="1"/>
  <c r="D505" i="3"/>
  <c r="F505" i="3" l="1"/>
  <c r="G505" i="3"/>
  <c r="V505" i="3"/>
  <c r="A506" i="3"/>
  <c r="B506" i="3" s="1"/>
  <c r="Z506" i="3" l="1"/>
  <c r="AC506" i="3"/>
  <c r="P506" i="3"/>
  <c r="Q506" i="3" s="1"/>
  <c r="R506" i="3" s="1"/>
  <c r="S506" i="3" s="1"/>
  <c r="AD506" i="3"/>
  <c r="AA506" i="3"/>
  <c r="I505" i="3"/>
  <c r="W505" i="3" s="1"/>
  <c r="J505" i="3"/>
  <c r="M505" i="3"/>
  <c r="N505" i="3" s="1"/>
  <c r="T506" i="3" l="1"/>
  <c r="L505" i="3"/>
  <c r="U505" i="3" l="1"/>
  <c r="D506" i="3" s="1"/>
  <c r="AH506" i="3"/>
  <c r="AG506" i="3"/>
  <c r="Y504" i="3"/>
  <c r="E506" i="3" l="1"/>
  <c r="H506" i="3" s="1"/>
  <c r="K506" i="3" s="1"/>
  <c r="AE506" i="3" s="1"/>
  <c r="G506" i="3"/>
  <c r="F506" i="3" l="1"/>
  <c r="V506" i="3"/>
  <c r="A507" i="3"/>
  <c r="B507" i="3" s="1"/>
  <c r="I506" i="3"/>
  <c r="J506" i="3"/>
  <c r="M506" i="3"/>
  <c r="N506" i="3" s="1"/>
  <c r="L506" i="3" l="1"/>
  <c r="Z507" i="3"/>
  <c r="AD507" i="3"/>
  <c r="P507" i="3"/>
  <c r="Q507" i="3" s="1"/>
  <c r="R507" i="3" s="1"/>
  <c r="S507" i="3" s="1"/>
  <c r="AA507" i="3"/>
  <c r="AC507" i="3"/>
  <c r="W506" i="3"/>
  <c r="T507" i="3" l="1"/>
  <c r="AG507" i="3" s="1"/>
  <c r="U506" i="3"/>
  <c r="Y505" i="3"/>
  <c r="AH507" i="3" l="1"/>
  <c r="E507" i="3"/>
  <c r="H507" i="3" s="1"/>
  <c r="D507" i="3"/>
  <c r="K507" i="3" l="1"/>
  <c r="AE507" i="3" s="1"/>
  <c r="F507" i="3"/>
  <c r="G507" i="3"/>
  <c r="I507" i="3" l="1"/>
  <c r="J507" i="3"/>
  <c r="M507" i="3"/>
  <c r="N507" i="3" s="1"/>
  <c r="V507" i="3"/>
  <c r="A508" i="3"/>
  <c r="B508" i="3" s="1"/>
  <c r="W507" i="3" l="1"/>
  <c r="Z508" i="3"/>
  <c r="AC508" i="3"/>
  <c r="P508" i="3"/>
  <c r="Q508" i="3" s="1"/>
  <c r="R508" i="3" s="1"/>
  <c r="S508" i="3" s="1"/>
  <c r="AA508" i="3"/>
  <c r="AD508" i="3"/>
  <c r="L507" i="3"/>
  <c r="T508" i="3" l="1"/>
  <c r="AH508" i="3" s="1"/>
  <c r="U507" i="3"/>
  <c r="Y506" i="3"/>
  <c r="D508" i="3" l="1"/>
  <c r="G508" i="3" s="1"/>
  <c r="AG508" i="3"/>
  <c r="E508" i="3"/>
  <c r="H508" i="3" s="1"/>
  <c r="K508" i="3" l="1"/>
  <c r="AE508" i="3" s="1"/>
  <c r="I508" i="3"/>
  <c r="J508" i="3"/>
  <c r="M508" i="3"/>
  <c r="N508" i="3" s="1"/>
  <c r="F508" i="3"/>
  <c r="L508" i="3" l="1"/>
  <c r="V508" i="3"/>
  <c r="W508" i="3" s="1"/>
  <c r="A509" i="3"/>
  <c r="B509" i="3" s="1"/>
  <c r="P509" i="3" l="1"/>
  <c r="Q509" i="3" s="1"/>
  <c r="R509" i="3" s="1"/>
  <c r="S509" i="3" s="1"/>
  <c r="Z509" i="3"/>
  <c r="AC509" i="3"/>
  <c r="AD509" i="3"/>
  <c r="AA509" i="3"/>
  <c r="U508" i="3"/>
  <c r="Y507" i="3"/>
  <c r="T509" i="3" l="1"/>
  <c r="D509" i="3" l="1"/>
  <c r="AH509" i="3"/>
  <c r="E509" i="3"/>
  <c r="H509" i="3" s="1"/>
  <c r="AG509" i="3"/>
  <c r="K509" i="3" l="1"/>
  <c r="AE509" i="3" s="1"/>
  <c r="F509" i="3"/>
  <c r="G509" i="3"/>
  <c r="I509" i="3" l="1"/>
  <c r="J509" i="3"/>
  <c r="M509" i="3"/>
  <c r="N509" i="3" s="1"/>
  <c r="V509" i="3"/>
  <c r="A510" i="3"/>
  <c r="B510" i="3" s="1"/>
  <c r="W509" i="3" l="1"/>
  <c r="L509" i="3"/>
  <c r="AD510" i="3"/>
  <c r="P510" i="3"/>
  <c r="Q510" i="3" s="1"/>
  <c r="R510" i="3" s="1"/>
  <c r="S510" i="3" s="1"/>
  <c r="AC510" i="3"/>
  <c r="Z510" i="3"/>
  <c r="AA510" i="3"/>
  <c r="T510" i="3" l="1"/>
  <c r="AG510" i="3" s="1"/>
  <c r="U509" i="3"/>
  <c r="Y508" i="3"/>
  <c r="D510" i="3" l="1"/>
  <c r="G510" i="3" s="1"/>
  <c r="AH510" i="3"/>
  <c r="E510" i="3"/>
  <c r="H510" i="3" s="1"/>
  <c r="K510" i="3" s="1"/>
  <c r="AE510" i="3" s="1"/>
  <c r="F510" i="3" l="1"/>
  <c r="V510" i="3"/>
  <c r="A511" i="3"/>
  <c r="B511" i="3" s="1"/>
  <c r="I510" i="3"/>
  <c r="J510" i="3"/>
  <c r="M510" i="3"/>
  <c r="N510" i="3" s="1"/>
  <c r="L510" i="3" l="1"/>
  <c r="AC511" i="3"/>
  <c r="P511" i="3"/>
  <c r="Q511" i="3" s="1"/>
  <c r="R511" i="3" s="1"/>
  <c r="S511" i="3" s="1"/>
  <c r="Z511" i="3"/>
  <c r="AD511" i="3"/>
  <c r="AA511" i="3"/>
  <c r="W510" i="3"/>
  <c r="T511" i="3" l="1"/>
  <c r="AG511" i="3" s="1"/>
  <c r="U510" i="3"/>
  <c r="Y509" i="3"/>
  <c r="AH511" i="3" l="1"/>
  <c r="E511" i="3"/>
  <c r="H511" i="3" s="1"/>
  <c r="K511" i="3" s="1"/>
  <c r="AE511" i="3" s="1"/>
  <c r="D511" i="3"/>
  <c r="F511" i="3" l="1"/>
  <c r="G511" i="3"/>
  <c r="J511" i="3" s="1"/>
  <c r="V511" i="3"/>
  <c r="A512" i="3"/>
  <c r="B512" i="3" s="1"/>
  <c r="M511" i="3" l="1"/>
  <c r="N511" i="3" s="1"/>
  <c r="I511" i="3"/>
  <c r="W511" i="3" s="1"/>
  <c r="Z512" i="3"/>
  <c r="AA512" i="3"/>
  <c r="AD512" i="3"/>
  <c r="AC512" i="3"/>
  <c r="P512" i="3"/>
  <c r="Q512" i="3" s="1"/>
  <c r="R512" i="3" s="1"/>
  <c r="S512" i="3" s="1"/>
  <c r="L511" i="3"/>
  <c r="T512" i="3" l="1"/>
  <c r="AH512" i="3" s="1"/>
  <c r="U511" i="3"/>
  <c r="Y510" i="3"/>
  <c r="E512" i="3" l="1"/>
  <c r="H512" i="3" s="1"/>
  <c r="K512" i="3" s="1"/>
  <c r="AE512" i="3" s="1"/>
  <c r="AG512" i="3"/>
  <c r="D512" i="3"/>
  <c r="G512" i="3" s="1"/>
  <c r="F512" i="3" l="1"/>
  <c r="V512" i="3"/>
  <c r="A513" i="3"/>
  <c r="B513" i="3" s="1"/>
  <c r="I512" i="3"/>
  <c r="J512" i="3"/>
  <c r="M512" i="3"/>
  <c r="N512" i="3" s="1"/>
  <c r="L512" i="3" l="1"/>
  <c r="Z513" i="3"/>
  <c r="AD513" i="3"/>
  <c r="AC513" i="3"/>
  <c r="AA513" i="3"/>
  <c r="P513" i="3"/>
  <c r="Q513" i="3" s="1"/>
  <c r="R513" i="3" s="1"/>
  <c r="S513" i="3" s="1"/>
  <c r="W512" i="3"/>
  <c r="T513" i="3" l="1"/>
  <c r="AG513" i="3" s="1"/>
  <c r="U512" i="3"/>
  <c r="Y511" i="3"/>
  <c r="E513" i="3" l="1"/>
  <c r="H513" i="3" s="1"/>
  <c r="K513" i="3" s="1"/>
  <c r="AE513" i="3" s="1"/>
  <c r="AH513" i="3"/>
  <c r="D513" i="3"/>
  <c r="F513" i="3" l="1"/>
  <c r="G513" i="3"/>
  <c r="I513" i="3" s="1"/>
  <c r="V513" i="3"/>
  <c r="A514" i="3"/>
  <c r="B514" i="3" s="1"/>
  <c r="M513" i="3" l="1"/>
  <c r="N513" i="3" s="1"/>
  <c r="J513" i="3"/>
  <c r="L513" i="3" s="1"/>
  <c r="W513" i="3"/>
  <c r="AA514" i="3"/>
  <c r="AC514" i="3"/>
  <c r="Z514" i="3"/>
  <c r="P514" i="3"/>
  <c r="Q514" i="3" s="1"/>
  <c r="R514" i="3" s="1"/>
  <c r="S514" i="3" s="1"/>
  <c r="T514" i="3" l="1"/>
  <c r="AG514" i="3" s="1"/>
  <c r="U513" i="3"/>
  <c r="Y512" i="3"/>
  <c r="E514" i="3" l="1"/>
  <c r="H514" i="3" s="1"/>
  <c r="K514" i="3" s="1"/>
  <c r="AE514" i="3" s="1"/>
  <c r="AH514" i="3"/>
  <c r="D514" i="3"/>
  <c r="F514" i="3" l="1"/>
  <c r="G514" i="3"/>
  <c r="I514" i="3" s="1"/>
  <c r="V514" i="3"/>
  <c r="A515" i="3"/>
  <c r="B515" i="3" s="1"/>
  <c r="M514" i="3" l="1"/>
  <c r="N514" i="3" s="1"/>
  <c r="J514" i="3"/>
  <c r="AD514" i="3" s="1"/>
  <c r="W514" i="3"/>
  <c r="Z515" i="3"/>
  <c r="AA515" i="3"/>
  <c r="AD515" i="3"/>
  <c r="AC515" i="3"/>
  <c r="P515" i="3"/>
  <c r="Q515" i="3" s="1"/>
  <c r="R515" i="3" s="1"/>
  <c r="S515" i="3" s="1"/>
  <c r="L514" i="3" l="1"/>
  <c r="U514" i="3" s="1"/>
  <c r="T515" i="3"/>
  <c r="E515" i="3" l="1"/>
  <c r="H515" i="3" s="1"/>
  <c r="K515" i="3" s="1"/>
  <c r="AE515" i="3" s="1"/>
  <c r="AH515" i="3"/>
  <c r="AG515" i="3"/>
  <c r="Y513" i="3"/>
  <c r="D515" i="3"/>
  <c r="F515" i="3" l="1"/>
  <c r="G515" i="3"/>
  <c r="I515" i="3" s="1"/>
  <c r="V515" i="3"/>
  <c r="A516" i="3"/>
  <c r="B516" i="3" s="1"/>
  <c r="W515" i="3" l="1"/>
  <c r="M515" i="3"/>
  <c r="N515" i="3" s="1"/>
  <c r="J515" i="3"/>
  <c r="L515" i="3" s="1"/>
  <c r="AD516" i="3"/>
  <c r="AA516" i="3"/>
  <c r="P516" i="3"/>
  <c r="Q516" i="3" s="1"/>
  <c r="R516" i="3" s="1"/>
  <c r="S516" i="3" s="1"/>
  <c r="Z516" i="3"/>
  <c r="AC516" i="3"/>
  <c r="T516" i="3" l="1"/>
  <c r="AG516" i="3" s="1"/>
  <c r="U515" i="3"/>
  <c r="Y514" i="3"/>
  <c r="AH516" i="3" l="1"/>
  <c r="E516" i="3"/>
  <c r="H516" i="3" s="1"/>
  <c r="K516" i="3" s="1"/>
  <c r="AE516" i="3" s="1"/>
  <c r="D516" i="3"/>
  <c r="F516" i="3" l="1"/>
  <c r="G516" i="3"/>
  <c r="V516" i="3"/>
  <c r="A517" i="3"/>
  <c r="B517" i="3" s="1"/>
  <c r="AC517" i="3" l="1"/>
  <c r="P517" i="3"/>
  <c r="Q517" i="3" s="1"/>
  <c r="R517" i="3" s="1"/>
  <c r="S517" i="3" s="1"/>
  <c r="AA517" i="3"/>
  <c r="Z517" i="3"/>
  <c r="AD517" i="3"/>
  <c r="I516" i="3"/>
  <c r="W516" i="3" s="1"/>
  <c r="J516" i="3"/>
  <c r="M516" i="3"/>
  <c r="N516" i="3" s="1"/>
  <c r="T517" i="3" l="1"/>
  <c r="L516" i="3"/>
  <c r="AG517" i="3" l="1"/>
  <c r="U516" i="3"/>
  <c r="E517" i="3" s="1"/>
  <c r="H517" i="3" s="1"/>
  <c r="AH517" i="3"/>
  <c r="Y515" i="3"/>
  <c r="D517" i="3" l="1"/>
  <c r="F517" i="3" s="1"/>
  <c r="K517" i="3"/>
  <c r="AE517" i="3" s="1"/>
  <c r="G517" i="3" l="1"/>
  <c r="I517" i="3" s="1"/>
  <c r="V517" i="3"/>
  <c r="A518" i="3"/>
  <c r="B518" i="3" s="1"/>
  <c r="M517" i="3" l="1"/>
  <c r="N517" i="3" s="1"/>
  <c r="J517" i="3"/>
  <c r="L517" i="3" s="1"/>
  <c r="W517" i="3"/>
  <c r="AC518" i="3"/>
  <c r="P518" i="3"/>
  <c r="Q518" i="3" s="1"/>
  <c r="R518" i="3" s="1"/>
  <c r="S518" i="3" s="1"/>
  <c r="AA518" i="3"/>
  <c r="Z518" i="3"/>
  <c r="AD518" i="3"/>
  <c r="T518" i="3" l="1"/>
  <c r="AG518" i="3" s="1"/>
  <c r="U517" i="3"/>
  <c r="Y516" i="3"/>
  <c r="E518" i="3" l="1"/>
  <c r="H518" i="3" s="1"/>
  <c r="K518" i="3" s="1"/>
  <c r="AE518" i="3" s="1"/>
  <c r="AH518" i="3"/>
  <c r="D518" i="3"/>
  <c r="F518" i="3" l="1"/>
  <c r="G518" i="3"/>
  <c r="M518" i="3" s="1"/>
  <c r="N518" i="3" s="1"/>
  <c r="V518" i="3"/>
  <c r="A519" i="3"/>
  <c r="B519" i="3" s="1"/>
  <c r="J518" i="3" l="1"/>
  <c r="L518" i="3" s="1"/>
  <c r="I518" i="3"/>
  <c r="W518" i="3" s="1"/>
  <c r="AA519" i="3"/>
  <c r="Z519" i="3"/>
  <c r="AD519" i="3"/>
  <c r="AC519" i="3"/>
  <c r="P519" i="3"/>
  <c r="Q519" i="3" s="1"/>
  <c r="R519" i="3" s="1"/>
  <c r="S519" i="3" s="1"/>
  <c r="T519" i="3" l="1"/>
  <c r="AG519" i="3" s="1"/>
  <c r="U518" i="3"/>
  <c r="Y517" i="3"/>
  <c r="E519" i="3" l="1"/>
  <c r="H519" i="3" s="1"/>
  <c r="K519" i="3" s="1"/>
  <c r="AE519" i="3" s="1"/>
  <c r="D519" i="3"/>
  <c r="AH519" i="3"/>
  <c r="F519" i="3" l="1"/>
  <c r="G519" i="3"/>
  <c r="I519" i="3" s="1"/>
  <c r="V519" i="3"/>
  <c r="A520" i="3"/>
  <c r="B520" i="3" s="1"/>
  <c r="W519" i="3" l="1"/>
  <c r="M519" i="3"/>
  <c r="N519" i="3" s="1"/>
  <c r="J519" i="3"/>
  <c r="L519" i="3" s="1"/>
  <c r="P520" i="3"/>
  <c r="Q520" i="3" s="1"/>
  <c r="R520" i="3" s="1"/>
  <c r="S520" i="3" s="1"/>
  <c r="AC520" i="3"/>
  <c r="Z520" i="3"/>
  <c r="AA520" i="3"/>
  <c r="AD520" i="3"/>
  <c r="U519" i="3" l="1"/>
  <c r="Y518" i="3"/>
  <c r="T520" i="3"/>
  <c r="AG520" i="3" s="1"/>
  <c r="AH520" i="3" l="1"/>
  <c r="D520" i="3"/>
  <c r="G520" i="3" s="1"/>
  <c r="E520" i="3"/>
  <c r="H520" i="3" s="1"/>
  <c r="K520" i="3" s="1"/>
  <c r="AE520" i="3" s="1"/>
  <c r="F520" i="3" l="1"/>
  <c r="V520" i="3"/>
  <c r="A521" i="3"/>
  <c r="B521" i="3" s="1"/>
  <c r="I520" i="3"/>
  <c r="J520" i="3"/>
  <c r="M520" i="3"/>
  <c r="N520" i="3" s="1"/>
  <c r="L520" i="3" l="1"/>
  <c r="Z521" i="3"/>
  <c r="AC521" i="3"/>
  <c r="P521" i="3"/>
  <c r="Q521" i="3" s="1"/>
  <c r="R521" i="3" s="1"/>
  <c r="S521" i="3" s="1"/>
  <c r="AD521" i="3"/>
  <c r="AA521" i="3"/>
  <c r="W520" i="3"/>
  <c r="T521" i="3" l="1"/>
  <c r="AG521" i="3" s="1"/>
  <c r="U520" i="3"/>
  <c r="Y519" i="3"/>
  <c r="E521" i="3" l="1"/>
  <c r="H521" i="3" s="1"/>
  <c r="K521" i="3" s="1"/>
  <c r="AE521" i="3" s="1"/>
  <c r="AH521" i="3"/>
  <c r="D521" i="3"/>
  <c r="F521" i="3" l="1"/>
  <c r="G521" i="3"/>
  <c r="I521" i="3" s="1"/>
  <c r="V521" i="3"/>
  <c r="A522" i="3"/>
  <c r="B522" i="3" s="1"/>
  <c r="M521" i="3" l="1"/>
  <c r="N521" i="3" s="1"/>
  <c r="J521" i="3"/>
  <c r="L521" i="3" s="1"/>
  <c r="W521" i="3"/>
  <c r="AA522" i="3"/>
  <c r="Z522" i="3"/>
  <c r="AD522" i="3"/>
  <c r="AC522" i="3"/>
  <c r="P522" i="3"/>
  <c r="Q522" i="3" s="1"/>
  <c r="R522" i="3" s="1"/>
  <c r="S522" i="3" s="1"/>
  <c r="T522" i="3" l="1"/>
  <c r="AH522" i="3" s="1"/>
  <c r="U521" i="3"/>
  <c r="Y520" i="3"/>
  <c r="D522" i="3" l="1"/>
  <c r="G522" i="3" s="1"/>
  <c r="AG522" i="3"/>
  <c r="E522" i="3"/>
  <c r="H522" i="3" s="1"/>
  <c r="K522" i="3" s="1"/>
  <c r="AE522" i="3" s="1"/>
  <c r="F522" i="3" l="1"/>
  <c r="V522" i="3"/>
  <c r="A523" i="3"/>
  <c r="B523" i="3" s="1"/>
  <c r="I522" i="3"/>
  <c r="J522" i="3"/>
  <c r="M522" i="3"/>
  <c r="N522" i="3" s="1"/>
  <c r="AD523" i="3" l="1"/>
  <c r="P523" i="3"/>
  <c r="Q523" i="3" s="1"/>
  <c r="R523" i="3" s="1"/>
  <c r="S523" i="3" s="1"/>
  <c r="Z523" i="3"/>
  <c r="AC523" i="3"/>
  <c r="AA523" i="3"/>
  <c r="L522" i="3"/>
  <c r="W522" i="3"/>
  <c r="T523" i="3" l="1"/>
  <c r="AH523" i="3" s="1"/>
  <c r="U522" i="3"/>
  <c r="Y521" i="3"/>
  <c r="AG523" i="3" l="1"/>
  <c r="D523" i="3"/>
  <c r="G523" i="3" s="1"/>
  <c r="E523" i="3"/>
  <c r="H523" i="3" s="1"/>
  <c r="K523" i="3" s="1"/>
  <c r="AE523" i="3" s="1"/>
  <c r="F523" i="3" l="1"/>
  <c r="I523" i="3"/>
  <c r="J523" i="3"/>
  <c r="M523" i="3"/>
  <c r="N523" i="3" s="1"/>
  <c r="V523" i="3"/>
  <c r="A524" i="3"/>
  <c r="B524" i="3" s="1"/>
  <c r="W523" i="3" l="1"/>
  <c r="AA524" i="3"/>
  <c r="Z524" i="3"/>
  <c r="AC524" i="3"/>
  <c r="P524" i="3"/>
  <c r="Q524" i="3" s="1"/>
  <c r="R524" i="3" s="1"/>
  <c r="S524" i="3" s="1"/>
  <c r="L523" i="3"/>
  <c r="T524" i="3" l="1"/>
  <c r="AH524" i="3" s="1"/>
  <c r="U523" i="3"/>
  <c r="Y522" i="3"/>
  <c r="D524" i="3" l="1"/>
  <c r="G524" i="3" s="1"/>
  <c r="AG524" i="3"/>
  <c r="E524" i="3"/>
  <c r="H524" i="3" s="1"/>
  <c r="K524" i="3" s="1"/>
  <c r="AE524" i="3" s="1"/>
  <c r="F524" i="3" l="1"/>
  <c r="V524" i="3"/>
  <c r="A525" i="3"/>
  <c r="B525" i="3" s="1"/>
  <c r="I524" i="3"/>
  <c r="J524" i="3"/>
  <c r="AD524" i="3" s="1"/>
  <c r="M524" i="3"/>
  <c r="N524" i="3" s="1"/>
  <c r="L524" i="3" l="1"/>
  <c r="AC525" i="3"/>
  <c r="AA525" i="3"/>
  <c r="AD525" i="3"/>
  <c r="Z525" i="3"/>
  <c r="P525" i="3"/>
  <c r="Q525" i="3" s="1"/>
  <c r="R525" i="3" s="1"/>
  <c r="S525" i="3" s="1"/>
  <c r="W524" i="3"/>
  <c r="T525" i="3" l="1"/>
  <c r="AG525" i="3" s="1"/>
  <c r="U524" i="3"/>
  <c r="Y523" i="3"/>
  <c r="D525" i="3" l="1"/>
  <c r="G525" i="3" s="1"/>
  <c r="AH525" i="3"/>
  <c r="E525" i="3"/>
  <c r="H525" i="3" s="1"/>
  <c r="K525" i="3" s="1"/>
  <c r="AE525" i="3" s="1"/>
  <c r="F525" i="3" l="1"/>
  <c r="V525" i="3"/>
  <c r="A526" i="3"/>
  <c r="B526" i="3" s="1"/>
  <c r="I525" i="3"/>
  <c r="J525" i="3"/>
  <c r="M525" i="3"/>
  <c r="N525" i="3" s="1"/>
  <c r="P526" i="3" l="1"/>
  <c r="Q526" i="3" s="1"/>
  <c r="R526" i="3" s="1"/>
  <c r="S526" i="3" s="1"/>
  <c r="AA526" i="3"/>
  <c r="Z526" i="3"/>
  <c r="AD526" i="3"/>
  <c r="AC526" i="3"/>
  <c r="L525" i="3"/>
  <c r="W525" i="3"/>
  <c r="U525" i="3" l="1"/>
  <c r="Y524" i="3"/>
  <c r="T526" i="3"/>
  <c r="D526" i="3" l="1"/>
  <c r="G526" i="3" s="1"/>
  <c r="E526" i="3"/>
  <c r="H526" i="3" s="1"/>
  <c r="AG526" i="3"/>
  <c r="AH526" i="3"/>
  <c r="I526" i="3" l="1"/>
  <c r="J526" i="3"/>
  <c r="M526" i="3"/>
  <c r="N526" i="3" s="1"/>
  <c r="K526" i="3"/>
  <c r="AE526" i="3" s="1"/>
  <c r="F526" i="3"/>
  <c r="V526" i="3" l="1"/>
  <c r="W526" i="3" s="1"/>
  <c r="A527" i="3"/>
  <c r="B527" i="3" s="1"/>
  <c r="L526" i="3"/>
  <c r="U526" i="3" l="1"/>
  <c r="Y525" i="3"/>
  <c r="AA527" i="3"/>
  <c r="P527" i="3"/>
  <c r="Q527" i="3" s="1"/>
  <c r="R527" i="3" s="1"/>
  <c r="S527" i="3" s="1"/>
  <c r="AD527" i="3"/>
  <c r="Z527" i="3"/>
  <c r="AC527" i="3"/>
  <c r="T527" i="3" l="1"/>
  <c r="E527" i="3" s="1"/>
  <c r="H527" i="3" s="1"/>
  <c r="D527" i="3" l="1"/>
  <c r="F527" i="3" s="1"/>
  <c r="K527" i="3"/>
  <c r="AE527" i="3" s="1"/>
  <c r="AH527" i="3"/>
  <c r="AG527" i="3"/>
  <c r="G527" i="3" l="1"/>
  <c r="I527" i="3" s="1"/>
  <c r="V527" i="3"/>
  <c r="A528" i="3"/>
  <c r="B528" i="3" s="1"/>
  <c r="M527" i="3" l="1"/>
  <c r="N527" i="3" s="1"/>
  <c r="J527" i="3"/>
  <c r="L527" i="3" s="1"/>
  <c r="W527" i="3"/>
  <c r="AC528" i="3"/>
  <c r="AD528" i="3"/>
  <c r="AA528" i="3"/>
  <c r="Z528" i="3"/>
  <c r="P528" i="3"/>
  <c r="Q528" i="3" s="1"/>
  <c r="R528" i="3" s="1"/>
  <c r="S528" i="3" s="1"/>
  <c r="T528" i="3" l="1"/>
  <c r="AH528" i="3" s="1"/>
  <c r="U527" i="3"/>
  <c r="Y526" i="3"/>
  <c r="D528" i="3" l="1"/>
  <c r="G528" i="3" s="1"/>
  <c r="AG528" i="3"/>
  <c r="E528" i="3"/>
  <c r="H528" i="3" s="1"/>
  <c r="K528" i="3" s="1"/>
  <c r="AE528" i="3" s="1"/>
  <c r="F528" i="3" l="1"/>
  <c r="V528" i="3"/>
  <c r="A529" i="3"/>
  <c r="B529" i="3" s="1"/>
  <c r="I528" i="3"/>
  <c r="J528" i="3"/>
  <c r="M528" i="3"/>
  <c r="N528" i="3" s="1"/>
  <c r="AA529" i="3" l="1"/>
  <c r="P529" i="3"/>
  <c r="Q529" i="3" s="1"/>
  <c r="R529" i="3" s="1"/>
  <c r="S529" i="3" s="1"/>
  <c r="AD529" i="3"/>
  <c r="AC529" i="3"/>
  <c r="Z529" i="3"/>
  <c r="L528" i="3"/>
  <c r="W528" i="3"/>
  <c r="T529" i="3" l="1"/>
  <c r="AG529" i="3" s="1"/>
  <c r="U528" i="3"/>
  <c r="Y527" i="3"/>
  <c r="E529" i="3" l="1"/>
  <c r="H529" i="3" s="1"/>
  <c r="K529" i="3" s="1"/>
  <c r="AE529" i="3" s="1"/>
  <c r="D529" i="3"/>
  <c r="AH529" i="3"/>
  <c r="F529" i="3" l="1"/>
  <c r="G529" i="3"/>
  <c r="I529" i="3" s="1"/>
  <c r="V529" i="3"/>
  <c r="A530" i="3"/>
  <c r="B530" i="3" s="1"/>
  <c r="W529" i="3" l="1"/>
  <c r="M529" i="3"/>
  <c r="N529" i="3" s="1"/>
  <c r="J529" i="3"/>
  <c r="L529" i="3" s="1"/>
  <c r="AC530" i="3"/>
  <c r="AA530" i="3"/>
  <c r="AD530" i="3"/>
  <c r="P530" i="3"/>
  <c r="Q530" i="3" s="1"/>
  <c r="R530" i="3" s="1"/>
  <c r="S530" i="3" s="1"/>
  <c r="Z530" i="3"/>
  <c r="T530" i="3" l="1"/>
  <c r="AH530" i="3" s="1"/>
  <c r="U529" i="3"/>
  <c r="Y528" i="3"/>
  <c r="E530" i="3" l="1"/>
  <c r="H530" i="3" s="1"/>
  <c r="K530" i="3" s="1"/>
  <c r="AE530" i="3" s="1"/>
  <c r="AG530" i="3"/>
  <c r="D530" i="3"/>
  <c r="F530" i="3" l="1"/>
  <c r="G530" i="3"/>
  <c r="V530" i="3"/>
  <c r="A531" i="3"/>
  <c r="B531" i="3" s="1"/>
  <c r="Z531" i="3" l="1"/>
  <c r="AD531" i="3"/>
  <c r="AC531" i="3"/>
  <c r="AA531" i="3"/>
  <c r="P531" i="3"/>
  <c r="Q531" i="3" s="1"/>
  <c r="R531" i="3" s="1"/>
  <c r="S531" i="3" s="1"/>
  <c r="I530" i="3"/>
  <c r="W530" i="3" s="1"/>
  <c r="J530" i="3"/>
  <c r="M530" i="3"/>
  <c r="N530" i="3" s="1"/>
  <c r="T531" i="3" l="1"/>
  <c r="L530" i="3"/>
  <c r="U530" i="3" l="1"/>
  <c r="D531" i="3" s="1"/>
  <c r="AH531" i="3"/>
  <c r="AG531" i="3"/>
  <c r="Y529" i="3"/>
  <c r="E531" i="3" l="1"/>
  <c r="H531" i="3" s="1"/>
  <c r="K531" i="3" s="1"/>
  <c r="AE531" i="3" s="1"/>
  <c r="G531" i="3"/>
  <c r="F531" i="3" l="1"/>
  <c r="I531" i="3"/>
  <c r="J531" i="3"/>
  <c r="M531" i="3"/>
  <c r="N531" i="3" s="1"/>
  <c r="V531" i="3"/>
  <c r="A532" i="3"/>
  <c r="B532" i="3" s="1"/>
  <c r="W531" i="3" l="1"/>
  <c r="Z532" i="3"/>
  <c r="AA532" i="3"/>
  <c r="P532" i="3"/>
  <c r="Q532" i="3" s="1"/>
  <c r="R532" i="3" s="1"/>
  <c r="S532" i="3" s="1"/>
  <c r="AD532" i="3"/>
  <c r="AC532" i="3"/>
  <c r="L531" i="3"/>
  <c r="T532" i="3" l="1"/>
  <c r="AH532" i="3" s="1"/>
  <c r="U531" i="3"/>
  <c r="Y530" i="3"/>
  <c r="D532" i="3" l="1"/>
  <c r="G532" i="3" s="1"/>
  <c r="AG532" i="3"/>
  <c r="E532" i="3"/>
  <c r="H532" i="3" s="1"/>
  <c r="K532" i="3" s="1"/>
  <c r="AE532" i="3" s="1"/>
  <c r="F532" i="3" l="1"/>
  <c r="I532" i="3"/>
  <c r="J532" i="3"/>
  <c r="M532" i="3"/>
  <c r="N532" i="3" s="1"/>
  <c r="V532" i="3"/>
  <c r="A533" i="3"/>
  <c r="B533" i="3" s="1"/>
  <c r="W532" i="3" l="1"/>
  <c r="AA533" i="3"/>
  <c r="AC533" i="3"/>
  <c r="Z533" i="3"/>
  <c r="AD533" i="3"/>
  <c r="P533" i="3"/>
  <c r="Q533" i="3" s="1"/>
  <c r="R533" i="3" s="1"/>
  <c r="S533" i="3" s="1"/>
  <c r="L532" i="3"/>
  <c r="T533" i="3" l="1"/>
  <c r="AH533" i="3" s="1"/>
  <c r="U532" i="3"/>
  <c r="Y531" i="3"/>
  <c r="AG533" i="3" l="1"/>
  <c r="E533" i="3"/>
  <c r="H533" i="3" s="1"/>
  <c r="K533" i="3" s="1"/>
  <c r="AE533" i="3" s="1"/>
  <c r="D533" i="3"/>
  <c r="F533" i="3" l="1"/>
  <c r="G533" i="3"/>
  <c r="I533" i="3" s="1"/>
  <c r="V533" i="3"/>
  <c r="A534" i="3"/>
  <c r="B534" i="3" s="1"/>
  <c r="W533" i="3" l="1"/>
  <c r="J533" i="3"/>
  <c r="L533" i="3" s="1"/>
  <c r="M533" i="3"/>
  <c r="N533" i="3" s="1"/>
  <c r="Z534" i="3"/>
  <c r="AC534" i="3"/>
  <c r="P534" i="3"/>
  <c r="Q534" i="3" s="1"/>
  <c r="R534" i="3" s="1"/>
  <c r="S534" i="3" s="1"/>
  <c r="AA534" i="3"/>
  <c r="T534" i="3" l="1"/>
  <c r="AG534" i="3" s="1"/>
  <c r="U533" i="3"/>
  <c r="Y532" i="3"/>
  <c r="AH534" i="3" l="1"/>
  <c r="E534" i="3"/>
  <c r="H534" i="3" s="1"/>
  <c r="K534" i="3" s="1"/>
  <c r="AE534" i="3" s="1"/>
  <c r="D534" i="3"/>
  <c r="F534" i="3" l="1"/>
  <c r="G534" i="3"/>
  <c r="I534" i="3" s="1"/>
  <c r="V534" i="3"/>
  <c r="A535" i="3"/>
  <c r="B535" i="3" s="1"/>
  <c r="M534" i="3" l="1"/>
  <c r="N534" i="3" s="1"/>
  <c r="J534" i="3"/>
  <c r="AD534" i="3" s="1"/>
  <c r="W534" i="3"/>
  <c r="Z535" i="3"/>
  <c r="AC535" i="3"/>
  <c r="AD535" i="3"/>
  <c r="P535" i="3"/>
  <c r="Q535" i="3" s="1"/>
  <c r="R535" i="3" s="1"/>
  <c r="S535" i="3" s="1"/>
  <c r="AA535" i="3"/>
  <c r="L534" i="3" l="1"/>
  <c r="U534" i="3" s="1"/>
  <c r="T535" i="3"/>
  <c r="Y533" i="3" l="1"/>
  <c r="AH535" i="3"/>
  <c r="E535" i="3"/>
  <c r="H535" i="3" s="1"/>
  <c r="K535" i="3" s="1"/>
  <c r="AE535" i="3" s="1"/>
  <c r="AG535" i="3"/>
  <c r="D535" i="3"/>
  <c r="F535" i="3" l="1"/>
  <c r="G535" i="3"/>
  <c r="V535" i="3"/>
  <c r="A536" i="3"/>
  <c r="B536" i="3" s="1"/>
  <c r="AD536" i="3" l="1"/>
  <c r="AC536" i="3"/>
  <c r="Z536" i="3"/>
  <c r="P536" i="3"/>
  <c r="Q536" i="3" s="1"/>
  <c r="R536" i="3" s="1"/>
  <c r="S536" i="3" s="1"/>
  <c r="AA536" i="3"/>
  <c r="I535" i="3"/>
  <c r="W535" i="3" s="1"/>
  <c r="J535" i="3"/>
  <c r="M535" i="3"/>
  <c r="N535" i="3" s="1"/>
  <c r="T536" i="3" l="1"/>
  <c r="L535" i="3"/>
  <c r="U535" i="3" l="1"/>
  <c r="E536" i="3" s="1"/>
  <c r="H536" i="3" s="1"/>
  <c r="AG536" i="3"/>
  <c r="AH536" i="3"/>
  <c r="Y534" i="3"/>
  <c r="K536" i="3" l="1"/>
  <c r="AE536" i="3" s="1"/>
  <c r="D536" i="3"/>
  <c r="F536" i="3" l="1"/>
  <c r="G536" i="3"/>
  <c r="V536" i="3"/>
  <c r="A537" i="3"/>
  <c r="B537" i="3" s="1"/>
  <c r="P537" i="3" l="1"/>
  <c r="Q537" i="3" s="1"/>
  <c r="R537" i="3" s="1"/>
  <c r="S537" i="3" s="1"/>
  <c r="Z537" i="3"/>
  <c r="AD537" i="3"/>
  <c r="AA537" i="3"/>
  <c r="AC537" i="3"/>
  <c r="I536" i="3"/>
  <c r="W536" i="3" s="1"/>
  <c r="J536" i="3"/>
  <c r="M536" i="3"/>
  <c r="N536" i="3" s="1"/>
  <c r="L536" i="3" l="1"/>
  <c r="T537" i="3"/>
  <c r="U536" i="3" l="1"/>
  <c r="E537" i="3" s="1"/>
  <c r="H537" i="3" s="1"/>
  <c r="AG537" i="3"/>
  <c r="AH537" i="3"/>
  <c r="Y535" i="3"/>
  <c r="D537" i="3" l="1"/>
  <c r="F537" i="3" s="1"/>
  <c r="K537" i="3"/>
  <c r="AE537" i="3" s="1"/>
  <c r="G537" i="3" l="1"/>
  <c r="I537" i="3" s="1"/>
  <c r="V537" i="3"/>
  <c r="A538" i="3"/>
  <c r="B538" i="3" s="1"/>
  <c r="M537" i="3" l="1"/>
  <c r="N537" i="3" s="1"/>
  <c r="J537" i="3"/>
  <c r="L537" i="3" s="1"/>
  <c r="W537" i="3"/>
  <c r="Z538" i="3"/>
  <c r="P538" i="3"/>
  <c r="Q538" i="3" s="1"/>
  <c r="R538" i="3" s="1"/>
  <c r="S538" i="3" s="1"/>
  <c r="AA538" i="3"/>
  <c r="AC538" i="3"/>
  <c r="AD538" i="3"/>
  <c r="T538" i="3" l="1"/>
  <c r="AG538" i="3" s="1"/>
  <c r="U537" i="3"/>
  <c r="Y536" i="3"/>
  <c r="E538" i="3" l="1"/>
  <c r="H538" i="3" s="1"/>
  <c r="K538" i="3" s="1"/>
  <c r="AE538" i="3" s="1"/>
  <c r="AH538" i="3"/>
  <c r="D538" i="3"/>
  <c r="F538" i="3" l="1"/>
  <c r="G538" i="3"/>
  <c r="I538" i="3" s="1"/>
  <c r="V538" i="3"/>
  <c r="A539" i="3"/>
  <c r="B539" i="3" s="1"/>
  <c r="M538" i="3" l="1"/>
  <c r="N538" i="3" s="1"/>
  <c r="J538" i="3"/>
  <c r="L538" i="3" s="1"/>
  <c r="W538" i="3"/>
  <c r="AA539" i="3"/>
  <c r="AC539" i="3"/>
  <c r="Z539" i="3"/>
  <c r="AD539" i="3"/>
  <c r="P539" i="3"/>
  <c r="Q539" i="3" s="1"/>
  <c r="R539" i="3" s="1"/>
  <c r="S539" i="3" s="1"/>
  <c r="T539" i="3" l="1"/>
  <c r="AG539" i="3" s="1"/>
  <c r="U538" i="3"/>
  <c r="Y537" i="3"/>
  <c r="AH539" i="3" l="1"/>
  <c r="D539" i="3"/>
  <c r="G539" i="3" s="1"/>
  <c r="E539" i="3"/>
  <c r="H539" i="3" s="1"/>
  <c r="K539" i="3" s="1"/>
  <c r="AE539" i="3" s="1"/>
  <c r="F539" i="3" l="1"/>
  <c r="I539" i="3"/>
  <c r="J539" i="3"/>
  <c r="M539" i="3"/>
  <c r="N539" i="3" s="1"/>
  <c r="V539" i="3"/>
  <c r="A540" i="3"/>
  <c r="B540" i="3" s="1"/>
  <c r="W539" i="3" l="1"/>
  <c r="Z540" i="3"/>
  <c r="P540" i="3"/>
  <c r="Q540" i="3" s="1"/>
  <c r="R540" i="3" s="1"/>
  <c r="S540" i="3" s="1"/>
  <c r="AC540" i="3"/>
  <c r="AA540" i="3"/>
  <c r="AD540" i="3"/>
  <c r="L539" i="3"/>
  <c r="U539" i="3" l="1"/>
  <c r="Y538" i="3"/>
  <c r="T540" i="3"/>
  <c r="D540" i="3" l="1"/>
  <c r="G540" i="3" s="1"/>
  <c r="E540" i="3"/>
  <c r="H540" i="3" s="1"/>
  <c r="AG540" i="3"/>
  <c r="AH540" i="3"/>
  <c r="K540" i="3" l="1"/>
  <c r="AE540" i="3" s="1"/>
  <c r="I540" i="3"/>
  <c r="J540" i="3"/>
  <c r="M540" i="3"/>
  <c r="N540" i="3" s="1"/>
  <c r="F540" i="3"/>
  <c r="L540" i="3" l="1"/>
  <c r="V540" i="3"/>
  <c r="W540" i="3" s="1"/>
  <c r="A541" i="3"/>
  <c r="B541" i="3" s="1"/>
  <c r="AA541" i="3" l="1"/>
  <c r="AD541" i="3"/>
  <c r="Z541" i="3"/>
  <c r="AC541" i="3"/>
  <c r="P541" i="3"/>
  <c r="Q541" i="3" s="1"/>
  <c r="R541" i="3" s="1"/>
  <c r="S541" i="3" s="1"/>
  <c r="U540" i="3"/>
  <c r="Y539" i="3"/>
  <c r="T541" i="3" l="1"/>
  <c r="D541" i="3" s="1"/>
  <c r="E541" i="3" l="1"/>
  <c r="H541" i="3" s="1"/>
  <c r="K541" i="3" s="1"/>
  <c r="AE541" i="3" s="1"/>
  <c r="AH541" i="3"/>
  <c r="AG541" i="3"/>
  <c r="G541" i="3"/>
  <c r="F541" i="3" l="1"/>
  <c r="V541" i="3"/>
  <c r="A542" i="3"/>
  <c r="B542" i="3" s="1"/>
  <c r="I541" i="3"/>
  <c r="J541" i="3"/>
  <c r="M541" i="3"/>
  <c r="N541" i="3" s="1"/>
  <c r="L541" i="3" l="1"/>
  <c r="P542" i="3"/>
  <c r="Q542" i="3" s="1"/>
  <c r="R542" i="3" s="1"/>
  <c r="S542" i="3" s="1"/>
  <c r="AA542" i="3"/>
  <c r="Z542" i="3"/>
  <c r="AD542" i="3"/>
  <c r="AC542" i="3"/>
  <c r="W541" i="3"/>
  <c r="T542" i="3" l="1"/>
  <c r="AH542" i="3" s="1"/>
  <c r="U541" i="3"/>
  <c r="Y540" i="3"/>
  <c r="D542" i="3" l="1"/>
  <c r="G542" i="3" s="1"/>
  <c r="AG542" i="3"/>
  <c r="E542" i="3"/>
  <c r="H542" i="3" s="1"/>
  <c r="K542" i="3" s="1"/>
  <c r="AE542" i="3" s="1"/>
  <c r="F542" i="3" l="1"/>
  <c r="V542" i="3"/>
  <c r="A543" i="3"/>
  <c r="B543" i="3" s="1"/>
  <c r="I542" i="3"/>
  <c r="J542" i="3"/>
  <c r="M542" i="3"/>
  <c r="N542" i="3" s="1"/>
  <c r="L542" i="3" l="1"/>
  <c r="AC543" i="3"/>
  <c r="P543" i="3"/>
  <c r="Q543" i="3" s="1"/>
  <c r="R543" i="3" s="1"/>
  <c r="S543" i="3" s="1"/>
  <c r="AA543" i="3"/>
  <c r="Z543" i="3"/>
  <c r="AD543" i="3"/>
  <c r="W542" i="3"/>
  <c r="T543" i="3" l="1"/>
  <c r="AH543" i="3" s="1"/>
  <c r="U542" i="3"/>
  <c r="Y541" i="3"/>
  <c r="D543" i="3" l="1"/>
  <c r="G543" i="3" s="1"/>
  <c r="AG543" i="3"/>
  <c r="E543" i="3"/>
  <c r="H543" i="3" s="1"/>
  <c r="K543" i="3" s="1"/>
  <c r="AE543" i="3" s="1"/>
  <c r="F543" i="3" l="1"/>
  <c r="V543" i="3"/>
  <c r="A544" i="3"/>
  <c r="B544" i="3" s="1"/>
  <c r="I543" i="3"/>
  <c r="J543" i="3"/>
  <c r="M543" i="3"/>
  <c r="N543" i="3" s="1"/>
  <c r="L543" i="3" l="1"/>
  <c r="P544" i="3"/>
  <c r="Q544" i="3" s="1"/>
  <c r="R544" i="3" s="1"/>
  <c r="S544" i="3" s="1"/>
  <c r="AA544" i="3"/>
  <c r="AC544" i="3"/>
  <c r="Z544" i="3"/>
  <c r="W543" i="3"/>
  <c r="T544" i="3" l="1"/>
  <c r="AG544" i="3" s="1"/>
  <c r="U543" i="3"/>
  <c r="Y542" i="3"/>
  <c r="E544" i="3" l="1"/>
  <c r="H544" i="3" s="1"/>
  <c r="K544" i="3" s="1"/>
  <c r="AE544" i="3" s="1"/>
  <c r="AH544" i="3"/>
  <c r="D544" i="3"/>
  <c r="F544" i="3" l="1"/>
  <c r="G544" i="3"/>
  <c r="I544" i="3" s="1"/>
  <c r="V544" i="3"/>
  <c r="A545" i="3"/>
  <c r="B545" i="3" s="1"/>
  <c r="M544" i="3" l="1"/>
  <c r="N544" i="3" s="1"/>
  <c r="J544" i="3"/>
  <c r="AD544" i="3" s="1"/>
  <c r="W544" i="3"/>
  <c r="P545" i="3"/>
  <c r="Q545" i="3" s="1"/>
  <c r="R545" i="3" s="1"/>
  <c r="S545" i="3" s="1"/>
  <c r="AD545" i="3"/>
  <c r="Z545" i="3"/>
  <c r="AC545" i="3"/>
  <c r="AA545" i="3"/>
  <c r="L544" i="3" l="1"/>
  <c r="U544" i="3" s="1"/>
  <c r="T545" i="3"/>
  <c r="Y543" i="3" l="1"/>
  <c r="AH545" i="3"/>
  <c r="D545" i="3"/>
  <c r="G545" i="3" s="1"/>
  <c r="AG545" i="3"/>
  <c r="E545" i="3"/>
  <c r="H545" i="3" s="1"/>
  <c r="K545" i="3" s="1"/>
  <c r="AE545" i="3" s="1"/>
  <c r="F545" i="3" l="1"/>
  <c r="I545" i="3"/>
  <c r="J545" i="3"/>
  <c r="M545" i="3"/>
  <c r="N545" i="3" s="1"/>
  <c r="V545" i="3"/>
  <c r="A546" i="3"/>
  <c r="B546" i="3" s="1"/>
  <c r="W545" i="3" l="1"/>
  <c r="Z546" i="3"/>
  <c r="AA546" i="3"/>
  <c r="AD546" i="3"/>
  <c r="P546" i="3"/>
  <c r="Q546" i="3" s="1"/>
  <c r="R546" i="3" s="1"/>
  <c r="S546" i="3" s="1"/>
  <c r="AC546" i="3"/>
  <c r="L545" i="3"/>
  <c r="T546" i="3" l="1"/>
  <c r="AG546" i="3" s="1"/>
  <c r="U545" i="3"/>
  <c r="Y544" i="3"/>
  <c r="E546" i="3" l="1"/>
  <c r="H546" i="3" s="1"/>
  <c r="K546" i="3" s="1"/>
  <c r="AE546" i="3" s="1"/>
  <c r="AH546" i="3"/>
  <c r="D546" i="3"/>
  <c r="V546" i="3" l="1"/>
  <c r="A547" i="3"/>
  <c r="B547" i="3" s="1"/>
  <c r="F546" i="3"/>
  <c r="G546" i="3"/>
  <c r="I546" i="3" l="1"/>
  <c r="W546" i="3" s="1"/>
  <c r="J546" i="3"/>
  <c r="M546" i="3"/>
  <c r="N546" i="3" s="1"/>
  <c r="AA547" i="3"/>
  <c r="AC547" i="3"/>
  <c r="AD547" i="3"/>
  <c r="Z547" i="3"/>
  <c r="P547" i="3"/>
  <c r="Q547" i="3" s="1"/>
  <c r="R547" i="3" s="1"/>
  <c r="S547" i="3" s="1"/>
  <c r="T547" i="3" l="1"/>
  <c r="L546" i="3"/>
  <c r="U546" i="3" l="1"/>
  <c r="E547" i="3" s="1"/>
  <c r="H547" i="3" s="1"/>
  <c r="AH547" i="3"/>
  <c r="AG547" i="3"/>
  <c r="Y545" i="3"/>
  <c r="D547" i="3" l="1"/>
  <c r="F547" i="3" s="1"/>
  <c r="K547" i="3"/>
  <c r="AE547" i="3" s="1"/>
  <c r="G547" i="3" l="1"/>
  <c r="M547" i="3" s="1"/>
  <c r="N547" i="3" s="1"/>
  <c r="V547" i="3"/>
  <c r="A548" i="3"/>
  <c r="B548" i="3" s="1"/>
  <c r="J547" i="3" l="1"/>
  <c r="L547" i="3" s="1"/>
  <c r="I547" i="3"/>
  <c r="W547" i="3" s="1"/>
  <c r="AC548" i="3"/>
  <c r="P548" i="3"/>
  <c r="Q548" i="3" s="1"/>
  <c r="R548" i="3" s="1"/>
  <c r="S548" i="3" s="1"/>
  <c r="AD548" i="3"/>
  <c r="Z548" i="3"/>
  <c r="AA548" i="3"/>
  <c r="T548" i="3" l="1"/>
  <c r="AH548" i="3" s="1"/>
  <c r="U547" i="3"/>
  <c r="Y546" i="3"/>
  <c r="E548" i="3" l="1"/>
  <c r="H548" i="3" s="1"/>
  <c r="K548" i="3" s="1"/>
  <c r="AE548" i="3" s="1"/>
  <c r="AG548" i="3"/>
  <c r="D548" i="3"/>
  <c r="G548" i="3" s="1"/>
  <c r="F548" i="3" l="1"/>
  <c r="I548" i="3"/>
  <c r="J548" i="3"/>
  <c r="M548" i="3"/>
  <c r="N548" i="3" s="1"/>
  <c r="V548" i="3"/>
  <c r="A549" i="3"/>
  <c r="B549" i="3" s="1"/>
  <c r="W548" i="3" l="1"/>
  <c r="AA549" i="3"/>
  <c r="P549" i="3"/>
  <c r="Q549" i="3" s="1"/>
  <c r="R549" i="3" s="1"/>
  <c r="S549" i="3" s="1"/>
  <c r="Z549" i="3"/>
  <c r="AC549" i="3"/>
  <c r="AD549" i="3"/>
  <c r="L548" i="3"/>
  <c r="U548" i="3" l="1"/>
  <c r="Y547" i="3"/>
  <c r="T549" i="3"/>
  <c r="D549" i="3" l="1"/>
  <c r="G549" i="3" s="1"/>
  <c r="AG549" i="3"/>
  <c r="AH549" i="3"/>
  <c r="E549" i="3"/>
  <c r="H549" i="3" s="1"/>
  <c r="K549" i="3" l="1"/>
  <c r="AE549" i="3" s="1"/>
  <c r="I549" i="3"/>
  <c r="J549" i="3"/>
  <c r="M549" i="3"/>
  <c r="N549" i="3" s="1"/>
  <c r="F549" i="3"/>
  <c r="L549" i="3" l="1"/>
  <c r="V549" i="3"/>
  <c r="W549" i="3" s="1"/>
  <c r="A550" i="3"/>
  <c r="B550" i="3" s="1"/>
  <c r="U549" i="3" l="1"/>
  <c r="Y548" i="3"/>
  <c r="AC550" i="3"/>
  <c r="Z550" i="3"/>
  <c r="AD550" i="3"/>
  <c r="P550" i="3"/>
  <c r="Q550" i="3" s="1"/>
  <c r="R550" i="3" s="1"/>
  <c r="S550" i="3" s="1"/>
  <c r="AA550" i="3"/>
  <c r="T550" i="3" l="1"/>
  <c r="E550" i="3" s="1"/>
  <c r="H550" i="3" s="1"/>
  <c r="AH550" i="3" l="1"/>
  <c r="AG550" i="3"/>
  <c r="K550" i="3"/>
  <c r="AE550" i="3" s="1"/>
  <c r="D550" i="3"/>
  <c r="F550" i="3" l="1"/>
  <c r="G550" i="3"/>
  <c r="V550" i="3"/>
  <c r="A551" i="3"/>
  <c r="B551" i="3" s="1"/>
  <c r="AC551" i="3" l="1"/>
  <c r="AA551" i="3"/>
  <c r="P551" i="3"/>
  <c r="Q551" i="3" s="1"/>
  <c r="R551" i="3" s="1"/>
  <c r="S551" i="3" s="1"/>
  <c r="AD551" i="3"/>
  <c r="Z551" i="3"/>
  <c r="I550" i="3"/>
  <c r="W550" i="3" s="1"/>
  <c r="J550" i="3"/>
  <c r="M550" i="3"/>
  <c r="N550" i="3" s="1"/>
  <c r="T551" i="3" l="1"/>
  <c r="L550" i="3"/>
  <c r="AH551" i="3" l="1"/>
  <c r="AG551" i="3"/>
  <c r="U550" i="3"/>
  <c r="E551" i="3" s="1"/>
  <c r="H551" i="3" s="1"/>
  <c r="Y549" i="3"/>
  <c r="K551" i="3" l="1"/>
  <c r="AE551" i="3" s="1"/>
  <c r="D551" i="3"/>
  <c r="F551" i="3" l="1"/>
  <c r="G551" i="3"/>
  <c r="V551" i="3"/>
  <c r="A552" i="3"/>
  <c r="B552" i="3" s="1"/>
  <c r="P552" i="3" l="1"/>
  <c r="Q552" i="3" s="1"/>
  <c r="R552" i="3" s="1"/>
  <c r="S552" i="3" s="1"/>
  <c r="AD552" i="3"/>
  <c r="AA552" i="3"/>
  <c r="AC552" i="3"/>
  <c r="Z552" i="3"/>
  <c r="I551" i="3"/>
  <c r="W551" i="3" s="1"/>
  <c r="J551" i="3"/>
  <c r="M551" i="3"/>
  <c r="N551" i="3" s="1"/>
  <c r="L551" i="3" l="1"/>
  <c r="T552" i="3"/>
  <c r="AG552" i="3" l="1"/>
  <c r="U551" i="3"/>
  <c r="E552" i="3" s="1"/>
  <c r="H552" i="3" s="1"/>
  <c r="AH552" i="3"/>
  <c r="Y550" i="3"/>
  <c r="D552" i="3" l="1"/>
  <c r="F552" i="3" s="1"/>
  <c r="K552" i="3"/>
  <c r="AE552" i="3" s="1"/>
  <c r="G552" i="3" l="1"/>
  <c r="M552" i="3" s="1"/>
  <c r="N552" i="3" s="1"/>
  <c r="V552" i="3"/>
  <c r="A553" i="3"/>
  <c r="B553" i="3" s="1"/>
  <c r="J552" i="3" l="1"/>
  <c r="L552" i="3" s="1"/>
  <c r="I552" i="3"/>
  <c r="W552" i="3" s="1"/>
  <c r="AD553" i="3"/>
  <c r="P553" i="3"/>
  <c r="Q553" i="3" s="1"/>
  <c r="R553" i="3" s="1"/>
  <c r="S553" i="3" s="1"/>
  <c r="AA553" i="3"/>
  <c r="Z553" i="3"/>
  <c r="AC553" i="3"/>
  <c r="U552" i="3" l="1"/>
  <c r="Y551" i="3"/>
  <c r="T553" i="3"/>
  <c r="D553" i="3" l="1"/>
  <c r="G553" i="3" s="1"/>
  <c r="AH553" i="3"/>
  <c r="E553" i="3"/>
  <c r="H553" i="3" s="1"/>
  <c r="K553" i="3" s="1"/>
  <c r="AE553" i="3" s="1"/>
  <c r="AG553" i="3"/>
  <c r="F553" i="3" l="1"/>
  <c r="V553" i="3"/>
  <c r="A554" i="3"/>
  <c r="B554" i="3" s="1"/>
  <c r="I553" i="3"/>
  <c r="J553" i="3"/>
  <c r="M553" i="3"/>
  <c r="N553" i="3" s="1"/>
  <c r="L553" i="3" l="1"/>
  <c r="Z554" i="3"/>
  <c r="AA554" i="3"/>
  <c r="AC554" i="3"/>
  <c r="P554" i="3"/>
  <c r="Q554" i="3" s="1"/>
  <c r="R554" i="3" s="1"/>
  <c r="S554" i="3" s="1"/>
  <c r="W553" i="3"/>
  <c r="T554" i="3" l="1"/>
  <c r="AG554" i="3" s="1"/>
  <c r="U553" i="3"/>
  <c r="Y552" i="3"/>
  <c r="D554" i="3" l="1"/>
  <c r="G554" i="3" s="1"/>
  <c r="AH554" i="3"/>
  <c r="E554" i="3"/>
  <c r="H554" i="3" s="1"/>
  <c r="K554" i="3" s="1"/>
  <c r="AE554" i="3" s="1"/>
  <c r="F554" i="3" l="1"/>
  <c r="V554" i="3"/>
  <c r="A555" i="3"/>
  <c r="B555" i="3" s="1"/>
  <c r="I554" i="3"/>
  <c r="J554" i="3"/>
  <c r="AD554" i="3" s="1"/>
  <c r="M554" i="3"/>
  <c r="N554" i="3" s="1"/>
  <c r="L554" i="3" l="1"/>
  <c r="Z555" i="3"/>
  <c r="AC555" i="3"/>
  <c r="P555" i="3"/>
  <c r="Q555" i="3" s="1"/>
  <c r="R555" i="3" s="1"/>
  <c r="S555" i="3" s="1"/>
  <c r="AA555" i="3"/>
  <c r="AD555" i="3"/>
  <c r="W554" i="3"/>
  <c r="T555" i="3" l="1"/>
  <c r="AG555" i="3" s="1"/>
  <c r="U554" i="3"/>
  <c r="Y553" i="3"/>
  <c r="AH555" i="3" l="1"/>
  <c r="D555" i="3"/>
  <c r="G555" i="3" s="1"/>
  <c r="E555" i="3"/>
  <c r="H555" i="3" s="1"/>
  <c r="K555" i="3" l="1"/>
  <c r="AE555" i="3" s="1"/>
  <c r="I555" i="3"/>
  <c r="J555" i="3"/>
  <c r="M555" i="3"/>
  <c r="N555" i="3" s="1"/>
  <c r="F555" i="3"/>
  <c r="V555" i="3" l="1"/>
  <c r="W555" i="3" s="1"/>
  <c r="A556" i="3"/>
  <c r="B556" i="3" s="1"/>
  <c r="L555" i="3"/>
  <c r="U555" i="3" l="1"/>
  <c r="Y554" i="3"/>
  <c r="P556" i="3"/>
  <c r="Q556" i="3" s="1"/>
  <c r="R556" i="3" s="1"/>
  <c r="S556" i="3" s="1"/>
  <c r="AA556" i="3"/>
  <c r="AD556" i="3"/>
  <c r="Z556" i="3"/>
  <c r="AC556" i="3"/>
  <c r="T556" i="3" l="1"/>
  <c r="D556" i="3" s="1"/>
  <c r="AH556" i="3" l="1"/>
  <c r="E556" i="3"/>
  <c r="H556" i="3" s="1"/>
  <c r="K556" i="3" s="1"/>
  <c r="AE556" i="3" s="1"/>
  <c r="AG556" i="3"/>
  <c r="G556" i="3"/>
  <c r="F556" i="3" l="1"/>
  <c r="V556" i="3"/>
  <c r="A557" i="3"/>
  <c r="B557" i="3" s="1"/>
  <c r="I556" i="3"/>
  <c r="J556" i="3"/>
  <c r="M556" i="3"/>
  <c r="N556" i="3" s="1"/>
  <c r="W556" i="3" l="1"/>
  <c r="L556" i="3"/>
  <c r="AC557" i="3"/>
  <c r="Z557" i="3"/>
  <c r="AD557" i="3"/>
  <c r="AA557" i="3"/>
  <c r="P557" i="3"/>
  <c r="Q557" i="3" s="1"/>
  <c r="R557" i="3" s="1"/>
  <c r="S557" i="3" s="1"/>
  <c r="T557" i="3" l="1"/>
  <c r="AG557" i="3" s="1"/>
  <c r="U556" i="3"/>
  <c r="Y555" i="3"/>
  <c r="D557" i="3" l="1"/>
  <c r="G557" i="3" s="1"/>
  <c r="AH557" i="3"/>
  <c r="E557" i="3"/>
  <c r="H557" i="3" s="1"/>
  <c r="K557" i="3" s="1"/>
  <c r="AE557" i="3" s="1"/>
  <c r="F557" i="3" l="1"/>
  <c r="V557" i="3"/>
  <c r="A558" i="3"/>
  <c r="B558" i="3" s="1"/>
  <c r="I557" i="3"/>
  <c r="J557" i="3"/>
  <c r="M557" i="3"/>
  <c r="N557" i="3" s="1"/>
  <c r="W557" i="3" l="1"/>
  <c r="L557" i="3"/>
  <c r="P558" i="3"/>
  <c r="Q558" i="3" s="1"/>
  <c r="R558" i="3" s="1"/>
  <c r="S558" i="3" s="1"/>
  <c r="AD558" i="3"/>
  <c r="Z558" i="3"/>
  <c r="AA558" i="3"/>
  <c r="AC558" i="3"/>
  <c r="T558" i="3" l="1"/>
  <c r="AG558" i="3" s="1"/>
  <c r="U557" i="3"/>
  <c r="Y556" i="3"/>
  <c r="AH558" i="3" l="1"/>
  <c r="E558" i="3"/>
  <c r="H558" i="3" s="1"/>
  <c r="K558" i="3" s="1"/>
  <c r="AE558" i="3" s="1"/>
  <c r="D558" i="3"/>
  <c r="F558" i="3" l="1"/>
  <c r="G558" i="3"/>
  <c r="I558" i="3" s="1"/>
  <c r="V558" i="3"/>
  <c r="A559" i="3"/>
  <c r="B559" i="3" s="1"/>
  <c r="M558" i="3" l="1"/>
  <c r="N558" i="3" s="1"/>
  <c r="J558" i="3"/>
  <c r="L558" i="3" s="1"/>
  <c r="AA559" i="3"/>
  <c r="Z559" i="3"/>
  <c r="AD559" i="3"/>
  <c r="AC559" i="3"/>
  <c r="P559" i="3"/>
  <c r="Q559" i="3" s="1"/>
  <c r="R559" i="3" s="1"/>
  <c r="S559" i="3" s="1"/>
  <c r="W558" i="3"/>
  <c r="T559" i="3" l="1"/>
  <c r="AG559" i="3" s="1"/>
  <c r="U558" i="3"/>
  <c r="Y557" i="3"/>
  <c r="AH559" i="3" l="1"/>
  <c r="E559" i="3"/>
  <c r="H559" i="3" s="1"/>
  <c r="K559" i="3" s="1"/>
  <c r="AE559" i="3" s="1"/>
  <c r="D559" i="3"/>
  <c r="F559" i="3" l="1"/>
  <c r="G559" i="3"/>
  <c r="I559" i="3" s="1"/>
  <c r="V559" i="3"/>
  <c r="A560" i="3"/>
  <c r="B560" i="3" s="1"/>
  <c r="M559" i="3" l="1"/>
  <c r="N559" i="3" s="1"/>
  <c r="J559" i="3"/>
  <c r="L559" i="3" s="1"/>
  <c r="Z560" i="3"/>
  <c r="AD560" i="3"/>
  <c r="AC560" i="3"/>
  <c r="AA560" i="3"/>
  <c r="P560" i="3"/>
  <c r="Q560" i="3" s="1"/>
  <c r="R560" i="3" s="1"/>
  <c r="S560" i="3" s="1"/>
  <c r="W559" i="3"/>
  <c r="T560" i="3" l="1"/>
  <c r="AH560" i="3" s="1"/>
  <c r="U559" i="3"/>
  <c r="Y558" i="3"/>
  <c r="AG560" i="3" l="1"/>
  <c r="E560" i="3"/>
  <c r="H560" i="3" s="1"/>
  <c r="K560" i="3" s="1"/>
  <c r="AE560" i="3" s="1"/>
  <c r="D560" i="3"/>
  <c r="F560" i="3" l="1"/>
  <c r="G560" i="3"/>
  <c r="I560" i="3" s="1"/>
  <c r="V560" i="3"/>
  <c r="A561" i="3"/>
  <c r="B561" i="3" s="1"/>
  <c r="W560" i="3" l="1"/>
  <c r="J560" i="3"/>
  <c r="L560" i="3" s="1"/>
  <c r="M560" i="3"/>
  <c r="N560" i="3" s="1"/>
  <c r="AD561" i="3"/>
  <c r="AA561" i="3"/>
  <c r="P561" i="3"/>
  <c r="Q561" i="3" s="1"/>
  <c r="R561" i="3" s="1"/>
  <c r="S561" i="3" s="1"/>
  <c r="AC561" i="3"/>
  <c r="Z561" i="3"/>
  <c r="T561" i="3" l="1"/>
  <c r="AH561" i="3" s="1"/>
  <c r="U560" i="3"/>
  <c r="Y559" i="3"/>
  <c r="D561" i="3" l="1"/>
  <c r="G561" i="3" s="1"/>
  <c r="AG561" i="3"/>
  <c r="E561" i="3"/>
  <c r="H561" i="3" s="1"/>
  <c r="K561" i="3" s="1"/>
  <c r="AE561" i="3" s="1"/>
  <c r="F561" i="3" l="1"/>
  <c r="V561" i="3"/>
  <c r="A562" i="3"/>
  <c r="B562" i="3" s="1"/>
  <c r="I561" i="3"/>
  <c r="J561" i="3"/>
  <c r="M561" i="3"/>
  <c r="N561" i="3" s="1"/>
  <c r="L561" i="3" l="1"/>
  <c r="W561" i="3"/>
  <c r="AC562" i="3"/>
  <c r="Z562" i="3"/>
  <c r="AA562" i="3"/>
  <c r="AD562" i="3"/>
  <c r="P562" i="3"/>
  <c r="Q562" i="3" s="1"/>
  <c r="R562" i="3" s="1"/>
  <c r="S562" i="3" s="1"/>
  <c r="U561" i="3" l="1"/>
  <c r="Y560" i="3"/>
  <c r="T562" i="3"/>
  <c r="AG562" i="3" s="1"/>
  <c r="E562" i="3" l="1"/>
  <c r="H562" i="3" s="1"/>
  <c r="K562" i="3" s="1"/>
  <c r="AE562" i="3" s="1"/>
  <c r="D562" i="3"/>
  <c r="G562" i="3" s="1"/>
  <c r="AH562" i="3"/>
  <c r="F562" i="3" l="1"/>
  <c r="I562" i="3"/>
  <c r="J562" i="3"/>
  <c r="M562" i="3"/>
  <c r="N562" i="3" s="1"/>
  <c r="V562" i="3"/>
  <c r="W562" i="3" s="1"/>
  <c r="A563" i="3"/>
  <c r="B563" i="3" s="1"/>
  <c r="Z563" i="3" l="1"/>
  <c r="AC563" i="3"/>
  <c r="AA563" i="3"/>
  <c r="AD563" i="3"/>
  <c r="P563" i="3"/>
  <c r="Q563" i="3" s="1"/>
  <c r="R563" i="3" s="1"/>
  <c r="S563" i="3" s="1"/>
  <c r="L562" i="3"/>
  <c r="T563" i="3" l="1"/>
  <c r="AH563" i="3" s="1"/>
  <c r="U562" i="3"/>
  <c r="Y561" i="3"/>
  <c r="E563" i="3" l="1"/>
  <c r="H563" i="3" s="1"/>
  <c r="K563" i="3" s="1"/>
  <c r="AE563" i="3" s="1"/>
  <c r="D563" i="3"/>
  <c r="AG563" i="3"/>
  <c r="F563" i="3" l="1"/>
  <c r="G563" i="3"/>
  <c r="I563" i="3" s="1"/>
  <c r="V563" i="3"/>
  <c r="A564" i="3"/>
  <c r="B564" i="3" s="1"/>
  <c r="M563" i="3" l="1"/>
  <c r="N563" i="3" s="1"/>
  <c r="J563" i="3"/>
  <c r="L563" i="3" s="1"/>
  <c r="P564" i="3"/>
  <c r="Q564" i="3" s="1"/>
  <c r="R564" i="3" s="1"/>
  <c r="S564" i="3" s="1"/>
  <c r="AC564" i="3"/>
  <c r="AA564" i="3"/>
  <c r="Z564" i="3"/>
  <c r="W563" i="3"/>
  <c r="T564" i="3" l="1"/>
  <c r="AH564" i="3" s="1"/>
  <c r="U563" i="3"/>
  <c r="Y562" i="3"/>
  <c r="D564" i="3" l="1"/>
  <c r="G564" i="3" s="1"/>
  <c r="AG564" i="3"/>
  <c r="E564" i="3"/>
  <c r="H564" i="3" s="1"/>
  <c r="K564" i="3" s="1"/>
  <c r="AE564" i="3" s="1"/>
  <c r="F564" i="3" l="1"/>
  <c r="V564" i="3"/>
  <c r="A565" i="3"/>
  <c r="B565" i="3" s="1"/>
  <c r="I564" i="3"/>
  <c r="J564" i="3"/>
  <c r="AD564" i="3" s="1"/>
  <c r="M564" i="3"/>
  <c r="N564" i="3" s="1"/>
  <c r="L564" i="3" l="1"/>
  <c r="AD565" i="3"/>
  <c r="Z565" i="3"/>
  <c r="AC565" i="3"/>
  <c r="AA565" i="3"/>
  <c r="P565" i="3"/>
  <c r="Q565" i="3" s="1"/>
  <c r="R565" i="3" s="1"/>
  <c r="S565" i="3" s="1"/>
  <c r="W564" i="3"/>
  <c r="T565" i="3" l="1"/>
  <c r="AH565" i="3" s="1"/>
  <c r="U564" i="3"/>
  <c r="Y563" i="3"/>
  <c r="AG565" i="3" l="1"/>
  <c r="E565" i="3"/>
  <c r="H565" i="3" s="1"/>
  <c r="K565" i="3" s="1"/>
  <c r="AE565" i="3" s="1"/>
  <c r="D565" i="3"/>
  <c r="F565" i="3" l="1"/>
  <c r="G565" i="3"/>
  <c r="I565" i="3" s="1"/>
  <c r="V565" i="3"/>
  <c r="A566" i="3"/>
  <c r="B566" i="3" s="1"/>
  <c r="M565" i="3" l="1"/>
  <c r="N565" i="3" s="1"/>
  <c r="W565" i="3"/>
  <c r="J565" i="3"/>
  <c r="L565" i="3" s="1"/>
  <c r="AC566" i="3"/>
  <c r="AD566" i="3"/>
  <c r="Z566" i="3"/>
  <c r="AA566" i="3"/>
  <c r="P566" i="3"/>
  <c r="Q566" i="3" s="1"/>
  <c r="R566" i="3" s="1"/>
  <c r="S566" i="3" s="1"/>
  <c r="T566" i="3" l="1"/>
  <c r="AH566" i="3" s="1"/>
  <c r="U565" i="3"/>
  <c r="Y564" i="3"/>
  <c r="AG566" i="3" l="1"/>
  <c r="D566" i="3"/>
  <c r="G566" i="3" s="1"/>
  <c r="E566" i="3"/>
  <c r="H566" i="3" s="1"/>
  <c r="K566" i="3" s="1"/>
  <c r="AE566" i="3" s="1"/>
  <c r="F566" i="3" l="1"/>
  <c r="I566" i="3"/>
  <c r="J566" i="3"/>
  <c r="M566" i="3"/>
  <c r="N566" i="3" s="1"/>
  <c r="V566" i="3"/>
  <c r="A567" i="3"/>
  <c r="B567" i="3" s="1"/>
  <c r="W566" i="3" l="1"/>
  <c r="P567" i="3"/>
  <c r="Q567" i="3" s="1"/>
  <c r="R567" i="3" s="1"/>
  <c r="S567" i="3" s="1"/>
  <c r="AD567" i="3"/>
  <c r="AA567" i="3"/>
  <c r="AC567" i="3"/>
  <c r="Z567" i="3"/>
  <c r="L566" i="3"/>
  <c r="T567" i="3" l="1"/>
  <c r="AG567" i="3" s="1"/>
  <c r="U566" i="3"/>
  <c r="Y565" i="3"/>
  <c r="E567" i="3" l="1"/>
  <c r="H567" i="3" s="1"/>
  <c r="K567" i="3" s="1"/>
  <c r="AE567" i="3" s="1"/>
  <c r="D567" i="3"/>
  <c r="AH567" i="3"/>
  <c r="F567" i="3" l="1"/>
  <c r="G567" i="3"/>
  <c r="I567" i="3" s="1"/>
  <c r="V567" i="3"/>
  <c r="A568" i="3"/>
  <c r="B568" i="3" s="1"/>
  <c r="M567" i="3" l="1"/>
  <c r="N567" i="3" s="1"/>
  <c r="J567" i="3"/>
  <c r="L567" i="3" s="1"/>
  <c r="W567" i="3"/>
  <c r="AA568" i="3"/>
  <c r="Z568" i="3"/>
  <c r="AC568" i="3"/>
  <c r="AD568" i="3"/>
  <c r="P568" i="3"/>
  <c r="Q568" i="3" s="1"/>
  <c r="R568" i="3" s="1"/>
  <c r="S568" i="3" s="1"/>
  <c r="T568" i="3" l="1"/>
  <c r="AG568" i="3" s="1"/>
  <c r="U567" i="3"/>
  <c r="Y566" i="3"/>
  <c r="AH568" i="3" l="1"/>
  <c r="E568" i="3"/>
  <c r="H568" i="3" s="1"/>
  <c r="K568" i="3" s="1"/>
  <c r="AE568" i="3" s="1"/>
  <c r="D568" i="3"/>
  <c r="F568" i="3" l="1"/>
  <c r="G568" i="3"/>
  <c r="I568" i="3" s="1"/>
  <c r="V568" i="3"/>
  <c r="A569" i="3"/>
  <c r="B569" i="3" s="1"/>
  <c r="M568" i="3" l="1"/>
  <c r="N568" i="3" s="1"/>
  <c r="J568" i="3"/>
  <c r="L568" i="3" s="1"/>
  <c r="P569" i="3"/>
  <c r="Q569" i="3" s="1"/>
  <c r="R569" i="3" s="1"/>
  <c r="S569" i="3" s="1"/>
  <c r="AD569" i="3"/>
  <c r="AC569" i="3"/>
  <c r="AA569" i="3"/>
  <c r="Z569" i="3"/>
  <c r="W568" i="3"/>
  <c r="U568" i="3" l="1"/>
  <c r="Y567" i="3"/>
  <c r="T569" i="3"/>
  <c r="AG569" i="3" s="1"/>
  <c r="E569" i="3" l="1"/>
  <c r="H569" i="3" s="1"/>
  <c r="AH569" i="3"/>
  <c r="D569" i="3"/>
  <c r="F569" i="3" l="1"/>
  <c r="G569" i="3"/>
  <c r="K569" i="3"/>
  <c r="AE569" i="3" s="1"/>
  <c r="V569" i="3" l="1"/>
  <c r="A570" i="3"/>
  <c r="B570" i="3" s="1"/>
  <c r="I569" i="3"/>
  <c r="J569" i="3"/>
  <c r="M569" i="3"/>
  <c r="N569" i="3" s="1"/>
  <c r="L569" i="3" l="1"/>
  <c r="Z570" i="3"/>
  <c r="AA570" i="3"/>
  <c r="AC570" i="3"/>
  <c r="AD570" i="3"/>
  <c r="P570" i="3"/>
  <c r="Q570" i="3" s="1"/>
  <c r="R570" i="3" s="1"/>
  <c r="S570" i="3" s="1"/>
  <c r="W569" i="3"/>
  <c r="T570" i="3" l="1"/>
  <c r="AG570" i="3" s="1"/>
  <c r="U569" i="3"/>
  <c r="Y568" i="3"/>
  <c r="E570" i="3" l="1"/>
  <c r="H570" i="3" s="1"/>
  <c r="K570" i="3" s="1"/>
  <c r="AE570" i="3" s="1"/>
  <c r="AH570" i="3"/>
  <c r="D570" i="3"/>
  <c r="F570" i="3" l="1"/>
  <c r="G570" i="3"/>
  <c r="I570" i="3" s="1"/>
  <c r="V570" i="3"/>
  <c r="A571" i="3"/>
  <c r="B571" i="3" s="1"/>
  <c r="M570" i="3" l="1"/>
  <c r="N570" i="3" s="1"/>
  <c r="J570" i="3"/>
  <c r="L570" i="3" s="1"/>
  <c r="AD571" i="3"/>
  <c r="AA571" i="3"/>
  <c r="AC571" i="3"/>
  <c r="Z571" i="3"/>
  <c r="P571" i="3"/>
  <c r="Q571" i="3" s="1"/>
  <c r="R571" i="3" s="1"/>
  <c r="S571" i="3" s="1"/>
  <c r="W570" i="3"/>
  <c r="T571" i="3" l="1"/>
  <c r="AH571" i="3" s="1"/>
  <c r="U570" i="3"/>
  <c r="Y569" i="3"/>
  <c r="E571" i="3" l="1"/>
  <c r="H571" i="3" s="1"/>
  <c r="K571" i="3" s="1"/>
  <c r="AE571" i="3" s="1"/>
  <c r="AG571" i="3"/>
  <c r="D571" i="3"/>
  <c r="F571" i="3" l="1"/>
  <c r="G571" i="3"/>
  <c r="I571" i="3" s="1"/>
  <c r="V571" i="3"/>
  <c r="A572" i="3"/>
  <c r="B572" i="3" s="1"/>
  <c r="J571" i="3" l="1"/>
  <c r="L571" i="3" s="1"/>
  <c r="M571" i="3"/>
  <c r="N571" i="3" s="1"/>
  <c r="AA572" i="3"/>
  <c r="AC572" i="3"/>
  <c r="P572" i="3"/>
  <c r="Q572" i="3" s="1"/>
  <c r="R572" i="3" s="1"/>
  <c r="S572" i="3" s="1"/>
  <c r="Z572" i="3"/>
  <c r="AD572" i="3"/>
  <c r="W571" i="3"/>
  <c r="T572" i="3" l="1"/>
  <c r="AH572" i="3" s="1"/>
  <c r="U571" i="3"/>
  <c r="Y570" i="3"/>
  <c r="AG572" i="3" l="1"/>
  <c r="E572" i="3"/>
  <c r="H572" i="3" s="1"/>
  <c r="K572" i="3" s="1"/>
  <c r="AE572" i="3" s="1"/>
  <c r="D572" i="3"/>
  <c r="F572" i="3" l="1"/>
  <c r="G572" i="3"/>
  <c r="I572" i="3" s="1"/>
  <c r="V572" i="3"/>
  <c r="A573" i="3"/>
  <c r="B573" i="3" s="1"/>
  <c r="M572" i="3" l="1"/>
  <c r="N572" i="3" s="1"/>
  <c r="J572" i="3"/>
  <c r="L572" i="3" s="1"/>
  <c r="P573" i="3"/>
  <c r="Q573" i="3" s="1"/>
  <c r="R573" i="3" s="1"/>
  <c r="S573" i="3" s="1"/>
  <c r="AC573" i="3"/>
  <c r="AA573" i="3"/>
  <c r="AD573" i="3"/>
  <c r="Z573" i="3"/>
  <c r="W572" i="3"/>
  <c r="T573" i="3" l="1"/>
  <c r="AH573" i="3" s="1"/>
  <c r="U572" i="3"/>
  <c r="Y571" i="3"/>
  <c r="AG573" i="3" l="1"/>
  <c r="D573" i="3"/>
  <c r="E573" i="3"/>
  <c r="H573" i="3" s="1"/>
  <c r="K573" i="3" l="1"/>
  <c r="AE573" i="3" s="1"/>
  <c r="F573" i="3"/>
  <c r="G573" i="3"/>
  <c r="I573" i="3" l="1"/>
  <c r="J573" i="3"/>
  <c r="M573" i="3"/>
  <c r="N573" i="3" s="1"/>
  <c r="V573" i="3"/>
  <c r="A574" i="3"/>
  <c r="B574" i="3" s="1"/>
  <c r="W573" i="3" l="1"/>
  <c r="P574" i="3"/>
  <c r="Q574" i="3" s="1"/>
  <c r="R574" i="3" s="1"/>
  <c r="S574" i="3" s="1"/>
  <c r="Z574" i="3"/>
  <c r="AC574" i="3"/>
  <c r="AA574" i="3"/>
  <c r="L573" i="3"/>
  <c r="U573" i="3" l="1"/>
  <c r="Y572" i="3"/>
  <c r="T574" i="3"/>
  <c r="D574" i="3" l="1"/>
  <c r="G574" i="3" s="1"/>
  <c r="AG574" i="3"/>
  <c r="E574" i="3"/>
  <c r="H574" i="3" s="1"/>
  <c r="AH574" i="3"/>
  <c r="K574" i="3" l="1"/>
  <c r="AE574" i="3" s="1"/>
  <c r="I574" i="3"/>
  <c r="J574" i="3"/>
  <c r="AD574" i="3" s="1"/>
  <c r="M574" i="3"/>
  <c r="N574" i="3" s="1"/>
  <c r="F574" i="3"/>
  <c r="L574" i="3" l="1"/>
  <c r="V574" i="3"/>
  <c r="W574" i="3" s="1"/>
  <c r="A575" i="3"/>
  <c r="B575" i="3" s="1"/>
  <c r="AD575" i="3" l="1"/>
  <c r="P575" i="3"/>
  <c r="Q575" i="3" s="1"/>
  <c r="R575" i="3" s="1"/>
  <c r="S575" i="3" s="1"/>
  <c r="AA575" i="3"/>
  <c r="AC575" i="3"/>
  <c r="Z575" i="3"/>
  <c r="U574" i="3"/>
  <c r="Y573" i="3"/>
  <c r="T575" i="3" l="1"/>
  <c r="E575" i="3" s="1"/>
  <c r="H575" i="3" s="1"/>
  <c r="K575" i="3" l="1"/>
  <c r="AE575" i="3" s="1"/>
  <c r="D575" i="3"/>
  <c r="AH575" i="3"/>
  <c r="AG575" i="3"/>
  <c r="F575" i="3" l="1"/>
  <c r="G575" i="3"/>
  <c r="V575" i="3"/>
  <c r="A576" i="3"/>
  <c r="B576" i="3" s="1"/>
  <c r="AD576" i="3" l="1"/>
  <c r="Z576" i="3"/>
  <c r="AA576" i="3"/>
  <c r="AC576" i="3"/>
  <c r="P576" i="3"/>
  <c r="Q576" i="3" s="1"/>
  <c r="R576" i="3" s="1"/>
  <c r="S576" i="3" s="1"/>
  <c r="I575" i="3"/>
  <c r="W575" i="3" s="1"/>
  <c r="J575" i="3"/>
  <c r="M575" i="3"/>
  <c r="N575" i="3" s="1"/>
  <c r="T576" i="3" l="1"/>
  <c r="L575" i="3"/>
  <c r="AG576" i="3" l="1"/>
  <c r="AH576" i="3"/>
  <c r="U575" i="3"/>
  <c r="D576" i="3" s="1"/>
  <c r="Y574" i="3"/>
  <c r="E576" i="3" l="1"/>
  <c r="H576" i="3" s="1"/>
  <c r="K576" i="3" s="1"/>
  <c r="AE576" i="3" s="1"/>
  <c r="G576" i="3"/>
  <c r="F576" i="3" l="1"/>
  <c r="V576" i="3"/>
  <c r="A577" i="3"/>
  <c r="B577" i="3" s="1"/>
  <c r="I576" i="3"/>
  <c r="J576" i="3"/>
  <c r="M576" i="3"/>
  <c r="N576" i="3" s="1"/>
  <c r="L576" i="3" l="1"/>
  <c r="P577" i="3"/>
  <c r="Q577" i="3" s="1"/>
  <c r="R577" i="3" s="1"/>
  <c r="S577" i="3" s="1"/>
  <c r="AA577" i="3"/>
  <c r="AC577" i="3"/>
  <c r="AD577" i="3"/>
  <c r="Z577" i="3"/>
  <c r="W576" i="3"/>
  <c r="T577" i="3" l="1"/>
  <c r="AG577" i="3" s="1"/>
  <c r="U576" i="3"/>
  <c r="Y575" i="3"/>
  <c r="E577" i="3" l="1"/>
  <c r="H577" i="3" s="1"/>
  <c r="K577" i="3" s="1"/>
  <c r="AE577" i="3" s="1"/>
  <c r="AH577" i="3"/>
  <c r="D577" i="3"/>
  <c r="F577" i="3" l="1"/>
  <c r="G577" i="3"/>
  <c r="I577" i="3" s="1"/>
  <c r="V577" i="3"/>
  <c r="A578" i="3"/>
  <c r="B578" i="3" s="1"/>
  <c r="M577" i="3" l="1"/>
  <c r="N577" i="3" s="1"/>
  <c r="J577" i="3"/>
  <c r="L577" i="3" s="1"/>
  <c r="Z578" i="3"/>
  <c r="AA578" i="3"/>
  <c r="AC578" i="3"/>
  <c r="AD578" i="3"/>
  <c r="P578" i="3"/>
  <c r="Q578" i="3" s="1"/>
  <c r="R578" i="3" s="1"/>
  <c r="S578" i="3" s="1"/>
  <c r="W577" i="3"/>
  <c r="T578" i="3" l="1"/>
  <c r="AG578" i="3" s="1"/>
  <c r="U577" i="3"/>
  <c r="Y576" i="3"/>
  <c r="D578" i="3" l="1"/>
  <c r="G578" i="3" s="1"/>
  <c r="E578" i="3"/>
  <c r="H578" i="3" s="1"/>
  <c r="K578" i="3" s="1"/>
  <c r="AE578" i="3" s="1"/>
  <c r="AH578" i="3"/>
  <c r="F578" i="3" l="1"/>
  <c r="I578" i="3"/>
  <c r="J578" i="3"/>
  <c r="M578" i="3"/>
  <c r="N578" i="3" s="1"/>
  <c r="V578" i="3"/>
  <c r="A579" i="3"/>
  <c r="B579" i="3" s="1"/>
  <c r="W578" i="3" l="1"/>
  <c r="AD579" i="3"/>
  <c r="AA579" i="3"/>
  <c r="Z579" i="3"/>
  <c r="AC579" i="3"/>
  <c r="P579" i="3"/>
  <c r="Q579" i="3" s="1"/>
  <c r="R579" i="3" s="1"/>
  <c r="S579" i="3" s="1"/>
  <c r="L578" i="3"/>
  <c r="T579" i="3" l="1"/>
  <c r="AG579" i="3" s="1"/>
  <c r="U578" i="3"/>
  <c r="Y577" i="3"/>
  <c r="E579" i="3" l="1"/>
  <c r="H579" i="3" s="1"/>
  <c r="K579" i="3" s="1"/>
  <c r="AE579" i="3" s="1"/>
  <c r="D579" i="3"/>
  <c r="AH579" i="3"/>
  <c r="F579" i="3" l="1"/>
  <c r="G579" i="3"/>
  <c r="I579" i="3" s="1"/>
  <c r="V579" i="3"/>
  <c r="A580" i="3"/>
  <c r="B580" i="3" s="1"/>
  <c r="M579" i="3" l="1"/>
  <c r="N579" i="3" s="1"/>
  <c r="J579" i="3"/>
  <c r="L579" i="3" s="1"/>
  <c r="W579" i="3"/>
  <c r="P580" i="3"/>
  <c r="Q580" i="3" s="1"/>
  <c r="R580" i="3" s="1"/>
  <c r="S580" i="3" s="1"/>
  <c r="AD580" i="3"/>
  <c r="AA580" i="3"/>
  <c r="Z580" i="3"/>
  <c r="AC580" i="3"/>
  <c r="U579" i="3" l="1"/>
  <c r="Y578" i="3"/>
  <c r="T580" i="3"/>
  <c r="AG580" i="3" s="1"/>
  <c r="D580" i="3" l="1"/>
  <c r="AH580" i="3"/>
  <c r="E580" i="3"/>
  <c r="H580" i="3" s="1"/>
  <c r="K580" i="3" l="1"/>
  <c r="AE580" i="3" s="1"/>
  <c r="F580" i="3"/>
  <c r="G580" i="3"/>
  <c r="I580" i="3" l="1"/>
  <c r="J580" i="3"/>
  <c r="M580" i="3"/>
  <c r="N580" i="3" s="1"/>
  <c r="V580" i="3"/>
  <c r="A581" i="3"/>
  <c r="B581" i="3" s="1"/>
  <c r="W580" i="3" l="1"/>
  <c r="AA581" i="3"/>
  <c r="P581" i="3"/>
  <c r="Q581" i="3" s="1"/>
  <c r="R581" i="3" s="1"/>
  <c r="S581" i="3" s="1"/>
  <c r="AD581" i="3"/>
  <c r="AC581" i="3"/>
  <c r="Z581" i="3"/>
  <c r="L580" i="3"/>
  <c r="T581" i="3" l="1"/>
  <c r="AH581" i="3" s="1"/>
  <c r="U580" i="3"/>
  <c r="Y579" i="3"/>
  <c r="E581" i="3" l="1"/>
  <c r="H581" i="3" s="1"/>
  <c r="K581" i="3" s="1"/>
  <c r="AE581" i="3" s="1"/>
  <c r="AG581" i="3"/>
  <c r="D581" i="3"/>
  <c r="F581" i="3" l="1"/>
  <c r="G581" i="3"/>
  <c r="V581" i="3"/>
  <c r="A582" i="3"/>
  <c r="B582" i="3" s="1"/>
  <c r="AA582" i="3" l="1"/>
  <c r="Z582" i="3"/>
  <c r="P582" i="3"/>
  <c r="Q582" i="3" s="1"/>
  <c r="R582" i="3" s="1"/>
  <c r="S582" i="3" s="1"/>
  <c r="AC582" i="3"/>
  <c r="AD582" i="3"/>
  <c r="I581" i="3"/>
  <c r="W581" i="3" s="1"/>
  <c r="J581" i="3"/>
  <c r="M581" i="3"/>
  <c r="N581" i="3" s="1"/>
  <c r="L581" i="3" l="1"/>
  <c r="T582" i="3"/>
  <c r="U581" i="3" l="1"/>
  <c r="D582" i="3" s="1"/>
  <c r="AG582" i="3"/>
  <c r="AH582" i="3"/>
  <c r="Y580" i="3"/>
  <c r="E582" i="3" l="1"/>
  <c r="H582" i="3" s="1"/>
  <c r="K582" i="3" s="1"/>
  <c r="AE582" i="3" s="1"/>
  <c r="G582" i="3"/>
  <c r="F582" i="3" l="1"/>
  <c r="I582" i="3"/>
  <c r="J582" i="3"/>
  <c r="M582" i="3"/>
  <c r="N582" i="3" s="1"/>
  <c r="V582" i="3"/>
  <c r="A583" i="3"/>
  <c r="B583" i="3" s="1"/>
  <c r="W582" i="3" l="1"/>
  <c r="P583" i="3"/>
  <c r="Q583" i="3" s="1"/>
  <c r="R583" i="3" s="1"/>
  <c r="S583" i="3" s="1"/>
  <c r="AD583" i="3"/>
  <c r="AA583" i="3"/>
  <c r="Z583" i="3"/>
  <c r="AC583" i="3"/>
  <c r="L582" i="3"/>
  <c r="T583" i="3" l="1"/>
  <c r="AH583" i="3" s="1"/>
  <c r="U582" i="3"/>
  <c r="Y581" i="3"/>
  <c r="AG583" i="3" l="1"/>
  <c r="E583" i="3"/>
  <c r="H583" i="3" s="1"/>
  <c r="K583" i="3" s="1"/>
  <c r="AE583" i="3" s="1"/>
  <c r="D583" i="3"/>
  <c r="F583" i="3" l="1"/>
  <c r="G583" i="3"/>
  <c r="I583" i="3" s="1"/>
  <c r="V583" i="3"/>
  <c r="A584" i="3"/>
  <c r="B584" i="3" s="1"/>
  <c r="J583" i="3" l="1"/>
  <c r="L583" i="3" s="1"/>
  <c r="M583" i="3"/>
  <c r="N583" i="3" s="1"/>
  <c r="AA584" i="3"/>
  <c r="Z584" i="3"/>
  <c r="AC584" i="3"/>
  <c r="P584" i="3"/>
  <c r="Q584" i="3" s="1"/>
  <c r="R584" i="3" s="1"/>
  <c r="S584" i="3" s="1"/>
  <c r="W583" i="3"/>
  <c r="T584" i="3" l="1"/>
  <c r="AH584" i="3" s="1"/>
  <c r="U583" i="3"/>
  <c r="Y582" i="3"/>
  <c r="AG584" i="3" l="1"/>
  <c r="E584" i="3"/>
  <c r="H584" i="3" s="1"/>
  <c r="K584" i="3" s="1"/>
  <c r="AE584" i="3" s="1"/>
  <c r="D584" i="3"/>
  <c r="F584" i="3" l="1"/>
  <c r="G584" i="3"/>
  <c r="I584" i="3" s="1"/>
  <c r="V584" i="3"/>
  <c r="A585" i="3"/>
  <c r="B585" i="3" s="1"/>
  <c r="J584" i="3" l="1"/>
  <c r="AD584" i="3" s="1"/>
  <c r="W584" i="3"/>
  <c r="M584" i="3"/>
  <c r="N584" i="3" s="1"/>
  <c r="P585" i="3"/>
  <c r="Q585" i="3" s="1"/>
  <c r="R585" i="3" s="1"/>
  <c r="S585" i="3" s="1"/>
  <c r="AA585" i="3"/>
  <c r="AD585" i="3"/>
  <c r="AC585" i="3"/>
  <c r="Z585" i="3"/>
  <c r="L584" i="3" l="1"/>
  <c r="U584" i="3" s="1"/>
  <c r="T585" i="3"/>
  <c r="Y583" i="3" l="1"/>
  <c r="D585" i="3"/>
  <c r="G585" i="3" s="1"/>
  <c r="E585" i="3"/>
  <c r="H585" i="3" s="1"/>
  <c r="AG585" i="3"/>
  <c r="AH585" i="3"/>
  <c r="K585" i="3" l="1"/>
  <c r="AE585" i="3" s="1"/>
  <c r="I585" i="3"/>
  <c r="J585" i="3"/>
  <c r="M585" i="3"/>
  <c r="N585" i="3" s="1"/>
  <c r="F585" i="3"/>
  <c r="L585" i="3" l="1"/>
  <c r="V585" i="3"/>
  <c r="W585" i="3" s="1"/>
  <c r="A586" i="3"/>
  <c r="B586" i="3" s="1"/>
  <c r="P586" i="3" l="1"/>
  <c r="Q586" i="3" s="1"/>
  <c r="R586" i="3" s="1"/>
  <c r="S586" i="3" s="1"/>
  <c r="AA586" i="3"/>
  <c r="AC586" i="3"/>
  <c r="Z586" i="3"/>
  <c r="AD586" i="3"/>
  <c r="U585" i="3"/>
  <c r="Y584" i="3"/>
  <c r="T586" i="3" l="1"/>
  <c r="E586" i="3" l="1"/>
  <c r="H586" i="3" s="1"/>
  <c r="D586" i="3"/>
  <c r="AH586" i="3"/>
  <c r="AG586" i="3"/>
  <c r="F586" i="3" l="1"/>
  <c r="G586" i="3"/>
  <c r="K586" i="3"/>
  <c r="AE586" i="3" s="1"/>
  <c r="V586" i="3" l="1"/>
  <c r="A587" i="3"/>
  <c r="B587" i="3" s="1"/>
  <c r="I586" i="3"/>
  <c r="J586" i="3"/>
  <c r="M586" i="3"/>
  <c r="N586" i="3" s="1"/>
  <c r="L586" i="3" l="1"/>
  <c r="Z587" i="3"/>
  <c r="P587" i="3"/>
  <c r="Q587" i="3" s="1"/>
  <c r="R587" i="3" s="1"/>
  <c r="S587" i="3" s="1"/>
  <c r="AD587" i="3"/>
  <c r="AA587" i="3"/>
  <c r="AC587" i="3"/>
  <c r="W586" i="3"/>
  <c r="T587" i="3" l="1"/>
  <c r="AG587" i="3" s="1"/>
  <c r="U586" i="3"/>
  <c r="Y585" i="3"/>
  <c r="AH587" i="3" l="1"/>
  <c r="E587" i="3"/>
  <c r="H587" i="3" s="1"/>
  <c r="K587" i="3" s="1"/>
  <c r="AE587" i="3" s="1"/>
  <c r="D587" i="3"/>
  <c r="F587" i="3" l="1"/>
  <c r="G587" i="3"/>
  <c r="I587" i="3" s="1"/>
  <c r="V587" i="3"/>
  <c r="A588" i="3"/>
  <c r="B588" i="3" s="1"/>
  <c r="M587" i="3" l="1"/>
  <c r="N587" i="3" s="1"/>
  <c r="W587" i="3"/>
  <c r="J587" i="3"/>
  <c r="L587" i="3" s="1"/>
  <c r="AC588" i="3"/>
  <c r="AA588" i="3"/>
  <c r="P588" i="3"/>
  <c r="Q588" i="3" s="1"/>
  <c r="R588" i="3" s="1"/>
  <c r="S588" i="3" s="1"/>
  <c r="Z588" i="3"/>
  <c r="AD588" i="3"/>
  <c r="T588" i="3" l="1"/>
  <c r="AH588" i="3" s="1"/>
  <c r="U587" i="3"/>
  <c r="Y586" i="3"/>
  <c r="AG588" i="3" l="1"/>
  <c r="E588" i="3"/>
  <c r="H588" i="3" s="1"/>
  <c r="K588" i="3" s="1"/>
  <c r="AE588" i="3" s="1"/>
  <c r="D588" i="3"/>
  <c r="F588" i="3" l="1"/>
  <c r="G588" i="3"/>
  <c r="I588" i="3" s="1"/>
  <c r="V588" i="3"/>
  <c r="A589" i="3"/>
  <c r="B589" i="3" s="1"/>
  <c r="M588" i="3" l="1"/>
  <c r="N588" i="3" s="1"/>
  <c r="J588" i="3"/>
  <c r="L588" i="3" s="1"/>
  <c r="W588" i="3"/>
  <c r="P589" i="3"/>
  <c r="Q589" i="3" s="1"/>
  <c r="R589" i="3" s="1"/>
  <c r="S589" i="3" s="1"/>
  <c r="AC589" i="3"/>
  <c r="AD589" i="3"/>
  <c r="AA589" i="3"/>
  <c r="Z589" i="3"/>
  <c r="T589" i="3" l="1"/>
  <c r="AH589" i="3" s="1"/>
  <c r="U588" i="3"/>
  <c r="Y587" i="3"/>
  <c r="AG589" i="3" l="1"/>
  <c r="D589" i="3"/>
  <c r="G589" i="3" s="1"/>
  <c r="E589" i="3"/>
  <c r="H589" i="3" s="1"/>
  <c r="K589" i="3" s="1"/>
  <c r="AE589" i="3" s="1"/>
  <c r="F589" i="3" l="1"/>
  <c r="V589" i="3"/>
  <c r="A590" i="3"/>
  <c r="B590" i="3" s="1"/>
  <c r="I589" i="3"/>
  <c r="J589" i="3"/>
  <c r="M589" i="3"/>
  <c r="N589" i="3" s="1"/>
  <c r="L589" i="3" l="1"/>
  <c r="Z590" i="3"/>
  <c r="AD590" i="3"/>
  <c r="P590" i="3"/>
  <c r="Q590" i="3" s="1"/>
  <c r="R590" i="3" s="1"/>
  <c r="S590" i="3" s="1"/>
  <c r="AA590" i="3"/>
  <c r="AC590" i="3"/>
  <c r="W589" i="3"/>
  <c r="T590" i="3" l="1"/>
  <c r="AH590" i="3" s="1"/>
  <c r="U589" i="3"/>
  <c r="Y588" i="3"/>
  <c r="AG590" i="3" l="1"/>
  <c r="E590" i="3"/>
  <c r="H590" i="3" s="1"/>
  <c r="K590" i="3" s="1"/>
  <c r="AE590" i="3" s="1"/>
  <c r="D590" i="3"/>
  <c r="F590" i="3" l="1"/>
  <c r="G590" i="3"/>
  <c r="I590" i="3" s="1"/>
  <c r="V590" i="3"/>
  <c r="A591" i="3"/>
  <c r="B591" i="3" s="1"/>
  <c r="M590" i="3" l="1"/>
  <c r="N590" i="3" s="1"/>
  <c r="J590" i="3"/>
  <c r="L590" i="3" s="1"/>
  <c r="Z591" i="3"/>
  <c r="AA591" i="3"/>
  <c r="AD591" i="3"/>
  <c r="AC591" i="3"/>
  <c r="P591" i="3"/>
  <c r="Q591" i="3" s="1"/>
  <c r="R591" i="3" s="1"/>
  <c r="S591" i="3" s="1"/>
  <c r="W590" i="3"/>
  <c r="T591" i="3" l="1"/>
  <c r="AH591" i="3" s="1"/>
  <c r="U590" i="3"/>
  <c r="Y589" i="3"/>
  <c r="E591" i="3" l="1"/>
  <c r="H591" i="3" s="1"/>
  <c r="K591" i="3" s="1"/>
  <c r="AE591" i="3" s="1"/>
  <c r="AG591" i="3"/>
  <c r="D591" i="3"/>
  <c r="F591" i="3" l="1"/>
  <c r="G591" i="3"/>
  <c r="I591" i="3" s="1"/>
  <c r="V591" i="3"/>
  <c r="A592" i="3"/>
  <c r="B592" i="3" s="1"/>
  <c r="W591" i="3" l="1"/>
  <c r="M591" i="3"/>
  <c r="N591" i="3" s="1"/>
  <c r="J591" i="3"/>
  <c r="L591" i="3" s="1"/>
  <c r="AC592" i="3"/>
  <c r="AA592" i="3"/>
  <c r="Z592" i="3"/>
  <c r="AD592" i="3"/>
  <c r="P592" i="3"/>
  <c r="Q592" i="3" s="1"/>
  <c r="R592" i="3" s="1"/>
  <c r="S592" i="3" s="1"/>
  <c r="T592" i="3" l="1"/>
  <c r="AH592" i="3" s="1"/>
  <c r="U591" i="3"/>
  <c r="Y590" i="3"/>
  <c r="D592" i="3" l="1"/>
  <c r="AG592" i="3"/>
  <c r="E592" i="3"/>
  <c r="H592" i="3" s="1"/>
  <c r="K592" i="3" s="1"/>
  <c r="AE592" i="3" s="1"/>
  <c r="F592" i="3" l="1"/>
  <c r="G592" i="3"/>
  <c r="I592" i="3" s="1"/>
  <c r="V592" i="3"/>
  <c r="A593" i="3"/>
  <c r="B593" i="3" s="1"/>
  <c r="M592" i="3" l="1"/>
  <c r="N592" i="3" s="1"/>
  <c r="J592" i="3"/>
  <c r="L592" i="3" s="1"/>
  <c r="Z593" i="3"/>
  <c r="P593" i="3"/>
  <c r="Q593" i="3" s="1"/>
  <c r="R593" i="3" s="1"/>
  <c r="S593" i="3" s="1"/>
  <c r="AA593" i="3"/>
  <c r="AD593" i="3"/>
  <c r="AC593" i="3"/>
  <c r="W592" i="3"/>
  <c r="T593" i="3" l="1"/>
  <c r="AH593" i="3" s="1"/>
  <c r="U592" i="3"/>
  <c r="Y591" i="3"/>
  <c r="AG593" i="3" l="1"/>
  <c r="D593" i="3"/>
  <c r="G593" i="3" s="1"/>
  <c r="E593" i="3"/>
  <c r="H593" i="3" s="1"/>
  <c r="F593" i="3" l="1"/>
  <c r="K593" i="3"/>
  <c r="AE593" i="3" s="1"/>
  <c r="I593" i="3"/>
  <c r="J593" i="3"/>
  <c r="M593" i="3"/>
  <c r="N593" i="3" s="1"/>
  <c r="V593" i="3" l="1"/>
  <c r="W593" i="3" s="1"/>
  <c r="A594" i="3"/>
  <c r="B594" i="3" s="1"/>
  <c r="L593" i="3"/>
  <c r="U593" i="3" l="1"/>
  <c r="Y592" i="3"/>
  <c r="AC594" i="3"/>
  <c r="Z594" i="3"/>
  <c r="AA594" i="3"/>
  <c r="P594" i="3"/>
  <c r="Q594" i="3" s="1"/>
  <c r="R594" i="3" s="1"/>
  <c r="S594" i="3" s="1"/>
  <c r="T594" i="3" l="1"/>
  <c r="AG594" i="3" s="1"/>
  <c r="D594" i="3" l="1"/>
  <c r="G594" i="3" s="1"/>
  <c r="AH594" i="3"/>
  <c r="E594" i="3"/>
  <c r="H594" i="3" s="1"/>
  <c r="K594" i="3" l="1"/>
  <c r="AE594" i="3" s="1"/>
  <c r="I594" i="3"/>
  <c r="J594" i="3"/>
  <c r="AD594" i="3" s="1"/>
  <c r="M594" i="3"/>
  <c r="N594" i="3" s="1"/>
  <c r="F594" i="3"/>
  <c r="V594" i="3" l="1"/>
  <c r="W594" i="3" s="1"/>
  <c r="A595" i="3"/>
  <c r="B595" i="3" s="1"/>
  <c r="L594" i="3"/>
  <c r="U594" i="3" l="1"/>
  <c r="Y593" i="3"/>
  <c r="Z595" i="3"/>
  <c r="AD595" i="3"/>
  <c r="AA595" i="3"/>
  <c r="P595" i="3"/>
  <c r="Q595" i="3" s="1"/>
  <c r="R595" i="3" s="1"/>
  <c r="S595" i="3" s="1"/>
  <c r="AC595" i="3"/>
  <c r="T595" i="3" l="1"/>
  <c r="E595" i="3" s="1"/>
  <c r="H595" i="3" s="1"/>
  <c r="AH595" i="3" l="1"/>
  <c r="D595" i="3"/>
  <c r="F595" i="3" s="1"/>
  <c r="AG595" i="3"/>
  <c r="K595" i="3"/>
  <c r="AE595" i="3" s="1"/>
  <c r="G595" i="3" l="1"/>
  <c r="I595" i="3" s="1"/>
  <c r="V595" i="3"/>
  <c r="A596" i="3"/>
  <c r="B596" i="3" s="1"/>
  <c r="M595" i="3" l="1"/>
  <c r="N595" i="3" s="1"/>
  <c r="J595" i="3"/>
  <c r="L595" i="3" s="1"/>
  <c r="W595" i="3"/>
  <c r="AA596" i="3"/>
  <c r="P596" i="3"/>
  <c r="Q596" i="3" s="1"/>
  <c r="R596" i="3" s="1"/>
  <c r="S596" i="3" s="1"/>
  <c r="Z596" i="3"/>
  <c r="AC596" i="3"/>
  <c r="AD596" i="3"/>
  <c r="T596" i="3" l="1"/>
  <c r="AG596" i="3" s="1"/>
  <c r="U595" i="3"/>
  <c r="Y594" i="3"/>
  <c r="AH596" i="3" l="1"/>
  <c r="E596" i="3"/>
  <c r="H596" i="3" s="1"/>
  <c r="K596" i="3" s="1"/>
  <c r="AE596" i="3" s="1"/>
  <c r="D596" i="3"/>
  <c r="G596" i="3" s="1"/>
  <c r="F596" i="3" l="1"/>
  <c r="I596" i="3"/>
  <c r="J596" i="3"/>
  <c r="M596" i="3"/>
  <c r="N596" i="3" s="1"/>
  <c r="V596" i="3"/>
  <c r="A597" i="3"/>
  <c r="B597" i="3" s="1"/>
  <c r="W596" i="3" l="1"/>
  <c r="AA597" i="3"/>
  <c r="AC597" i="3"/>
  <c r="AD597" i="3"/>
  <c r="P597" i="3"/>
  <c r="Q597" i="3" s="1"/>
  <c r="R597" i="3" s="1"/>
  <c r="S597" i="3" s="1"/>
  <c r="Z597" i="3"/>
  <c r="L596" i="3"/>
  <c r="U596" i="3" l="1"/>
  <c r="Y595" i="3"/>
  <c r="T597" i="3"/>
  <c r="D597" i="3" l="1"/>
  <c r="G597" i="3" s="1"/>
  <c r="AG597" i="3"/>
  <c r="E597" i="3"/>
  <c r="H597" i="3" s="1"/>
  <c r="AH597" i="3"/>
  <c r="K597" i="3" l="1"/>
  <c r="AE597" i="3" s="1"/>
  <c r="I597" i="3"/>
  <c r="J597" i="3"/>
  <c r="M597" i="3"/>
  <c r="N597" i="3" s="1"/>
  <c r="F597" i="3"/>
  <c r="L597" i="3" l="1"/>
  <c r="V597" i="3"/>
  <c r="W597" i="3" s="1"/>
  <c r="A598" i="3"/>
  <c r="B598" i="3" s="1"/>
  <c r="P598" i="3" l="1"/>
  <c r="Q598" i="3" s="1"/>
  <c r="R598" i="3" s="1"/>
  <c r="S598" i="3" s="1"/>
  <c r="AC598" i="3"/>
  <c r="Z598" i="3"/>
  <c r="AD598" i="3"/>
  <c r="AA598" i="3"/>
  <c r="U597" i="3"/>
  <c r="Y596" i="3"/>
  <c r="T598" i="3" l="1"/>
  <c r="AG598" i="3" l="1"/>
  <c r="D598" i="3"/>
  <c r="AH598" i="3"/>
  <c r="E598" i="3"/>
  <c r="H598" i="3" s="1"/>
  <c r="F598" i="3" l="1"/>
  <c r="G598" i="3"/>
  <c r="K598" i="3"/>
  <c r="AE598" i="3" s="1"/>
  <c r="V598" i="3" l="1"/>
  <c r="A599" i="3"/>
  <c r="B599" i="3" s="1"/>
  <c r="I598" i="3"/>
  <c r="J598" i="3"/>
  <c r="M598" i="3"/>
  <c r="N598" i="3" s="1"/>
  <c r="L598" i="3" l="1"/>
  <c r="AD599" i="3"/>
  <c r="Z599" i="3"/>
  <c r="AA599" i="3"/>
  <c r="P599" i="3"/>
  <c r="Q599" i="3" s="1"/>
  <c r="R599" i="3" s="1"/>
  <c r="S599" i="3" s="1"/>
  <c r="AC599" i="3"/>
  <c r="W598" i="3"/>
  <c r="T599" i="3" l="1"/>
  <c r="AH599" i="3" s="1"/>
  <c r="U598" i="3"/>
  <c r="Y597" i="3"/>
  <c r="AG599" i="3" l="1"/>
  <c r="E599" i="3"/>
  <c r="H599" i="3" s="1"/>
  <c r="K599" i="3" s="1"/>
  <c r="AE599" i="3" s="1"/>
  <c r="D599" i="3"/>
  <c r="F599" i="3" l="1"/>
  <c r="G599" i="3"/>
  <c r="I599" i="3" s="1"/>
  <c r="V599" i="3"/>
  <c r="A600" i="3"/>
  <c r="B600" i="3" s="1"/>
  <c r="M599" i="3" l="1"/>
  <c r="N599" i="3" s="1"/>
  <c r="J599" i="3"/>
  <c r="L599" i="3" s="1"/>
  <c r="AD600" i="3"/>
  <c r="AC600" i="3"/>
  <c r="AA600" i="3"/>
  <c r="Z600" i="3"/>
  <c r="P600" i="3"/>
  <c r="Q600" i="3" s="1"/>
  <c r="R600" i="3" s="1"/>
  <c r="S600" i="3" s="1"/>
  <c r="W599" i="3"/>
  <c r="T600" i="3" l="1"/>
  <c r="AG600" i="3" s="1"/>
  <c r="U599" i="3"/>
  <c r="Y598" i="3"/>
  <c r="E600" i="3" l="1"/>
  <c r="H600" i="3" s="1"/>
  <c r="K600" i="3" s="1"/>
  <c r="AE600" i="3" s="1"/>
  <c r="D600" i="3"/>
  <c r="AH600" i="3"/>
  <c r="F600" i="3" l="1"/>
  <c r="G600" i="3"/>
  <c r="I600" i="3" s="1"/>
  <c r="V600" i="3"/>
  <c r="A601" i="3"/>
  <c r="B601" i="3" s="1"/>
  <c r="M600" i="3" l="1"/>
  <c r="N600" i="3" s="1"/>
  <c r="J600" i="3"/>
  <c r="L600" i="3" s="1"/>
  <c r="W600" i="3"/>
  <c r="Z601" i="3"/>
  <c r="AD601" i="3"/>
  <c r="AA601" i="3"/>
  <c r="AC601" i="3"/>
  <c r="P601" i="3"/>
  <c r="Q601" i="3" s="1"/>
  <c r="R601" i="3" s="1"/>
  <c r="S601" i="3" s="1"/>
  <c r="T601" i="3" l="1"/>
  <c r="U600" i="3"/>
  <c r="Y599" i="3"/>
  <c r="E601" i="3" l="1"/>
  <c r="H601" i="3" s="1"/>
  <c r="K601" i="3" s="1"/>
  <c r="AE601" i="3" s="1"/>
  <c r="AH601" i="3"/>
  <c r="AG601" i="3"/>
  <c r="D601" i="3"/>
  <c r="F601" i="3" l="1"/>
  <c r="G601" i="3"/>
  <c r="I601" i="3" s="1"/>
  <c r="V601" i="3"/>
  <c r="A602" i="3"/>
  <c r="B602" i="3" s="1"/>
  <c r="M601" i="3" l="1"/>
  <c r="N601" i="3" s="1"/>
  <c r="J601" i="3"/>
  <c r="L601" i="3" s="1"/>
  <c r="W601" i="3"/>
  <c r="P602" i="3"/>
  <c r="Q602" i="3" s="1"/>
  <c r="R602" i="3" s="1"/>
  <c r="S602" i="3" s="1"/>
  <c r="AD602" i="3"/>
  <c r="AA602" i="3"/>
  <c r="Z602" i="3"/>
  <c r="AC602" i="3"/>
  <c r="U601" i="3" l="1"/>
  <c r="Y600" i="3"/>
  <c r="T602" i="3"/>
  <c r="E602" i="3" l="1"/>
  <c r="H602" i="3" s="1"/>
  <c r="K602" i="3" s="1"/>
  <c r="AE602" i="3" s="1"/>
  <c r="D602" i="3"/>
  <c r="G602" i="3" s="1"/>
  <c r="AH602" i="3"/>
  <c r="AG602" i="3"/>
  <c r="F602" i="3" l="1"/>
  <c r="V602" i="3"/>
  <c r="A603" i="3"/>
  <c r="B603" i="3" s="1"/>
  <c r="I602" i="3"/>
  <c r="J602" i="3"/>
  <c r="M602" i="3"/>
  <c r="N602" i="3" s="1"/>
  <c r="L602" i="3" l="1"/>
  <c r="AC603" i="3"/>
  <c r="AD603" i="3"/>
  <c r="Z603" i="3"/>
  <c r="AA603" i="3"/>
  <c r="P603" i="3"/>
  <c r="Q603" i="3" s="1"/>
  <c r="R603" i="3" s="1"/>
  <c r="S603" i="3" s="1"/>
  <c r="W602" i="3"/>
  <c r="T603" i="3" l="1"/>
  <c r="AG603" i="3" s="1"/>
  <c r="U602" i="3"/>
  <c r="Y601" i="3"/>
  <c r="AH603" i="3" l="1"/>
  <c r="D603" i="3"/>
  <c r="G603" i="3" s="1"/>
  <c r="E603" i="3"/>
  <c r="H603" i="3" s="1"/>
  <c r="K603" i="3" l="1"/>
  <c r="AE603" i="3" s="1"/>
  <c r="I603" i="3"/>
  <c r="J603" i="3"/>
  <c r="M603" i="3"/>
  <c r="N603" i="3" s="1"/>
  <c r="F603" i="3"/>
  <c r="L603" i="3" l="1"/>
  <c r="V603" i="3"/>
  <c r="W603" i="3" s="1"/>
  <c r="A604" i="3"/>
  <c r="B604" i="3" s="1"/>
  <c r="P604" i="3" l="1"/>
  <c r="Q604" i="3" s="1"/>
  <c r="R604" i="3" s="1"/>
  <c r="S604" i="3" s="1"/>
  <c r="AC604" i="3"/>
  <c r="Z604" i="3"/>
  <c r="AA604" i="3"/>
  <c r="U603" i="3"/>
  <c r="Y602" i="3"/>
  <c r="T604" i="3" l="1"/>
  <c r="AG604" i="3" l="1"/>
  <c r="AH604" i="3"/>
  <c r="E604" i="3"/>
  <c r="H604" i="3" s="1"/>
  <c r="D604" i="3"/>
  <c r="F604" i="3" l="1"/>
  <c r="G604" i="3"/>
  <c r="K604" i="3"/>
  <c r="AE604" i="3" s="1"/>
  <c r="V604" i="3" l="1"/>
  <c r="A605" i="3"/>
  <c r="B605" i="3" s="1"/>
  <c r="I604" i="3"/>
  <c r="J604" i="3"/>
  <c r="AD604" i="3" s="1"/>
  <c r="M604" i="3"/>
  <c r="N604" i="3" s="1"/>
  <c r="L604" i="3" l="1"/>
  <c r="AA605" i="3"/>
  <c r="AD605" i="3"/>
  <c r="AC605" i="3"/>
  <c r="Z605" i="3"/>
  <c r="P605" i="3"/>
  <c r="Q605" i="3" s="1"/>
  <c r="R605" i="3" s="1"/>
  <c r="S605" i="3" s="1"/>
  <c r="W604" i="3"/>
  <c r="T605" i="3" l="1"/>
  <c r="AG605" i="3" s="1"/>
  <c r="U604" i="3"/>
  <c r="Y603" i="3"/>
  <c r="E605" i="3" l="1"/>
  <c r="H605" i="3" s="1"/>
  <c r="K605" i="3" s="1"/>
  <c r="AE605" i="3" s="1"/>
  <c r="AH605" i="3"/>
  <c r="D605" i="3"/>
  <c r="F605" i="3" l="1"/>
  <c r="G605" i="3"/>
  <c r="V605" i="3"/>
  <c r="A606" i="3"/>
  <c r="B606" i="3" s="1"/>
  <c r="AD606" i="3" l="1"/>
  <c r="AC606" i="3"/>
  <c r="Z606" i="3"/>
  <c r="AA606" i="3"/>
  <c r="P606" i="3"/>
  <c r="Q606" i="3" s="1"/>
  <c r="R606" i="3" s="1"/>
  <c r="S606" i="3" s="1"/>
  <c r="I605" i="3"/>
  <c r="W605" i="3" s="1"/>
  <c r="J605" i="3"/>
  <c r="M605" i="3"/>
  <c r="N605" i="3" s="1"/>
  <c r="L605" i="3" l="1"/>
  <c r="T606" i="3"/>
  <c r="AH606" i="3" l="1"/>
  <c r="AG606" i="3"/>
  <c r="U605" i="3"/>
  <c r="D606" i="3" s="1"/>
  <c r="Y604" i="3"/>
  <c r="E606" i="3" l="1"/>
  <c r="H606" i="3" s="1"/>
  <c r="K606" i="3" s="1"/>
  <c r="AE606" i="3" s="1"/>
  <c r="G606" i="3"/>
  <c r="F606" i="3" l="1"/>
  <c r="V606" i="3"/>
  <c r="A607" i="3"/>
  <c r="B607" i="3" s="1"/>
  <c r="I606" i="3"/>
  <c r="J606" i="3"/>
  <c r="M606" i="3"/>
  <c r="N606" i="3" s="1"/>
  <c r="L606" i="3" l="1"/>
  <c r="AA607" i="3"/>
  <c r="P607" i="3"/>
  <c r="Q607" i="3" s="1"/>
  <c r="R607" i="3" s="1"/>
  <c r="S607" i="3" s="1"/>
  <c r="AC607" i="3"/>
  <c r="AD607" i="3"/>
  <c r="Z607" i="3"/>
  <c r="W606" i="3"/>
  <c r="T607" i="3" l="1"/>
  <c r="AH607" i="3" s="1"/>
  <c r="U606" i="3"/>
  <c r="Y605" i="3"/>
  <c r="E607" i="3" l="1"/>
  <c r="H607" i="3" s="1"/>
  <c r="K607" i="3" s="1"/>
  <c r="AE607" i="3" s="1"/>
  <c r="D607" i="3"/>
  <c r="AG607" i="3"/>
  <c r="F607" i="3" l="1"/>
  <c r="G607" i="3"/>
  <c r="I607" i="3" s="1"/>
  <c r="V607" i="3"/>
  <c r="A608" i="3"/>
  <c r="B608" i="3" s="1"/>
  <c r="M607" i="3" l="1"/>
  <c r="N607" i="3" s="1"/>
  <c r="J607" i="3"/>
  <c r="L607" i="3" s="1"/>
  <c r="AA608" i="3"/>
  <c r="P608" i="3"/>
  <c r="Q608" i="3" s="1"/>
  <c r="R608" i="3" s="1"/>
  <c r="S608" i="3" s="1"/>
  <c r="Z608" i="3"/>
  <c r="AC608" i="3"/>
  <c r="AD608" i="3"/>
  <c r="W607" i="3"/>
  <c r="U607" i="3" l="1"/>
  <c r="Y606" i="3"/>
  <c r="T608" i="3"/>
  <c r="AH608" i="3" s="1"/>
  <c r="E608" i="3" l="1"/>
  <c r="H608" i="3" s="1"/>
  <c r="D608" i="3"/>
  <c r="AG608" i="3"/>
  <c r="F608" i="3" l="1"/>
  <c r="G608" i="3"/>
  <c r="K608" i="3"/>
  <c r="AE608" i="3" s="1"/>
  <c r="V608" i="3" l="1"/>
  <c r="A609" i="3"/>
  <c r="B609" i="3" s="1"/>
  <c r="I608" i="3"/>
  <c r="J608" i="3"/>
  <c r="M608" i="3"/>
  <c r="N608" i="3" s="1"/>
  <c r="L608" i="3" l="1"/>
  <c r="AC609" i="3"/>
  <c r="P609" i="3"/>
  <c r="Q609" i="3" s="1"/>
  <c r="R609" i="3" s="1"/>
  <c r="S609" i="3" s="1"/>
  <c r="Z609" i="3"/>
  <c r="AD609" i="3"/>
  <c r="AA609" i="3"/>
  <c r="W608" i="3"/>
  <c r="U608" i="3" l="1"/>
  <c r="Y607" i="3"/>
  <c r="T609" i="3"/>
  <c r="D609" i="3" l="1"/>
  <c r="G609" i="3" s="1"/>
  <c r="E609" i="3"/>
  <c r="H609" i="3" s="1"/>
  <c r="AH609" i="3"/>
  <c r="AG609" i="3"/>
  <c r="K609" i="3" l="1"/>
  <c r="AE609" i="3" s="1"/>
  <c r="I609" i="3"/>
  <c r="J609" i="3"/>
  <c r="M609" i="3"/>
  <c r="N609" i="3" s="1"/>
  <c r="F609" i="3"/>
  <c r="V609" i="3" l="1"/>
  <c r="W609" i="3" s="1"/>
  <c r="A610" i="3"/>
  <c r="B610" i="3" s="1"/>
  <c r="L609" i="3"/>
  <c r="U609" i="3" l="1"/>
  <c r="Y608" i="3"/>
  <c r="AC610" i="3"/>
  <c r="AD610" i="3"/>
  <c r="AA610" i="3"/>
  <c r="Z610" i="3"/>
  <c r="P610" i="3"/>
  <c r="Q610" i="3" s="1"/>
  <c r="R610" i="3" s="1"/>
  <c r="S610" i="3" s="1"/>
  <c r="T610" i="3" l="1"/>
  <c r="AH610" i="3" s="1"/>
  <c r="AG610" i="3" l="1"/>
  <c r="D610" i="3"/>
  <c r="E610" i="3"/>
  <c r="H610" i="3" s="1"/>
  <c r="K610" i="3" s="1"/>
  <c r="AE610" i="3" s="1"/>
  <c r="F610" i="3" l="1"/>
  <c r="G610" i="3"/>
  <c r="I610" i="3" s="1"/>
  <c r="V610" i="3"/>
  <c r="A611" i="3"/>
  <c r="B611" i="3" s="1"/>
  <c r="M610" i="3" l="1"/>
  <c r="N610" i="3" s="1"/>
  <c r="J610" i="3"/>
  <c r="L610" i="3" s="1"/>
  <c r="P611" i="3"/>
  <c r="Q611" i="3" s="1"/>
  <c r="R611" i="3" s="1"/>
  <c r="S611" i="3" s="1"/>
  <c r="Z611" i="3"/>
  <c r="AA611" i="3"/>
  <c r="AC611" i="3"/>
  <c r="AD611" i="3"/>
  <c r="W610" i="3"/>
  <c r="T611" i="3" l="1"/>
  <c r="AH611" i="3" s="1"/>
  <c r="U610" i="3"/>
  <c r="Y609" i="3"/>
  <c r="AG611" i="3" l="1"/>
  <c r="D611" i="3"/>
  <c r="G611" i="3" s="1"/>
  <c r="E611" i="3"/>
  <c r="H611" i="3" s="1"/>
  <c r="K611" i="3" s="1"/>
  <c r="AE611" i="3" s="1"/>
  <c r="F611" i="3" l="1"/>
  <c r="V611" i="3"/>
  <c r="A612" i="3"/>
  <c r="B612" i="3" s="1"/>
  <c r="I611" i="3"/>
  <c r="J611" i="3"/>
  <c r="M611" i="3"/>
  <c r="N611" i="3" s="1"/>
  <c r="AD612" i="3" l="1"/>
  <c r="AC612" i="3"/>
  <c r="P612" i="3"/>
  <c r="Q612" i="3" s="1"/>
  <c r="R612" i="3" s="1"/>
  <c r="S612" i="3" s="1"/>
  <c r="AA612" i="3"/>
  <c r="Z612" i="3"/>
  <c r="L611" i="3"/>
  <c r="W611" i="3"/>
  <c r="T612" i="3" l="1"/>
  <c r="AG612" i="3" s="1"/>
  <c r="U611" i="3"/>
  <c r="Y610" i="3"/>
  <c r="D612" i="3" l="1"/>
  <c r="G612" i="3" s="1"/>
  <c r="AH612" i="3"/>
  <c r="E612" i="3"/>
  <c r="H612" i="3" s="1"/>
  <c r="K612" i="3" s="1"/>
  <c r="AE612" i="3" s="1"/>
  <c r="F612" i="3" l="1"/>
  <c r="V612" i="3"/>
  <c r="A613" i="3"/>
  <c r="B613" i="3" s="1"/>
  <c r="I612" i="3"/>
  <c r="J612" i="3"/>
  <c r="M612" i="3"/>
  <c r="N612" i="3" s="1"/>
  <c r="AA613" i="3" l="1"/>
  <c r="Z613" i="3"/>
  <c r="AC613" i="3"/>
  <c r="AD613" i="3"/>
  <c r="P613" i="3"/>
  <c r="Q613" i="3" s="1"/>
  <c r="R613" i="3" s="1"/>
  <c r="S613" i="3" s="1"/>
  <c r="L612" i="3"/>
  <c r="W612" i="3"/>
  <c r="T613" i="3" l="1"/>
  <c r="AH613" i="3" s="1"/>
  <c r="U612" i="3"/>
  <c r="Y611" i="3"/>
  <c r="E613" i="3" l="1"/>
  <c r="H613" i="3" s="1"/>
  <c r="K613" i="3" s="1"/>
  <c r="AE613" i="3" s="1"/>
  <c r="AG613" i="3"/>
  <c r="D613" i="3"/>
  <c r="F613" i="3" l="1"/>
  <c r="G613" i="3"/>
  <c r="I613" i="3" s="1"/>
  <c r="V613" i="3"/>
  <c r="A614" i="3"/>
  <c r="B614" i="3" s="1"/>
  <c r="M613" i="3" l="1"/>
  <c r="N613" i="3" s="1"/>
  <c r="J613" i="3"/>
  <c r="L613" i="3" s="1"/>
  <c r="W613" i="3"/>
  <c r="Z614" i="3"/>
  <c r="P614" i="3"/>
  <c r="Q614" i="3" s="1"/>
  <c r="R614" i="3" s="1"/>
  <c r="S614" i="3" s="1"/>
  <c r="AC614" i="3"/>
  <c r="AA614" i="3"/>
  <c r="T614" i="3" l="1"/>
  <c r="AG614" i="3" s="1"/>
  <c r="U613" i="3"/>
  <c r="Y612" i="3"/>
  <c r="AH614" i="3" l="1"/>
  <c r="D614" i="3"/>
  <c r="G614" i="3" s="1"/>
  <c r="E614" i="3"/>
  <c r="H614" i="3" s="1"/>
  <c r="K614" i="3" l="1"/>
  <c r="AE614" i="3" s="1"/>
  <c r="I614" i="3"/>
  <c r="J614" i="3"/>
  <c r="AD614" i="3" s="1"/>
  <c r="M614" i="3"/>
  <c r="N614" i="3" s="1"/>
  <c r="F614" i="3"/>
  <c r="L614" i="3" l="1"/>
  <c r="V614" i="3"/>
  <c r="W614" i="3" s="1"/>
  <c r="A615" i="3"/>
  <c r="B615" i="3" s="1"/>
  <c r="AD615" i="3" l="1"/>
  <c r="AA615" i="3"/>
  <c r="P615" i="3"/>
  <c r="Q615" i="3" s="1"/>
  <c r="R615" i="3" s="1"/>
  <c r="S615" i="3" s="1"/>
  <c r="AC615" i="3"/>
  <c r="Z615" i="3"/>
  <c r="U614" i="3"/>
  <c r="Y613" i="3"/>
  <c r="T615" i="3" l="1"/>
  <c r="E615" i="3" s="1"/>
  <c r="H615" i="3" s="1"/>
  <c r="AG615" i="3" l="1"/>
  <c r="D615" i="3"/>
  <c r="F615" i="3" s="1"/>
  <c r="AH615" i="3"/>
  <c r="K615" i="3"/>
  <c r="AE615" i="3" s="1"/>
  <c r="G615" i="3" l="1"/>
  <c r="I615" i="3" s="1"/>
  <c r="V615" i="3"/>
  <c r="A616" i="3"/>
  <c r="B616" i="3" s="1"/>
  <c r="M615" i="3" l="1"/>
  <c r="N615" i="3" s="1"/>
  <c r="J615" i="3"/>
  <c r="L615" i="3" s="1"/>
  <c r="W615" i="3"/>
  <c r="AC616" i="3"/>
  <c r="AA616" i="3"/>
  <c r="AD616" i="3"/>
  <c r="Z616" i="3"/>
  <c r="P616" i="3"/>
  <c r="Q616" i="3" s="1"/>
  <c r="R616" i="3" s="1"/>
  <c r="S616" i="3" s="1"/>
  <c r="T616" i="3" l="1"/>
  <c r="AH616" i="3" s="1"/>
  <c r="U615" i="3"/>
  <c r="Y614" i="3"/>
  <c r="AG616" i="3" l="1"/>
  <c r="E616" i="3"/>
  <c r="H616" i="3" s="1"/>
  <c r="K616" i="3" s="1"/>
  <c r="AE616" i="3" s="1"/>
  <c r="D616" i="3"/>
  <c r="F616" i="3" l="1"/>
  <c r="G616" i="3"/>
  <c r="I616" i="3" s="1"/>
  <c r="V616" i="3"/>
  <c r="A617" i="3"/>
  <c r="B617" i="3" s="1"/>
  <c r="M616" i="3" l="1"/>
  <c r="N616" i="3" s="1"/>
  <c r="J616" i="3"/>
  <c r="L616" i="3" s="1"/>
  <c r="W616" i="3"/>
  <c r="AA617" i="3"/>
  <c r="AD617" i="3"/>
  <c r="P617" i="3"/>
  <c r="Q617" i="3" s="1"/>
  <c r="R617" i="3" s="1"/>
  <c r="S617" i="3" s="1"/>
  <c r="Z617" i="3"/>
  <c r="AC617" i="3"/>
  <c r="U616" i="3" l="1"/>
  <c r="Y615" i="3"/>
  <c r="T617" i="3"/>
  <c r="E617" i="3" l="1"/>
  <c r="H617" i="3" s="1"/>
  <c r="K617" i="3" s="1"/>
  <c r="AE617" i="3" s="1"/>
  <c r="AH617" i="3"/>
  <c r="D617" i="3"/>
  <c r="AG617" i="3"/>
  <c r="F617" i="3" l="1"/>
  <c r="G617" i="3"/>
  <c r="I617" i="3" s="1"/>
  <c r="V617" i="3"/>
  <c r="A618" i="3"/>
  <c r="B618" i="3" s="1"/>
  <c r="M617" i="3" l="1"/>
  <c r="N617" i="3" s="1"/>
  <c r="J617" i="3"/>
  <c r="L617" i="3" s="1"/>
  <c r="W617" i="3"/>
  <c r="AD618" i="3"/>
  <c r="P618" i="3"/>
  <c r="Q618" i="3" s="1"/>
  <c r="R618" i="3" s="1"/>
  <c r="S618" i="3" s="1"/>
  <c r="AA618" i="3"/>
  <c r="AC618" i="3"/>
  <c r="Z618" i="3"/>
  <c r="T618" i="3" l="1"/>
  <c r="AH618" i="3" s="1"/>
  <c r="U617" i="3"/>
  <c r="Y616" i="3"/>
  <c r="AG618" i="3" l="1"/>
  <c r="E618" i="3"/>
  <c r="H618" i="3" s="1"/>
  <c r="K618" i="3" s="1"/>
  <c r="AE618" i="3" s="1"/>
  <c r="D618" i="3"/>
  <c r="F618" i="3" l="1"/>
  <c r="G618" i="3"/>
  <c r="I618" i="3" s="1"/>
  <c r="V618" i="3"/>
  <c r="A619" i="3"/>
  <c r="B619" i="3" s="1"/>
  <c r="M618" i="3" l="1"/>
  <c r="N618" i="3" s="1"/>
  <c r="J618" i="3"/>
  <c r="L618" i="3" s="1"/>
  <c r="W618" i="3"/>
  <c r="Z619" i="3"/>
  <c r="P619" i="3"/>
  <c r="Q619" i="3" s="1"/>
  <c r="R619" i="3" s="1"/>
  <c r="S619" i="3" s="1"/>
  <c r="AA619" i="3"/>
  <c r="AD619" i="3"/>
  <c r="AC619" i="3"/>
  <c r="T619" i="3" l="1"/>
  <c r="AG619" i="3" s="1"/>
  <c r="U618" i="3"/>
  <c r="Y617" i="3"/>
  <c r="D619" i="3" l="1"/>
  <c r="G619" i="3" s="1"/>
  <c r="E619" i="3"/>
  <c r="H619" i="3" s="1"/>
  <c r="K619" i="3" s="1"/>
  <c r="AE619" i="3" s="1"/>
  <c r="AH619" i="3"/>
  <c r="F619" i="3" l="1"/>
  <c r="V619" i="3"/>
  <c r="A620" i="3"/>
  <c r="B620" i="3" s="1"/>
  <c r="I619" i="3"/>
  <c r="J619" i="3"/>
  <c r="M619" i="3"/>
  <c r="N619" i="3" s="1"/>
  <c r="AA620" i="3" l="1"/>
  <c r="Z620" i="3"/>
  <c r="AC620" i="3"/>
  <c r="P620" i="3"/>
  <c r="Q620" i="3" s="1"/>
  <c r="R620" i="3" s="1"/>
  <c r="S620" i="3" s="1"/>
  <c r="AD620" i="3"/>
  <c r="L619" i="3"/>
  <c r="W619" i="3"/>
  <c r="T620" i="3" l="1"/>
  <c r="AG620" i="3" s="1"/>
  <c r="U619" i="3"/>
  <c r="Y618" i="3"/>
  <c r="E620" i="3" l="1"/>
  <c r="H620" i="3" s="1"/>
  <c r="K620" i="3" s="1"/>
  <c r="AE620" i="3" s="1"/>
  <c r="AH620" i="3"/>
  <c r="D620" i="3"/>
  <c r="F620" i="3" l="1"/>
  <c r="G620" i="3"/>
  <c r="I620" i="3" s="1"/>
  <c r="V620" i="3"/>
  <c r="A621" i="3"/>
  <c r="B621" i="3" s="1"/>
  <c r="M620" i="3" l="1"/>
  <c r="N620" i="3" s="1"/>
  <c r="J620" i="3"/>
  <c r="L620" i="3" s="1"/>
  <c r="W620" i="3"/>
  <c r="AC621" i="3"/>
  <c r="AA621" i="3"/>
  <c r="P621" i="3"/>
  <c r="Q621" i="3" s="1"/>
  <c r="R621" i="3" s="1"/>
  <c r="S621" i="3" s="1"/>
  <c r="Z621" i="3"/>
  <c r="AD621" i="3"/>
  <c r="T621" i="3" l="1"/>
  <c r="U620" i="3"/>
  <c r="Y619" i="3"/>
  <c r="E621" i="3" l="1"/>
  <c r="H621" i="3" s="1"/>
  <c r="K621" i="3" s="1"/>
  <c r="AE621" i="3" s="1"/>
  <c r="D621" i="3"/>
  <c r="G621" i="3" s="1"/>
  <c r="AH621" i="3"/>
  <c r="AG621" i="3"/>
  <c r="F621" i="3" l="1"/>
  <c r="I621" i="3"/>
  <c r="J621" i="3"/>
  <c r="M621" i="3"/>
  <c r="N621" i="3" s="1"/>
  <c r="V621" i="3"/>
  <c r="A622" i="3"/>
  <c r="B622" i="3" s="1"/>
  <c r="W621" i="3" l="1"/>
  <c r="P622" i="3"/>
  <c r="Q622" i="3" s="1"/>
  <c r="R622" i="3" s="1"/>
  <c r="S622" i="3" s="1"/>
  <c r="AC622" i="3"/>
  <c r="Z622" i="3"/>
  <c r="AD622" i="3"/>
  <c r="AA622" i="3"/>
  <c r="L621" i="3"/>
  <c r="U621" i="3" l="1"/>
  <c r="Y620" i="3"/>
  <c r="T622" i="3"/>
  <c r="E622" i="3" l="1"/>
  <c r="H622" i="3" s="1"/>
  <c r="K622" i="3" s="1"/>
  <c r="AE622" i="3" s="1"/>
  <c r="AH622" i="3"/>
  <c r="AG622" i="3"/>
  <c r="D622" i="3"/>
  <c r="F622" i="3" l="1"/>
  <c r="G622" i="3"/>
  <c r="M622" i="3" s="1"/>
  <c r="N622" i="3" s="1"/>
  <c r="V622" i="3"/>
  <c r="A623" i="3"/>
  <c r="B623" i="3" s="1"/>
  <c r="J622" i="3" l="1"/>
  <c r="L622" i="3" s="1"/>
  <c r="I622" i="3"/>
  <c r="W622" i="3" s="1"/>
  <c r="Z623" i="3"/>
  <c r="AD623" i="3"/>
  <c r="P623" i="3"/>
  <c r="Q623" i="3" s="1"/>
  <c r="R623" i="3" s="1"/>
  <c r="S623" i="3" s="1"/>
  <c r="AC623" i="3"/>
  <c r="AA623" i="3"/>
  <c r="T623" i="3" l="1"/>
  <c r="AH623" i="3" s="1"/>
  <c r="U622" i="3"/>
  <c r="Y621" i="3"/>
  <c r="D623" i="3" l="1"/>
  <c r="G623" i="3" s="1"/>
  <c r="AG623" i="3"/>
  <c r="E623" i="3"/>
  <c r="H623" i="3" s="1"/>
  <c r="K623" i="3" l="1"/>
  <c r="AE623" i="3" s="1"/>
  <c r="I623" i="3"/>
  <c r="J623" i="3"/>
  <c r="M623" i="3"/>
  <c r="N623" i="3" s="1"/>
  <c r="F623" i="3"/>
  <c r="L623" i="3" l="1"/>
  <c r="V623" i="3"/>
  <c r="W623" i="3" s="1"/>
  <c r="A624" i="3"/>
  <c r="B624" i="3" s="1"/>
  <c r="Z624" i="3" l="1"/>
  <c r="P624" i="3"/>
  <c r="Q624" i="3" s="1"/>
  <c r="R624" i="3" s="1"/>
  <c r="S624" i="3" s="1"/>
  <c r="AC624" i="3"/>
  <c r="AA624" i="3"/>
  <c r="U623" i="3"/>
  <c r="Y622" i="3"/>
  <c r="T624" i="3" l="1"/>
  <c r="E624" i="3" s="1"/>
  <c r="H624" i="3" s="1"/>
  <c r="AH624" i="3" l="1"/>
  <c r="AG624" i="3"/>
  <c r="D624" i="3"/>
  <c r="F624" i="3" s="1"/>
  <c r="K624" i="3"/>
  <c r="AE624" i="3" s="1"/>
  <c r="G624" i="3" l="1"/>
  <c r="I624" i="3" s="1"/>
  <c r="V624" i="3"/>
  <c r="A625" i="3"/>
  <c r="B625" i="3" s="1"/>
  <c r="M624" i="3" l="1"/>
  <c r="N624" i="3" s="1"/>
  <c r="J624" i="3"/>
  <c r="AD624" i="3" s="1"/>
  <c r="AC625" i="3"/>
  <c r="Z625" i="3"/>
  <c r="P625" i="3"/>
  <c r="Q625" i="3" s="1"/>
  <c r="R625" i="3" s="1"/>
  <c r="S625" i="3" s="1"/>
  <c r="AA625" i="3"/>
  <c r="AD625" i="3"/>
  <c r="W624" i="3"/>
  <c r="L624" i="3" l="1"/>
  <c r="Y623" i="3" s="1"/>
  <c r="T625" i="3"/>
  <c r="U624" i="3" l="1"/>
  <c r="D625" i="3" s="1"/>
  <c r="AH625" i="3"/>
  <c r="AG625" i="3"/>
  <c r="E625" i="3" l="1"/>
  <c r="H625" i="3" s="1"/>
  <c r="K625" i="3" s="1"/>
  <c r="AE625" i="3" s="1"/>
  <c r="G625" i="3"/>
  <c r="A626" i="3" l="1"/>
  <c r="B626" i="3" s="1"/>
  <c r="AC626" i="3" s="1"/>
  <c r="V625" i="3"/>
  <c r="I625" i="3"/>
  <c r="F625" i="3"/>
  <c r="M625" i="3"/>
  <c r="N625" i="3" s="1"/>
  <c r="J625" i="3"/>
  <c r="L625" i="3" s="1"/>
  <c r="Z626" i="3" l="1"/>
  <c r="AD626" i="3"/>
  <c r="W625" i="3"/>
  <c r="AA626" i="3"/>
  <c r="P626" i="3"/>
  <c r="Q626" i="3" s="1"/>
  <c r="R626" i="3" s="1"/>
  <c r="S626" i="3" s="1"/>
  <c r="T626" i="3" s="1"/>
  <c r="U625" i="3"/>
  <c r="Y624" i="3"/>
  <c r="AH626" i="3" l="1"/>
  <c r="AG626" i="3"/>
  <c r="D626" i="3"/>
  <c r="G626" i="3" s="1"/>
  <c r="E626" i="3"/>
  <c r="H626" i="3" s="1"/>
  <c r="I626" i="3" l="1"/>
  <c r="J626" i="3"/>
  <c r="M626" i="3"/>
  <c r="N626" i="3" s="1"/>
  <c r="K626" i="3"/>
  <c r="AE626" i="3" s="1"/>
  <c r="F626" i="3"/>
  <c r="V626" i="3" l="1"/>
  <c r="W626" i="3" s="1"/>
  <c r="A627" i="3"/>
  <c r="B627" i="3" s="1"/>
  <c r="L626" i="3"/>
  <c r="AD627" i="3" l="1"/>
  <c r="P627" i="3"/>
  <c r="Q627" i="3" s="1"/>
  <c r="R627" i="3" s="1"/>
  <c r="S627" i="3" s="1"/>
  <c r="AC627" i="3"/>
  <c r="AA627" i="3"/>
  <c r="Z627" i="3"/>
  <c r="U626" i="3"/>
  <c r="Y625" i="3"/>
  <c r="T627" i="3" l="1"/>
  <c r="D627" i="3" s="1"/>
  <c r="AG627" i="3" l="1"/>
  <c r="AH627" i="3"/>
  <c r="E627" i="3"/>
  <c r="H627" i="3" s="1"/>
  <c r="K627" i="3" s="1"/>
  <c r="AE627" i="3" s="1"/>
  <c r="G627" i="3"/>
  <c r="F627" i="3" l="1"/>
  <c r="I627" i="3"/>
  <c r="J627" i="3"/>
  <c r="M627" i="3"/>
  <c r="N627" i="3" s="1"/>
  <c r="V627" i="3"/>
  <c r="A628" i="3"/>
  <c r="B628" i="3" s="1"/>
  <c r="W627" i="3" l="1"/>
  <c r="AC628" i="3"/>
  <c r="AD628" i="3"/>
  <c r="Z628" i="3"/>
  <c r="AA628" i="3"/>
  <c r="P628" i="3"/>
  <c r="Q628" i="3" s="1"/>
  <c r="R628" i="3" s="1"/>
  <c r="S628" i="3" s="1"/>
  <c r="L627" i="3"/>
  <c r="T628" i="3" l="1"/>
  <c r="AH628" i="3" s="1"/>
  <c r="U627" i="3"/>
  <c r="Y626" i="3"/>
  <c r="AG628" i="3" l="1"/>
  <c r="D628" i="3"/>
  <c r="G628" i="3" s="1"/>
  <c r="E628" i="3"/>
  <c r="H628" i="3" s="1"/>
  <c r="K628" i="3" l="1"/>
  <c r="AE628" i="3" s="1"/>
  <c r="I628" i="3"/>
  <c r="J628" i="3"/>
  <c r="M628" i="3"/>
  <c r="N628" i="3" s="1"/>
  <c r="F628" i="3"/>
  <c r="L628" i="3" l="1"/>
  <c r="V628" i="3"/>
  <c r="W628" i="3" s="1"/>
  <c r="A629" i="3"/>
  <c r="B629" i="3" s="1"/>
  <c r="Z629" i="3" l="1"/>
  <c r="AC629" i="3"/>
  <c r="AA629" i="3"/>
  <c r="P629" i="3"/>
  <c r="Q629" i="3" s="1"/>
  <c r="R629" i="3" s="1"/>
  <c r="S629" i="3" s="1"/>
  <c r="AD629" i="3"/>
  <c r="U628" i="3"/>
  <c r="Y627" i="3"/>
  <c r="T629" i="3" l="1"/>
  <c r="D629" i="3" s="1"/>
  <c r="AG629" i="3" l="1"/>
  <c r="AH629" i="3"/>
  <c r="E629" i="3"/>
  <c r="H629" i="3" s="1"/>
  <c r="K629" i="3" s="1"/>
  <c r="AE629" i="3" s="1"/>
  <c r="G629" i="3"/>
  <c r="F629" i="3" l="1"/>
  <c r="V629" i="3"/>
  <c r="A630" i="3"/>
  <c r="B630" i="3" s="1"/>
  <c r="I629" i="3"/>
  <c r="J629" i="3"/>
  <c r="M629" i="3"/>
  <c r="N629" i="3" s="1"/>
  <c r="L629" i="3" l="1"/>
  <c r="AA630" i="3"/>
  <c r="Z630" i="3"/>
  <c r="AD630" i="3"/>
  <c r="P630" i="3"/>
  <c r="Q630" i="3" s="1"/>
  <c r="R630" i="3" s="1"/>
  <c r="S630" i="3" s="1"/>
  <c r="AC630" i="3"/>
  <c r="W629" i="3"/>
  <c r="T630" i="3" l="1"/>
  <c r="AH630" i="3" s="1"/>
  <c r="U629" i="3"/>
  <c r="Y628" i="3"/>
  <c r="D630" i="3" l="1"/>
  <c r="G630" i="3" s="1"/>
  <c r="E630" i="3"/>
  <c r="H630" i="3" s="1"/>
  <c r="K630" i="3" s="1"/>
  <c r="AE630" i="3" s="1"/>
  <c r="AG630" i="3"/>
  <c r="F630" i="3" l="1"/>
  <c r="V630" i="3"/>
  <c r="A631" i="3"/>
  <c r="B631" i="3" s="1"/>
  <c r="I630" i="3"/>
  <c r="J630" i="3"/>
  <c r="M630" i="3"/>
  <c r="N630" i="3" s="1"/>
  <c r="L630" i="3" l="1"/>
  <c r="AC631" i="3"/>
  <c r="AA631" i="3"/>
  <c r="Z631" i="3"/>
  <c r="AD631" i="3"/>
  <c r="P631" i="3"/>
  <c r="Q631" i="3" s="1"/>
  <c r="R631" i="3" s="1"/>
  <c r="S631" i="3" s="1"/>
  <c r="W630" i="3"/>
  <c r="T631" i="3" l="1"/>
  <c r="AG631" i="3" s="1"/>
  <c r="U630" i="3"/>
  <c r="Y629" i="3"/>
  <c r="E631" i="3" l="1"/>
  <c r="H631" i="3" s="1"/>
  <c r="K631" i="3" s="1"/>
  <c r="AE631" i="3" s="1"/>
  <c r="AH631" i="3"/>
  <c r="D631" i="3"/>
  <c r="G631" i="3" s="1"/>
  <c r="F631" i="3" l="1"/>
  <c r="I631" i="3"/>
  <c r="J631" i="3"/>
  <c r="M631" i="3"/>
  <c r="N631" i="3" s="1"/>
  <c r="V631" i="3"/>
  <c r="A632" i="3"/>
  <c r="B632" i="3" s="1"/>
  <c r="W631" i="3" l="1"/>
  <c r="AC632" i="3"/>
  <c r="AA632" i="3"/>
  <c r="Z632" i="3"/>
  <c r="P632" i="3"/>
  <c r="Q632" i="3" s="1"/>
  <c r="R632" i="3" s="1"/>
  <c r="S632" i="3" s="1"/>
  <c r="AD632" i="3"/>
  <c r="L631" i="3"/>
  <c r="U631" i="3" l="1"/>
  <c r="Y630" i="3"/>
  <c r="T632" i="3"/>
  <c r="D632" i="3" l="1"/>
  <c r="G632" i="3" s="1"/>
  <c r="E632" i="3"/>
  <c r="H632" i="3" s="1"/>
  <c r="K632" i="3" s="1"/>
  <c r="AE632" i="3" s="1"/>
  <c r="AG632" i="3"/>
  <c r="AH632" i="3"/>
  <c r="F632" i="3" l="1"/>
  <c r="I632" i="3"/>
  <c r="J632" i="3"/>
  <c r="M632" i="3"/>
  <c r="N632" i="3" s="1"/>
  <c r="V632" i="3"/>
  <c r="A633" i="3"/>
  <c r="B633" i="3" s="1"/>
  <c r="W632" i="3" l="1"/>
  <c r="AA633" i="3"/>
  <c r="AD633" i="3"/>
  <c r="P633" i="3"/>
  <c r="Q633" i="3" s="1"/>
  <c r="R633" i="3" s="1"/>
  <c r="S633" i="3" s="1"/>
  <c r="AC633" i="3"/>
  <c r="Z633" i="3"/>
  <c r="L632" i="3"/>
  <c r="T633" i="3" l="1"/>
  <c r="AG633" i="3" s="1"/>
  <c r="U632" i="3"/>
  <c r="Y631" i="3"/>
  <c r="E633" i="3" l="1"/>
  <c r="H633" i="3" s="1"/>
  <c r="K633" i="3" s="1"/>
  <c r="AE633" i="3" s="1"/>
  <c r="AH633" i="3"/>
  <c r="D633" i="3"/>
  <c r="F633" i="3" l="1"/>
  <c r="G633" i="3"/>
  <c r="I633" i="3" s="1"/>
  <c r="V633" i="3"/>
  <c r="A634" i="3"/>
  <c r="B634" i="3" s="1"/>
  <c r="J633" i="3" l="1"/>
  <c r="L633" i="3" s="1"/>
  <c r="M633" i="3"/>
  <c r="N633" i="3" s="1"/>
  <c r="W633" i="3"/>
  <c r="AA634" i="3"/>
  <c r="AC634" i="3"/>
  <c r="Z634" i="3"/>
  <c r="P634" i="3"/>
  <c r="Q634" i="3" s="1"/>
  <c r="R634" i="3" s="1"/>
  <c r="S634" i="3" s="1"/>
  <c r="T634" i="3" l="1"/>
  <c r="AG634" i="3" s="1"/>
  <c r="U633" i="3"/>
  <c r="Y632" i="3"/>
  <c r="D634" i="3" l="1"/>
  <c r="G634" i="3" s="1"/>
  <c r="E634" i="3"/>
  <c r="H634" i="3" s="1"/>
  <c r="K634" i="3" s="1"/>
  <c r="AE634" i="3" s="1"/>
  <c r="AH634" i="3"/>
  <c r="F634" i="3" l="1"/>
  <c r="I634" i="3"/>
  <c r="J634" i="3"/>
  <c r="AD634" i="3" s="1"/>
  <c r="M634" i="3"/>
  <c r="N634" i="3" s="1"/>
  <c r="V634" i="3"/>
  <c r="A635" i="3"/>
  <c r="B635" i="3" s="1"/>
  <c r="W634" i="3" l="1"/>
  <c r="AD635" i="3"/>
  <c r="P635" i="3"/>
  <c r="Q635" i="3" s="1"/>
  <c r="R635" i="3" s="1"/>
  <c r="S635" i="3" s="1"/>
  <c r="AA635" i="3"/>
  <c r="Z635" i="3"/>
  <c r="AC635" i="3"/>
  <c r="L634" i="3"/>
  <c r="T635" i="3" l="1"/>
  <c r="AH635" i="3" s="1"/>
  <c r="U634" i="3"/>
  <c r="Y633" i="3"/>
  <c r="E635" i="3" l="1"/>
  <c r="H635" i="3" s="1"/>
  <c r="K635" i="3" s="1"/>
  <c r="AE635" i="3" s="1"/>
  <c r="D635" i="3"/>
  <c r="AG635" i="3"/>
  <c r="F635" i="3" l="1"/>
  <c r="G635" i="3"/>
  <c r="J635" i="3" s="1"/>
  <c r="V635" i="3"/>
  <c r="A636" i="3"/>
  <c r="B636" i="3" s="1"/>
  <c r="M635" i="3" l="1"/>
  <c r="N635" i="3" s="1"/>
  <c r="I635" i="3"/>
  <c r="W635" i="3" s="1"/>
  <c r="Z636" i="3"/>
  <c r="P636" i="3"/>
  <c r="Q636" i="3" s="1"/>
  <c r="R636" i="3" s="1"/>
  <c r="S636" i="3" s="1"/>
  <c r="AC636" i="3"/>
  <c r="AD636" i="3"/>
  <c r="AA636" i="3"/>
  <c r="L635" i="3"/>
  <c r="T636" i="3" l="1"/>
  <c r="AH636" i="3" s="1"/>
  <c r="U635" i="3"/>
  <c r="Y634" i="3"/>
  <c r="AG636" i="3" l="1"/>
  <c r="D636" i="3"/>
  <c r="G636" i="3" s="1"/>
  <c r="E636" i="3"/>
  <c r="H636" i="3" s="1"/>
  <c r="K636" i="3" s="1"/>
  <c r="AE636" i="3" s="1"/>
  <c r="F636" i="3" l="1"/>
  <c r="V636" i="3"/>
  <c r="A637" i="3"/>
  <c r="B637" i="3" s="1"/>
  <c r="I636" i="3"/>
  <c r="J636" i="3"/>
  <c r="M636" i="3"/>
  <c r="N636" i="3" s="1"/>
  <c r="L636" i="3" l="1"/>
  <c r="AC637" i="3"/>
  <c r="AD637" i="3"/>
  <c r="AA637" i="3"/>
  <c r="Z637" i="3"/>
  <c r="P637" i="3"/>
  <c r="Q637" i="3" s="1"/>
  <c r="R637" i="3" s="1"/>
  <c r="S637" i="3" s="1"/>
  <c r="W636" i="3"/>
  <c r="T637" i="3" l="1"/>
  <c r="AG637" i="3" s="1"/>
  <c r="U636" i="3"/>
  <c r="Y635" i="3"/>
  <c r="AH637" i="3" l="1"/>
  <c r="E637" i="3"/>
  <c r="H637" i="3" s="1"/>
  <c r="K637" i="3" s="1"/>
  <c r="AE637" i="3" s="1"/>
  <c r="D637" i="3"/>
  <c r="G637" i="3" s="1"/>
  <c r="F637" i="3" l="1"/>
  <c r="V637" i="3"/>
  <c r="A638" i="3"/>
  <c r="B638" i="3" s="1"/>
  <c r="I637" i="3"/>
  <c r="J637" i="3"/>
  <c r="M637" i="3"/>
  <c r="N637" i="3" s="1"/>
  <c r="L637" i="3" l="1"/>
  <c r="Z638" i="3"/>
  <c r="P638" i="3"/>
  <c r="Q638" i="3" s="1"/>
  <c r="R638" i="3" s="1"/>
  <c r="S638" i="3" s="1"/>
  <c r="AC638" i="3"/>
  <c r="AA638" i="3"/>
  <c r="AD638" i="3"/>
  <c r="W637" i="3"/>
  <c r="T638" i="3" l="1"/>
  <c r="AG638" i="3" s="1"/>
  <c r="U637" i="3"/>
  <c r="Y636" i="3"/>
  <c r="E638" i="3" l="1"/>
  <c r="H638" i="3" s="1"/>
  <c r="K638" i="3" s="1"/>
  <c r="AE638" i="3" s="1"/>
  <c r="AH638" i="3"/>
  <c r="D638" i="3"/>
  <c r="F638" i="3" l="1"/>
  <c r="G638" i="3"/>
  <c r="I638" i="3" s="1"/>
  <c r="V638" i="3"/>
  <c r="A639" i="3"/>
  <c r="B639" i="3" s="1"/>
  <c r="M638" i="3" l="1"/>
  <c r="N638" i="3" s="1"/>
  <c r="J638" i="3"/>
  <c r="L638" i="3" s="1"/>
  <c r="AA639" i="3"/>
  <c r="AC639" i="3"/>
  <c r="P639" i="3"/>
  <c r="Q639" i="3" s="1"/>
  <c r="R639" i="3" s="1"/>
  <c r="S639" i="3" s="1"/>
  <c r="Z639" i="3"/>
  <c r="AD639" i="3"/>
  <c r="W638" i="3"/>
  <c r="T639" i="3" l="1"/>
  <c r="AH639" i="3" s="1"/>
  <c r="U638" i="3"/>
  <c r="Y637" i="3"/>
  <c r="E639" i="3" l="1"/>
  <c r="H639" i="3" s="1"/>
  <c r="K639" i="3" s="1"/>
  <c r="AE639" i="3" s="1"/>
  <c r="AG639" i="3"/>
  <c r="D639" i="3"/>
  <c r="V639" i="3" l="1"/>
  <c r="A640" i="3"/>
  <c r="B640" i="3" s="1"/>
  <c r="F639" i="3"/>
  <c r="G639" i="3"/>
  <c r="AC640" i="3" l="1"/>
  <c r="P640" i="3"/>
  <c r="Q640" i="3" s="1"/>
  <c r="R640" i="3" s="1"/>
  <c r="S640" i="3" s="1"/>
  <c r="AA640" i="3"/>
  <c r="AD640" i="3"/>
  <c r="Z640" i="3"/>
  <c r="I639" i="3"/>
  <c r="W639" i="3" s="1"/>
  <c r="J639" i="3"/>
  <c r="M639" i="3"/>
  <c r="N639" i="3" s="1"/>
  <c r="L639" i="3" l="1"/>
  <c r="T640" i="3"/>
  <c r="U639" i="3" l="1"/>
  <c r="D640" i="3" s="1"/>
  <c r="AH640" i="3"/>
  <c r="AG640" i="3"/>
  <c r="Y638" i="3"/>
  <c r="E640" i="3" l="1"/>
  <c r="H640" i="3" s="1"/>
  <c r="K640" i="3" s="1"/>
  <c r="AE640" i="3" s="1"/>
  <c r="G640" i="3"/>
  <c r="F640" i="3" l="1"/>
  <c r="I640" i="3"/>
  <c r="J640" i="3"/>
  <c r="M640" i="3"/>
  <c r="N640" i="3" s="1"/>
  <c r="V640" i="3"/>
  <c r="A641" i="3"/>
  <c r="B641" i="3" s="1"/>
  <c r="W640" i="3" l="1"/>
  <c r="P641" i="3"/>
  <c r="Q641" i="3" s="1"/>
  <c r="R641" i="3" s="1"/>
  <c r="S641" i="3" s="1"/>
  <c r="AA641" i="3"/>
  <c r="AD641" i="3"/>
  <c r="Z641" i="3"/>
  <c r="AC641" i="3"/>
  <c r="L640" i="3"/>
  <c r="U640" i="3" l="1"/>
  <c r="Y639" i="3"/>
  <c r="T641" i="3"/>
  <c r="E641" i="3" l="1"/>
  <c r="H641" i="3" s="1"/>
  <c r="K641" i="3" s="1"/>
  <c r="AE641" i="3" s="1"/>
  <c r="AG641" i="3"/>
  <c r="D641" i="3"/>
  <c r="AH641" i="3"/>
  <c r="F641" i="3" l="1"/>
  <c r="G641" i="3"/>
  <c r="V641" i="3"/>
  <c r="A642" i="3"/>
  <c r="B642" i="3" s="1"/>
  <c r="Z642" i="3" l="1"/>
  <c r="AD642" i="3"/>
  <c r="P642" i="3"/>
  <c r="Q642" i="3" s="1"/>
  <c r="R642" i="3" s="1"/>
  <c r="S642" i="3" s="1"/>
  <c r="AC642" i="3"/>
  <c r="AA642" i="3"/>
  <c r="I641" i="3"/>
  <c r="W641" i="3" s="1"/>
  <c r="J641" i="3"/>
  <c r="M641" i="3"/>
  <c r="N641" i="3" s="1"/>
  <c r="T642" i="3" l="1"/>
  <c r="L641" i="3"/>
  <c r="AG642" i="3" l="1"/>
  <c r="U641" i="3"/>
  <c r="E642" i="3" s="1"/>
  <c r="H642" i="3" s="1"/>
  <c r="AH642" i="3"/>
  <c r="Y640" i="3"/>
  <c r="D642" i="3" l="1"/>
  <c r="F642" i="3" s="1"/>
  <c r="K642" i="3"/>
  <c r="AE642" i="3" s="1"/>
  <c r="G642" i="3" l="1"/>
  <c r="I642" i="3" s="1"/>
  <c r="V642" i="3"/>
  <c r="A643" i="3"/>
  <c r="B643" i="3" s="1"/>
  <c r="M642" i="3" l="1"/>
  <c r="N642" i="3" s="1"/>
  <c r="J642" i="3"/>
  <c r="L642" i="3" s="1"/>
  <c r="W642" i="3"/>
  <c r="AA643" i="3"/>
  <c r="AD643" i="3"/>
  <c r="AC643" i="3"/>
  <c r="P643" i="3"/>
  <c r="Q643" i="3" s="1"/>
  <c r="R643" i="3" s="1"/>
  <c r="S643" i="3" s="1"/>
  <c r="Z643" i="3"/>
  <c r="T643" i="3" l="1"/>
  <c r="AG643" i="3" s="1"/>
  <c r="U642" i="3"/>
  <c r="Y641" i="3"/>
  <c r="AH643" i="3" l="1"/>
  <c r="E643" i="3"/>
  <c r="H643" i="3" s="1"/>
  <c r="K643" i="3" s="1"/>
  <c r="AE643" i="3" s="1"/>
  <c r="D643" i="3"/>
  <c r="F643" i="3" l="1"/>
  <c r="G643" i="3"/>
  <c r="I643" i="3" s="1"/>
  <c r="V643" i="3"/>
  <c r="A644" i="3"/>
  <c r="B644" i="3" s="1"/>
  <c r="M643" i="3" l="1"/>
  <c r="N643" i="3" s="1"/>
  <c r="J643" i="3"/>
  <c r="L643" i="3" s="1"/>
  <c r="AA644" i="3"/>
  <c r="P644" i="3"/>
  <c r="Q644" i="3" s="1"/>
  <c r="R644" i="3" s="1"/>
  <c r="S644" i="3" s="1"/>
  <c r="Z644" i="3"/>
  <c r="AC644" i="3"/>
  <c r="W643" i="3"/>
  <c r="U643" i="3" l="1"/>
  <c r="Y642" i="3"/>
  <c r="T644" i="3"/>
  <c r="E644" i="3" l="1"/>
  <c r="H644" i="3" s="1"/>
  <c r="K644" i="3" s="1"/>
  <c r="AE644" i="3" s="1"/>
  <c r="AH644" i="3"/>
  <c r="AG644" i="3"/>
  <c r="D644" i="3"/>
  <c r="F644" i="3" l="1"/>
  <c r="G644" i="3"/>
  <c r="V644" i="3"/>
  <c r="A645" i="3"/>
  <c r="B645" i="3" s="1"/>
  <c r="AA645" i="3" l="1"/>
  <c r="AC645" i="3"/>
  <c r="Z645" i="3"/>
  <c r="P645" i="3"/>
  <c r="Q645" i="3" s="1"/>
  <c r="R645" i="3" s="1"/>
  <c r="S645" i="3" s="1"/>
  <c r="AD645" i="3"/>
  <c r="I644" i="3"/>
  <c r="W644" i="3" s="1"/>
  <c r="J644" i="3"/>
  <c r="AD644" i="3" s="1"/>
  <c r="M644" i="3"/>
  <c r="N644" i="3" s="1"/>
  <c r="T645" i="3" l="1"/>
  <c r="L644" i="3"/>
  <c r="AH645" i="3" l="1"/>
  <c r="AG645" i="3"/>
  <c r="U644" i="3"/>
  <c r="D645" i="3" s="1"/>
  <c r="Y643" i="3"/>
  <c r="G645" i="3" l="1"/>
  <c r="E645" i="3"/>
  <c r="H645" i="3" s="1"/>
  <c r="K645" i="3" l="1"/>
  <c r="AE645" i="3" s="1"/>
  <c r="I645" i="3"/>
  <c r="J645" i="3"/>
  <c r="M645" i="3"/>
  <c r="N645" i="3" s="1"/>
  <c r="F645" i="3"/>
  <c r="L645" i="3" l="1"/>
  <c r="V645" i="3"/>
  <c r="W645" i="3" s="1"/>
  <c r="A646" i="3"/>
  <c r="B646" i="3" s="1"/>
  <c r="Z646" i="3" l="1"/>
  <c r="P646" i="3"/>
  <c r="Q646" i="3" s="1"/>
  <c r="R646" i="3" s="1"/>
  <c r="S646" i="3" s="1"/>
  <c r="AD646" i="3"/>
  <c r="AC646" i="3"/>
  <c r="AA646" i="3"/>
  <c r="U645" i="3"/>
  <c r="Y644" i="3"/>
  <c r="T646" i="3" l="1"/>
  <c r="AG646" i="3" l="1"/>
  <c r="AH646" i="3"/>
  <c r="E646" i="3"/>
  <c r="H646" i="3" s="1"/>
  <c r="D646" i="3"/>
  <c r="K646" i="3" l="1"/>
  <c r="AE646" i="3" s="1"/>
  <c r="F646" i="3"/>
  <c r="G646" i="3"/>
  <c r="I646" i="3" l="1"/>
  <c r="J646" i="3"/>
  <c r="M646" i="3"/>
  <c r="N646" i="3" s="1"/>
  <c r="V646" i="3"/>
  <c r="A647" i="3"/>
  <c r="B647" i="3" s="1"/>
  <c r="W646" i="3" l="1"/>
  <c r="AC647" i="3"/>
  <c r="AD647" i="3"/>
  <c r="P647" i="3"/>
  <c r="Q647" i="3" s="1"/>
  <c r="R647" i="3" s="1"/>
  <c r="S647" i="3" s="1"/>
  <c r="Z647" i="3"/>
  <c r="AA647" i="3"/>
  <c r="L646" i="3"/>
  <c r="T647" i="3" l="1"/>
  <c r="AH647" i="3" s="1"/>
  <c r="U646" i="3"/>
  <c r="Y645" i="3"/>
  <c r="AG647" i="3" l="1"/>
  <c r="E647" i="3"/>
  <c r="H647" i="3" s="1"/>
  <c r="K647" i="3" s="1"/>
  <c r="AE647" i="3" s="1"/>
  <c r="D647" i="3"/>
  <c r="G647" i="3" s="1"/>
  <c r="F647" i="3" l="1"/>
  <c r="I647" i="3"/>
  <c r="J647" i="3"/>
  <c r="M647" i="3"/>
  <c r="N647" i="3" s="1"/>
  <c r="V647" i="3"/>
  <c r="A648" i="3"/>
  <c r="B648" i="3" s="1"/>
  <c r="W647" i="3" l="1"/>
  <c r="AD648" i="3"/>
  <c r="AA648" i="3"/>
  <c r="P648" i="3"/>
  <c r="Q648" i="3" s="1"/>
  <c r="R648" i="3" s="1"/>
  <c r="S648" i="3" s="1"/>
  <c r="Z648" i="3"/>
  <c r="AC648" i="3"/>
  <c r="L647" i="3"/>
  <c r="T648" i="3" l="1"/>
  <c r="AH648" i="3" s="1"/>
  <c r="U647" i="3"/>
  <c r="Y646" i="3"/>
  <c r="D648" i="3" l="1"/>
  <c r="G648" i="3" s="1"/>
  <c r="AG648" i="3"/>
  <c r="E648" i="3"/>
  <c r="H648" i="3" s="1"/>
  <c r="K648" i="3" s="1"/>
  <c r="AE648" i="3" s="1"/>
  <c r="F648" i="3" l="1"/>
  <c r="I648" i="3"/>
  <c r="J648" i="3"/>
  <c r="M648" i="3"/>
  <c r="N648" i="3" s="1"/>
  <c r="V648" i="3"/>
  <c r="A649" i="3"/>
  <c r="B649" i="3" s="1"/>
  <c r="W648" i="3" l="1"/>
  <c r="AC649" i="3"/>
  <c r="Z649" i="3"/>
  <c r="P649" i="3"/>
  <c r="Q649" i="3" s="1"/>
  <c r="R649" i="3" s="1"/>
  <c r="S649" i="3" s="1"/>
  <c r="AA649" i="3"/>
  <c r="AD649" i="3"/>
  <c r="L648" i="3"/>
  <c r="T649" i="3" l="1"/>
  <c r="AH649" i="3" s="1"/>
  <c r="U648" i="3"/>
  <c r="Y647" i="3"/>
  <c r="E649" i="3" l="1"/>
  <c r="H649" i="3" s="1"/>
  <c r="K649" i="3" s="1"/>
  <c r="AE649" i="3" s="1"/>
  <c r="AG649" i="3"/>
  <c r="D649" i="3"/>
  <c r="V649" i="3" l="1"/>
  <c r="A650" i="3"/>
  <c r="B650" i="3" s="1"/>
  <c r="F649" i="3"/>
  <c r="G649" i="3"/>
  <c r="AA650" i="3" l="1"/>
  <c r="Z650" i="3"/>
  <c r="P650" i="3"/>
  <c r="Q650" i="3" s="1"/>
  <c r="R650" i="3" s="1"/>
  <c r="S650" i="3" s="1"/>
  <c r="AD650" i="3"/>
  <c r="AC650" i="3"/>
  <c r="I649" i="3"/>
  <c r="W649" i="3" s="1"/>
  <c r="J649" i="3"/>
  <c r="M649" i="3"/>
  <c r="N649" i="3" s="1"/>
  <c r="T650" i="3" l="1"/>
  <c r="L649" i="3"/>
  <c r="AG650" i="3" l="1"/>
  <c r="U649" i="3"/>
  <c r="D650" i="3" s="1"/>
  <c r="AH650" i="3"/>
  <c r="Y648" i="3"/>
  <c r="G650" i="3" l="1"/>
  <c r="E650" i="3"/>
  <c r="H650" i="3" s="1"/>
  <c r="K650" i="3" l="1"/>
  <c r="AE650" i="3" s="1"/>
  <c r="I650" i="3"/>
  <c r="J650" i="3"/>
  <c r="M650" i="3"/>
  <c r="N650" i="3" s="1"/>
  <c r="F650" i="3"/>
  <c r="L650" i="3" l="1"/>
  <c r="V650" i="3"/>
  <c r="W650" i="3" s="1"/>
  <c r="A651" i="3"/>
  <c r="B651" i="3" s="1"/>
  <c r="Z651" i="3" l="1"/>
  <c r="AC651" i="3"/>
  <c r="P651" i="3"/>
  <c r="Q651" i="3" s="1"/>
  <c r="R651" i="3" s="1"/>
  <c r="S651" i="3" s="1"/>
  <c r="AA651" i="3"/>
  <c r="AD651" i="3"/>
  <c r="U650" i="3"/>
  <c r="Y649" i="3"/>
  <c r="T651" i="3" l="1"/>
  <c r="AH651" i="3" s="1"/>
  <c r="E651" i="3" l="1"/>
  <c r="H651" i="3" s="1"/>
  <c r="K651" i="3" s="1"/>
  <c r="AE651" i="3" s="1"/>
  <c r="D651" i="3"/>
  <c r="AG651" i="3"/>
  <c r="F651" i="3" l="1"/>
  <c r="G651" i="3"/>
  <c r="V651" i="3"/>
  <c r="A652" i="3"/>
  <c r="B652" i="3" s="1"/>
  <c r="AC652" i="3" l="1"/>
  <c r="AA652" i="3"/>
  <c r="Z652" i="3"/>
  <c r="AD652" i="3"/>
  <c r="P652" i="3"/>
  <c r="Q652" i="3" s="1"/>
  <c r="R652" i="3" s="1"/>
  <c r="S652" i="3" s="1"/>
  <c r="I651" i="3"/>
  <c r="W651" i="3" s="1"/>
  <c r="J651" i="3"/>
  <c r="M651" i="3"/>
  <c r="N651" i="3" s="1"/>
  <c r="L651" i="3" l="1"/>
  <c r="T652" i="3"/>
  <c r="AH652" i="3" l="1"/>
  <c r="U651" i="3"/>
  <c r="E652" i="3" s="1"/>
  <c r="H652" i="3" s="1"/>
  <c r="AG652" i="3"/>
  <c r="Y650" i="3"/>
  <c r="D652" i="3" l="1"/>
  <c r="F652" i="3" s="1"/>
  <c r="K652" i="3"/>
  <c r="AE652" i="3" s="1"/>
  <c r="G652" i="3" l="1"/>
  <c r="I652" i="3" s="1"/>
  <c r="V652" i="3"/>
  <c r="A653" i="3"/>
  <c r="B653" i="3" s="1"/>
  <c r="M652" i="3" l="1"/>
  <c r="N652" i="3" s="1"/>
  <c r="J652" i="3"/>
  <c r="L652" i="3" s="1"/>
  <c r="W652" i="3"/>
  <c r="AC653" i="3"/>
  <c r="Z653" i="3"/>
  <c r="AA653" i="3"/>
  <c r="P653" i="3"/>
  <c r="Q653" i="3" s="1"/>
  <c r="R653" i="3" s="1"/>
  <c r="S653" i="3" s="1"/>
  <c r="AD653" i="3"/>
  <c r="T653" i="3" l="1"/>
  <c r="AG653" i="3" s="1"/>
  <c r="U652" i="3"/>
  <c r="Y651" i="3"/>
  <c r="D653" i="3" l="1"/>
  <c r="G653" i="3" s="1"/>
  <c r="AH653" i="3"/>
  <c r="E653" i="3"/>
  <c r="H653" i="3" s="1"/>
  <c r="K653" i="3" s="1"/>
  <c r="AE653" i="3" s="1"/>
  <c r="F653" i="3" l="1"/>
  <c r="V653" i="3"/>
  <c r="A654" i="3"/>
  <c r="B654" i="3" s="1"/>
  <c r="I653" i="3"/>
  <c r="J653" i="3"/>
  <c r="M653" i="3"/>
  <c r="N653" i="3" s="1"/>
  <c r="L653" i="3" l="1"/>
  <c r="P654" i="3"/>
  <c r="Q654" i="3" s="1"/>
  <c r="R654" i="3" s="1"/>
  <c r="S654" i="3" s="1"/>
  <c r="AA654" i="3"/>
  <c r="Z654" i="3"/>
  <c r="AC654" i="3"/>
  <c r="W653" i="3"/>
  <c r="T654" i="3" l="1"/>
  <c r="AG654" i="3" s="1"/>
  <c r="U653" i="3"/>
  <c r="Y652" i="3"/>
  <c r="E654" i="3" l="1"/>
  <c r="H654" i="3" s="1"/>
  <c r="K654" i="3" s="1"/>
  <c r="AE654" i="3" s="1"/>
  <c r="D654" i="3"/>
  <c r="AH654" i="3"/>
  <c r="F654" i="3" l="1"/>
  <c r="G654" i="3"/>
  <c r="I654" i="3" s="1"/>
  <c r="V654" i="3"/>
  <c r="A655" i="3"/>
  <c r="B655" i="3" s="1"/>
  <c r="M654" i="3" l="1"/>
  <c r="N654" i="3" s="1"/>
  <c r="J654" i="3"/>
  <c r="AD654" i="3" s="1"/>
  <c r="W654" i="3"/>
  <c r="AA655" i="3"/>
  <c r="P655" i="3"/>
  <c r="Q655" i="3" s="1"/>
  <c r="R655" i="3" s="1"/>
  <c r="S655" i="3" s="1"/>
  <c r="AC655" i="3"/>
  <c r="AD655" i="3"/>
  <c r="Z655" i="3"/>
  <c r="L654" i="3" l="1"/>
  <c r="U654" i="3" s="1"/>
  <c r="T655" i="3"/>
  <c r="Y653" i="3" l="1"/>
  <c r="AH655" i="3"/>
  <c r="D655" i="3"/>
  <c r="G655" i="3" s="1"/>
  <c r="AG655" i="3"/>
  <c r="E655" i="3"/>
  <c r="H655" i="3" s="1"/>
  <c r="K655" i="3" l="1"/>
  <c r="AE655" i="3" s="1"/>
  <c r="I655" i="3"/>
  <c r="J655" i="3"/>
  <c r="M655" i="3"/>
  <c r="N655" i="3" s="1"/>
  <c r="F655" i="3"/>
  <c r="L655" i="3" l="1"/>
  <c r="V655" i="3"/>
  <c r="W655" i="3" s="1"/>
  <c r="A656" i="3"/>
  <c r="B656" i="3" s="1"/>
  <c r="P656" i="3" l="1"/>
  <c r="Q656" i="3" s="1"/>
  <c r="R656" i="3" s="1"/>
  <c r="S656" i="3" s="1"/>
  <c r="AA656" i="3"/>
  <c r="Z656" i="3"/>
  <c r="AD656" i="3"/>
  <c r="AC656" i="3"/>
  <c r="U655" i="3"/>
  <c r="Y654" i="3"/>
  <c r="T656" i="3" l="1"/>
  <c r="AH656" i="3" l="1"/>
  <c r="AG656" i="3"/>
  <c r="E656" i="3"/>
  <c r="H656" i="3" s="1"/>
  <c r="D656" i="3"/>
  <c r="K656" i="3" l="1"/>
  <c r="AE656" i="3" s="1"/>
  <c r="F656" i="3"/>
  <c r="G656" i="3"/>
  <c r="I656" i="3" l="1"/>
  <c r="J656" i="3"/>
  <c r="M656" i="3"/>
  <c r="N656" i="3" s="1"/>
  <c r="V656" i="3"/>
  <c r="A657" i="3"/>
  <c r="B657" i="3" s="1"/>
  <c r="W656" i="3" l="1"/>
  <c r="L656" i="3"/>
  <c r="P657" i="3"/>
  <c r="Q657" i="3" s="1"/>
  <c r="R657" i="3" s="1"/>
  <c r="S657" i="3" s="1"/>
  <c r="AC657" i="3"/>
  <c r="AA657" i="3"/>
  <c r="Z657" i="3"/>
  <c r="AD657" i="3"/>
  <c r="T657" i="3" l="1"/>
  <c r="AG657" i="3" s="1"/>
  <c r="U656" i="3"/>
  <c r="Y655" i="3"/>
  <c r="D657" i="3" l="1"/>
  <c r="G657" i="3" s="1"/>
  <c r="AH657" i="3"/>
  <c r="E657" i="3"/>
  <c r="H657" i="3" s="1"/>
  <c r="K657" i="3" s="1"/>
  <c r="AE657" i="3" s="1"/>
  <c r="F657" i="3" l="1"/>
  <c r="V657" i="3"/>
  <c r="A658" i="3"/>
  <c r="B658" i="3" s="1"/>
  <c r="I657" i="3"/>
  <c r="J657" i="3"/>
  <c r="M657" i="3"/>
  <c r="N657" i="3" s="1"/>
  <c r="L657" i="3" l="1"/>
  <c r="AD658" i="3"/>
  <c r="AA658" i="3"/>
  <c r="P658" i="3"/>
  <c r="Q658" i="3" s="1"/>
  <c r="R658" i="3" s="1"/>
  <c r="S658" i="3" s="1"/>
  <c r="AC658" i="3"/>
  <c r="Z658" i="3"/>
  <c r="W657" i="3"/>
  <c r="T658" i="3" l="1"/>
  <c r="AG658" i="3" s="1"/>
  <c r="U657" i="3"/>
  <c r="Y656" i="3"/>
  <c r="D658" i="3" l="1"/>
  <c r="G658" i="3" s="1"/>
  <c r="AH658" i="3"/>
  <c r="E658" i="3"/>
  <c r="H658" i="3" s="1"/>
  <c r="K658" i="3" l="1"/>
  <c r="AE658" i="3" s="1"/>
  <c r="I658" i="3"/>
  <c r="J658" i="3"/>
  <c r="M658" i="3"/>
  <c r="N658" i="3" s="1"/>
  <c r="F658" i="3"/>
  <c r="V658" i="3" l="1"/>
  <c r="W658" i="3" s="1"/>
  <c r="A659" i="3"/>
  <c r="B659" i="3" s="1"/>
  <c r="L658" i="3"/>
  <c r="P659" i="3" l="1"/>
  <c r="Q659" i="3" s="1"/>
  <c r="R659" i="3" s="1"/>
  <c r="S659" i="3" s="1"/>
  <c r="AC659" i="3"/>
  <c r="AA659" i="3"/>
  <c r="Z659" i="3"/>
  <c r="AD659" i="3"/>
  <c r="U658" i="3"/>
  <c r="Y657" i="3"/>
  <c r="T659" i="3" l="1"/>
  <c r="D659" i="3" l="1"/>
  <c r="E659" i="3"/>
  <c r="H659" i="3" s="1"/>
  <c r="AH659" i="3"/>
  <c r="AG659" i="3"/>
  <c r="K659" i="3" l="1"/>
  <c r="AE659" i="3" s="1"/>
  <c r="F659" i="3"/>
  <c r="G659" i="3"/>
  <c r="I659" i="3" l="1"/>
  <c r="J659" i="3"/>
  <c r="M659" i="3"/>
  <c r="N659" i="3" s="1"/>
  <c r="V659" i="3"/>
  <c r="A660" i="3"/>
  <c r="B660" i="3" s="1"/>
  <c r="W659" i="3" l="1"/>
  <c r="AA660" i="3"/>
  <c r="Z660" i="3"/>
  <c r="AD660" i="3"/>
  <c r="AC660" i="3"/>
  <c r="P660" i="3"/>
  <c r="Q660" i="3" s="1"/>
  <c r="R660" i="3" s="1"/>
  <c r="S660" i="3" s="1"/>
  <c r="L659" i="3"/>
  <c r="T660" i="3" l="1"/>
  <c r="AG660" i="3" s="1"/>
  <c r="U659" i="3"/>
  <c r="Y658" i="3"/>
  <c r="E660" i="3" l="1"/>
  <c r="H660" i="3" s="1"/>
  <c r="K660" i="3" s="1"/>
  <c r="AE660" i="3" s="1"/>
  <c r="D660" i="3"/>
  <c r="G660" i="3" s="1"/>
  <c r="AH660" i="3"/>
  <c r="F660" i="3" l="1"/>
  <c r="V660" i="3"/>
  <c r="A661" i="3"/>
  <c r="B661" i="3" s="1"/>
  <c r="I660" i="3"/>
  <c r="J660" i="3"/>
  <c r="M660" i="3"/>
  <c r="N660" i="3" s="1"/>
  <c r="L660" i="3" l="1"/>
  <c r="AC661" i="3"/>
  <c r="Z661" i="3"/>
  <c r="P661" i="3"/>
  <c r="Q661" i="3" s="1"/>
  <c r="R661" i="3" s="1"/>
  <c r="S661" i="3" s="1"/>
  <c r="AA661" i="3"/>
  <c r="AD661" i="3"/>
  <c r="W660" i="3"/>
  <c r="T661" i="3" l="1"/>
  <c r="AH661" i="3" s="1"/>
  <c r="U660" i="3"/>
  <c r="Y659" i="3"/>
  <c r="D661" i="3" l="1"/>
  <c r="G661" i="3" s="1"/>
  <c r="E661" i="3"/>
  <c r="H661" i="3" s="1"/>
  <c r="K661" i="3" s="1"/>
  <c r="AE661" i="3" s="1"/>
  <c r="AG661" i="3"/>
  <c r="F661" i="3" l="1"/>
  <c r="V661" i="3"/>
  <c r="A662" i="3"/>
  <c r="B662" i="3" s="1"/>
  <c r="I661" i="3"/>
  <c r="J661" i="3"/>
  <c r="M661" i="3"/>
  <c r="N661" i="3" s="1"/>
  <c r="Z662" i="3" l="1"/>
  <c r="P662" i="3"/>
  <c r="Q662" i="3" s="1"/>
  <c r="R662" i="3" s="1"/>
  <c r="S662" i="3" s="1"/>
  <c r="AA662" i="3"/>
  <c r="AD662" i="3"/>
  <c r="AC662" i="3"/>
  <c r="L661" i="3"/>
  <c r="W661" i="3"/>
  <c r="T662" i="3" l="1"/>
  <c r="AG662" i="3" s="1"/>
  <c r="U661" i="3"/>
  <c r="Y660" i="3"/>
  <c r="AH662" i="3" l="1"/>
  <c r="E662" i="3"/>
  <c r="H662" i="3" s="1"/>
  <c r="K662" i="3" s="1"/>
  <c r="AE662" i="3" s="1"/>
  <c r="D662" i="3"/>
  <c r="F662" i="3" l="1"/>
  <c r="G662" i="3"/>
  <c r="I662" i="3" s="1"/>
  <c r="V662" i="3"/>
  <c r="A663" i="3"/>
  <c r="B663" i="3" s="1"/>
  <c r="M662" i="3" l="1"/>
  <c r="N662" i="3" s="1"/>
  <c r="J662" i="3"/>
  <c r="L662" i="3" s="1"/>
  <c r="W662" i="3"/>
  <c r="AC663" i="3"/>
  <c r="P663" i="3"/>
  <c r="Q663" i="3" s="1"/>
  <c r="R663" i="3" s="1"/>
  <c r="S663" i="3" s="1"/>
  <c r="AD663" i="3"/>
  <c r="AA663" i="3"/>
  <c r="Z663" i="3"/>
  <c r="T663" i="3" l="1"/>
  <c r="AH663" i="3" s="1"/>
  <c r="U662" i="3"/>
  <c r="Y661" i="3"/>
  <c r="AG663" i="3" l="1"/>
  <c r="E663" i="3"/>
  <c r="H663" i="3" s="1"/>
  <c r="K663" i="3" s="1"/>
  <c r="AE663" i="3" s="1"/>
  <c r="D663" i="3"/>
  <c r="F663" i="3" l="1"/>
  <c r="G663" i="3"/>
  <c r="M663" i="3" s="1"/>
  <c r="N663" i="3" s="1"/>
  <c r="V663" i="3"/>
  <c r="A664" i="3"/>
  <c r="B664" i="3" s="1"/>
  <c r="J663" i="3" l="1"/>
  <c r="L663" i="3" s="1"/>
  <c r="I663" i="3"/>
  <c r="W663" i="3" s="1"/>
  <c r="AC664" i="3"/>
  <c r="Z664" i="3"/>
  <c r="AA664" i="3"/>
  <c r="P664" i="3"/>
  <c r="Q664" i="3" s="1"/>
  <c r="R664" i="3" s="1"/>
  <c r="S664" i="3" s="1"/>
  <c r="T664" i="3" l="1"/>
  <c r="AG664" i="3" s="1"/>
  <c r="U663" i="3"/>
  <c r="Y662" i="3"/>
  <c r="D664" i="3" l="1"/>
  <c r="G664" i="3" s="1"/>
  <c r="E664" i="3"/>
  <c r="H664" i="3" s="1"/>
  <c r="K664" i="3" s="1"/>
  <c r="AE664" i="3" s="1"/>
  <c r="AH664" i="3"/>
  <c r="F664" i="3" l="1"/>
  <c r="V664" i="3"/>
  <c r="A665" i="3"/>
  <c r="B665" i="3" s="1"/>
  <c r="I664" i="3"/>
  <c r="J664" i="3"/>
  <c r="AD664" i="3" s="1"/>
  <c r="M664" i="3"/>
  <c r="N664" i="3" s="1"/>
  <c r="W664" i="3" l="1"/>
  <c r="L664" i="3"/>
  <c r="AA665" i="3"/>
  <c r="P665" i="3"/>
  <c r="Q665" i="3" s="1"/>
  <c r="R665" i="3" s="1"/>
  <c r="S665" i="3" s="1"/>
  <c r="AC665" i="3"/>
  <c r="Z665" i="3"/>
  <c r="AD665" i="3"/>
  <c r="T665" i="3" l="1"/>
  <c r="AG665" i="3" s="1"/>
  <c r="U664" i="3"/>
  <c r="Y663" i="3"/>
  <c r="D665" i="3" l="1"/>
  <c r="G665" i="3" s="1"/>
  <c r="E665" i="3"/>
  <c r="H665" i="3" s="1"/>
  <c r="K665" i="3" s="1"/>
  <c r="AE665" i="3" s="1"/>
  <c r="AH665" i="3"/>
  <c r="F665" i="3" l="1"/>
  <c r="V665" i="3"/>
  <c r="A666" i="3"/>
  <c r="B666" i="3" s="1"/>
  <c r="I665" i="3"/>
  <c r="J665" i="3"/>
  <c r="M665" i="3"/>
  <c r="N665" i="3" s="1"/>
  <c r="W665" i="3" l="1"/>
  <c r="L665" i="3"/>
  <c r="AD666" i="3"/>
  <c r="AA666" i="3"/>
  <c r="P666" i="3"/>
  <c r="Q666" i="3" s="1"/>
  <c r="R666" i="3" s="1"/>
  <c r="S666" i="3" s="1"/>
  <c r="Z666" i="3"/>
  <c r="AC666" i="3"/>
  <c r="T666" i="3" l="1"/>
  <c r="AG666" i="3" s="1"/>
  <c r="U665" i="3"/>
  <c r="Y664" i="3"/>
  <c r="D666" i="3" l="1"/>
  <c r="G666" i="3" s="1"/>
  <c r="AH666" i="3"/>
  <c r="E666" i="3"/>
  <c r="H666" i="3" s="1"/>
  <c r="K666" i="3" s="1"/>
  <c r="AE666" i="3" s="1"/>
  <c r="F666" i="3" l="1"/>
  <c r="V666" i="3"/>
  <c r="A667" i="3"/>
  <c r="B667" i="3" s="1"/>
  <c r="I666" i="3"/>
  <c r="J666" i="3"/>
  <c r="M666" i="3"/>
  <c r="N666" i="3" s="1"/>
  <c r="Z667" i="3" l="1"/>
  <c r="P667" i="3"/>
  <c r="Q667" i="3" s="1"/>
  <c r="R667" i="3" s="1"/>
  <c r="S667" i="3" s="1"/>
  <c r="AA667" i="3"/>
  <c r="AD667" i="3"/>
  <c r="AC667" i="3"/>
  <c r="L666" i="3"/>
  <c r="W666" i="3"/>
  <c r="T667" i="3" l="1"/>
  <c r="AH667" i="3" s="1"/>
  <c r="U666" i="3"/>
  <c r="Y665" i="3"/>
  <c r="AG667" i="3" l="1"/>
  <c r="D667" i="3"/>
  <c r="G667" i="3" s="1"/>
  <c r="E667" i="3"/>
  <c r="H667" i="3" s="1"/>
  <c r="K667" i="3" s="1"/>
  <c r="AE667" i="3" s="1"/>
  <c r="F667" i="3" l="1"/>
  <c r="V667" i="3"/>
  <c r="A668" i="3"/>
  <c r="B668" i="3" s="1"/>
  <c r="I667" i="3"/>
  <c r="J667" i="3"/>
  <c r="M667" i="3"/>
  <c r="N667" i="3" s="1"/>
  <c r="AD668" i="3" l="1"/>
  <c r="AC668" i="3"/>
  <c r="AA668" i="3"/>
  <c r="Z668" i="3"/>
  <c r="P668" i="3"/>
  <c r="Q668" i="3" s="1"/>
  <c r="R668" i="3" s="1"/>
  <c r="S668" i="3" s="1"/>
  <c r="L667" i="3"/>
  <c r="W667" i="3"/>
  <c r="T668" i="3" l="1"/>
  <c r="AG668" i="3" s="1"/>
  <c r="U667" i="3"/>
  <c r="Y666" i="3"/>
  <c r="AH668" i="3" l="1"/>
  <c r="D668" i="3"/>
  <c r="G668" i="3" s="1"/>
  <c r="E668" i="3"/>
  <c r="H668" i="3" s="1"/>
  <c r="K668" i="3" s="1"/>
  <c r="AE668" i="3" s="1"/>
  <c r="F668" i="3" l="1"/>
  <c r="I668" i="3"/>
  <c r="J668" i="3"/>
  <c r="M668" i="3"/>
  <c r="N668" i="3" s="1"/>
  <c r="V668" i="3"/>
  <c r="W668" i="3" s="1"/>
  <c r="A669" i="3"/>
  <c r="B669" i="3" s="1"/>
  <c r="AC669" i="3" l="1"/>
  <c r="Z669" i="3"/>
  <c r="AA669" i="3"/>
  <c r="P669" i="3"/>
  <c r="Q669" i="3" s="1"/>
  <c r="R669" i="3" s="1"/>
  <c r="S669" i="3" s="1"/>
  <c r="AD669" i="3"/>
  <c r="L668" i="3"/>
  <c r="T669" i="3" l="1"/>
  <c r="AG669" i="3" s="1"/>
  <c r="U668" i="3"/>
  <c r="Y667" i="3"/>
  <c r="E669" i="3" l="1"/>
  <c r="H669" i="3" s="1"/>
  <c r="K669" i="3" s="1"/>
  <c r="AE669" i="3" s="1"/>
  <c r="D669" i="3"/>
  <c r="AH669" i="3"/>
  <c r="F669" i="3" l="1"/>
  <c r="G669" i="3"/>
  <c r="J669" i="3" s="1"/>
  <c r="V669" i="3"/>
  <c r="A670" i="3"/>
  <c r="B670" i="3" s="1"/>
  <c r="I669" i="3" l="1"/>
  <c r="W669" i="3" s="1"/>
  <c r="M669" i="3"/>
  <c r="N669" i="3" s="1"/>
  <c r="L669" i="3"/>
  <c r="AD670" i="3"/>
  <c r="P670" i="3"/>
  <c r="Q670" i="3" s="1"/>
  <c r="R670" i="3" s="1"/>
  <c r="S670" i="3" s="1"/>
  <c r="Z670" i="3"/>
  <c r="AC670" i="3"/>
  <c r="AA670" i="3"/>
  <c r="T670" i="3" l="1"/>
  <c r="AH670" i="3" s="1"/>
  <c r="U669" i="3"/>
  <c r="Y668" i="3"/>
  <c r="AG670" i="3" l="1"/>
  <c r="D670" i="3"/>
  <c r="G670" i="3" s="1"/>
  <c r="E670" i="3"/>
  <c r="H670" i="3" s="1"/>
  <c r="K670" i="3" s="1"/>
  <c r="AE670" i="3" s="1"/>
  <c r="F670" i="3" l="1"/>
  <c r="V670" i="3"/>
  <c r="A671" i="3"/>
  <c r="B671" i="3" s="1"/>
  <c r="I670" i="3"/>
  <c r="J670" i="3"/>
  <c r="M670" i="3"/>
  <c r="N670" i="3" s="1"/>
  <c r="W670" i="3" l="1"/>
  <c r="L670" i="3"/>
  <c r="AD671" i="3"/>
  <c r="AA671" i="3"/>
  <c r="P671" i="3"/>
  <c r="Q671" i="3" s="1"/>
  <c r="R671" i="3" s="1"/>
  <c r="S671" i="3" s="1"/>
  <c r="AC671" i="3"/>
  <c r="Z671" i="3"/>
  <c r="T671" i="3" l="1"/>
  <c r="AG671" i="3" s="1"/>
  <c r="U670" i="3"/>
  <c r="Y669" i="3"/>
  <c r="E671" i="3" l="1"/>
  <c r="H671" i="3" s="1"/>
  <c r="K671" i="3" s="1"/>
  <c r="AE671" i="3" s="1"/>
  <c r="AH671" i="3"/>
  <c r="D671" i="3"/>
  <c r="G671" i="3" s="1"/>
  <c r="F671" i="3" l="1"/>
  <c r="V671" i="3"/>
  <c r="A672" i="3"/>
  <c r="B672" i="3" s="1"/>
  <c r="I671" i="3"/>
  <c r="J671" i="3"/>
  <c r="M671" i="3"/>
  <c r="N671" i="3" s="1"/>
  <c r="W671" i="3" l="1"/>
  <c r="AD672" i="3"/>
  <c r="P672" i="3"/>
  <c r="Q672" i="3" s="1"/>
  <c r="R672" i="3" s="1"/>
  <c r="S672" i="3" s="1"/>
  <c r="Z672" i="3"/>
  <c r="AC672" i="3"/>
  <c r="AA672" i="3"/>
  <c r="L671" i="3"/>
  <c r="U671" i="3" l="1"/>
  <c r="Y670" i="3"/>
  <c r="T672" i="3"/>
  <c r="AH672" i="3" s="1"/>
  <c r="D672" i="3" l="1"/>
  <c r="E672" i="3"/>
  <c r="H672" i="3" s="1"/>
  <c r="AG672" i="3"/>
  <c r="K672" i="3" l="1"/>
  <c r="AE672" i="3" s="1"/>
  <c r="F672" i="3"/>
  <c r="G672" i="3"/>
  <c r="I672" i="3" l="1"/>
  <c r="J672" i="3"/>
  <c r="M672" i="3"/>
  <c r="N672" i="3" s="1"/>
  <c r="V672" i="3"/>
  <c r="A673" i="3"/>
  <c r="B673" i="3" s="1"/>
  <c r="W672" i="3" l="1"/>
  <c r="AC673" i="3"/>
  <c r="AA673" i="3"/>
  <c r="P673" i="3"/>
  <c r="Q673" i="3" s="1"/>
  <c r="R673" i="3" s="1"/>
  <c r="S673" i="3" s="1"/>
  <c r="AD673" i="3"/>
  <c r="Z673" i="3"/>
  <c r="L672" i="3"/>
  <c r="T673" i="3" l="1"/>
  <c r="AG673" i="3" s="1"/>
  <c r="U672" i="3"/>
  <c r="Y671" i="3"/>
  <c r="E673" i="3" l="1"/>
  <c r="H673" i="3" s="1"/>
  <c r="K673" i="3" s="1"/>
  <c r="AE673" i="3" s="1"/>
  <c r="AH673" i="3"/>
  <c r="D673" i="3"/>
  <c r="F673" i="3" l="1"/>
  <c r="G673" i="3"/>
  <c r="V673" i="3"/>
  <c r="A674" i="3"/>
  <c r="B674" i="3" s="1"/>
  <c r="Z674" i="3" l="1"/>
  <c r="AC674" i="3"/>
  <c r="P674" i="3"/>
  <c r="Q674" i="3" s="1"/>
  <c r="R674" i="3" s="1"/>
  <c r="S674" i="3" s="1"/>
  <c r="AA674" i="3"/>
  <c r="I673" i="3"/>
  <c r="W673" i="3" s="1"/>
  <c r="J673" i="3"/>
  <c r="M673" i="3"/>
  <c r="N673" i="3" s="1"/>
  <c r="T674" i="3" l="1"/>
  <c r="L673" i="3"/>
  <c r="AH674" i="3" l="1"/>
  <c r="U673" i="3"/>
  <c r="D674" i="3" s="1"/>
  <c r="AG674" i="3"/>
  <c r="Y672" i="3"/>
  <c r="E674" i="3" l="1"/>
  <c r="H674" i="3" s="1"/>
  <c r="K674" i="3" s="1"/>
  <c r="AE674" i="3" s="1"/>
  <c r="G674" i="3"/>
  <c r="F674" i="3" l="1"/>
  <c r="V674" i="3"/>
  <c r="A675" i="3"/>
  <c r="B675" i="3" s="1"/>
  <c r="I674" i="3"/>
  <c r="J674" i="3"/>
  <c r="AD674" i="3" s="1"/>
  <c r="M674" i="3"/>
  <c r="N674" i="3" s="1"/>
  <c r="W674" i="3" l="1"/>
  <c r="L674" i="3"/>
  <c r="AD675" i="3"/>
  <c r="P675" i="3"/>
  <c r="Q675" i="3" s="1"/>
  <c r="R675" i="3" s="1"/>
  <c r="S675" i="3" s="1"/>
  <c r="Z675" i="3"/>
  <c r="AA675" i="3"/>
  <c r="AC675" i="3"/>
  <c r="T675" i="3" l="1"/>
  <c r="AH675" i="3" s="1"/>
  <c r="U674" i="3"/>
  <c r="Y673" i="3"/>
  <c r="D675" i="3" l="1"/>
  <c r="G675" i="3" s="1"/>
  <c r="AG675" i="3"/>
  <c r="E675" i="3"/>
  <c r="H675" i="3" s="1"/>
  <c r="K675" i="3" s="1"/>
  <c r="AE675" i="3" s="1"/>
  <c r="F675" i="3" l="1"/>
  <c r="V675" i="3"/>
  <c r="A676" i="3"/>
  <c r="B676" i="3" s="1"/>
  <c r="I675" i="3"/>
  <c r="J675" i="3"/>
  <c r="M675" i="3"/>
  <c r="N675" i="3" s="1"/>
  <c r="AC676" i="3" l="1"/>
  <c r="AD676" i="3"/>
  <c r="P676" i="3"/>
  <c r="Q676" i="3" s="1"/>
  <c r="R676" i="3" s="1"/>
  <c r="S676" i="3" s="1"/>
  <c r="Z676" i="3"/>
  <c r="AA676" i="3"/>
  <c r="L675" i="3"/>
  <c r="W675" i="3"/>
  <c r="T676" i="3" l="1"/>
  <c r="AH676" i="3" s="1"/>
  <c r="U675" i="3"/>
  <c r="Y674" i="3"/>
  <c r="AG676" i="3" l="1"/>
  <c r="D676" i="3"/>
  <c r="G676" i="3" s="1"/>
  <c r="E676" i="3"/>
  <c r="H676" i="3" s="1"/>
  <c r="K676" i="3" l="1"/>
  <c r="AE676" i="3" s="1"/>
  <c r="I676" i="3"/>
  <c r="J676" i="3"/>
  <c r="M676" i="3"/>
  <c r="N676" i="3" s="1"/>
  <c r="F676" i="3"/>
  <c r="L676" i="3" l="1"/>
  <c r="V676" i="3"/>
  <c r="W676" i="3" s="1"/>
  <c r="A677" i="3"/>
  <c r="B677" i="3" s="1"/>
  <c r="P677" i="3" l="1"/>
  <c r="Q677" i="3" s="1"/>
  <c r="R677" i="3" s="1"/>
  <c r="S677" i="3" s="1"/>
  <c r="AC677" i="3"/>
  <c r="AA677" i="3"/>
  <c r="Z677" i="3"/>
  <c r="AD677" i="3"/>
  <c r="U676" i="3"/>
  <c r="Y675" i="3"/>
  <c r="T677" i="3" l="1"/>
  <c r="AG677" i="3" l="1"/>
  <c r="E677" i="3"/>
  <c r="H677" i="3" s="1"/>
  <c r="AH677" i="3"/>
  <c r="D677" i="3"/>
  <c r="F677" i="3" l="1"/>
  <c r="G677" i="3"/>
  <c r="K677" i="3"/>
  <c r="AE677" i="3" s="1"/>
  <c r="V677" i="3" l="1"/>
  <c r="A678" i="3"/>
  <c r="B678" i="3" s="1"/>
  <c r="I677" i="3"/>
  <c r="J677" i="3"/>
  <c r="M677" i="3"/>
  <c r="N677" i="3" s="1"/>
  <c r="L677" i="3" l="1"/>
  <c r="P678" i="3"/>
  <c r="Q678" i="3" s="1"/>
  <c r="R678" i="3" s="1"/>
  <c r="S678" i="3" s="1"/>
  <c r="AA678" i="3"/>
  <c r="AC678" i="3"/>
  <c r="Z678" i="3"/>
  <c r="AD678" i="3"/>
  <c r="W677" i="3"/>
  <c r="T678" i="3" l="1"/>
  <c r="AH678" i="3" s="1"/>
  <c r="U677" i="3"/>
  <c r="Y676" i="3"/>
  <c r="AG678" i="3" l="1"/>
  <c r="E678" i="3"/>
  <c r="H678" i="3" s="1"/>
  <c r="K678" i="3" s="1"/>
  <c r="AE678" i="3" s="1"/>
  <c r="D678" i="3"/>
  <c r="F678" i="3" l="1"/>
  <c r="G678" i="3"/>
  <c r="I678" i="3" s="1"/>
  <c r="V678" i="3"/>
  <c r="A679" i="3"/>
  <c r="B679" i="3" s="1"/>
  <c r="M678" i="3" l="1"/>
  <c r="N678" i="3" s="1"/>
  <c r="J678" i="3"/>
  <c r="L678" i="3" s="1"/>
  <c r="Z679" i="3"/>
  <c r="AD679" i="3"/>
  <c r="AC679" i="3"/>
  <c r="P679" i="3"/>
  <c r="Q679" i="3" s="1"/>
  <c r="R679" i="3" s="1"/>
  <c r="S679" i="3" s="1"/>
  <c r="AA679" i="3"/>
  <c r="W678" i="3"/>
  <c r="T679" i="3" l="1"/>
  <c r="AH679" i="3" s="1"/>
  <c r="U678" i="3"/>
  <c r="Y677" i="3"/>
  <c r="E679" i="3" l="1"/>
  <c r="H679" i="3" s="1"/>
  <c r="K679" i="3" s="1"/>
  <c r="AE679" i="3" s="1"/>
  <c r="D679" i="3"/>
  <c r="G679" i="3" s="1"/>
  <c r="AG679" i="3"/>
  <c r="F679" i="3" l="1"/>
  <c r="I679" i="3"/>
  <c r="J679" i="3"/>
  <c r="M679" i="3"/>
  <c r="N679" i="3" s="1"/>
  <c r="V679" i="3"/>
  <c r="A680" i="3"/>
  <c r="B680" i="3" s="1"/>
  <c r="W679" i="3" l="1"/>
  <c r="AA680" i="3"/>
  <c r="Z680" i="3"/>
  <c r="AD680" i="3"/>
  <c r="P680" i="3"/>
  <c r="Q680" i="3" s="1"/>
  <c r="R680" i="3" s="1"/>
  <c r="S680" i="3" s="1"/>
  <c r="AC680" i="3"/>
  <c r="L679" i="3"/>
  <c r="T680" i="3" l="1"/>
  <c r="AH680" i="3" s="1"/>
  <c r="U679" i="3"/>
  <c r="Y678" i="3"/>
  <c r="D680" i="3" l="1"/>
  <c r="G680" i="3" s="1"/>
  <c r="AG680" i="3"/>
  <c r="E680" i="3"/>
  <c r="H680" i="3" s="1"/>
  <c r="K680" i="3" s="1"/>
  <c r="AE680" i="3" s="1"/>
  <c r="F680" i="3" l="1"/>
  <c r="V680" i="3"/>
  <c r="A681" i="3"/>
  <c r="B681" i="3" s="1"/>
  <c r="I680" i="3"/>
  <c r="J680" i="3"/>
  <c r="M680" i="3"/>
  <c r="N680" i="3" s="1"/>
  <c r="L680" i="3" l="1"/>
  <c r="AA681" i="3"/>
  <c r="P681" i="3"/>
  <c r="Q681" i="3" s="1"/>
  <c r="R681" i="3" s="1"/>
  <c r="S681" i="3" s="1"/>
  <c r="AC681" i="3"/>
  <c r="Z681" i="3"/>
  <c r="AD681" i="3"/>
  <c r="W680" i="3"/>
  <c r="T681" i="3" l="1"/>
  <c r="AH681" i="3" s="1"/>
  <c r="U680" i="3"/>
  <c r="Y679" i="3"/>
  <c r="D681" i="3" l="1"/>
  <c r="G681" i="3" s="1"/>
  <c r="E681" i="3"/>
  <c r="H681" i="3" s="1"/>
  <c r="K681" i="3" s="1"/>
  <c r="AE681" i="3" s="1"/>
  <c r="AG681" i="3"/>
  <c r="F681" i="3" l="1"/>
  <c r="V681" i="3"/>
  <c r="A682" i="3"/>
  <c r="B682" i="3" s="1"/>
  <c r="I681" i="3"/>
  <c r="J681" i="3"/>
  <c r="M681" i="3"/>
  <c r="N681" i="3" s="1"/>
  <c r="L681" i="3" l="1"/>
  <c r="AC682" i="3"/>
  <c r="AA682" i="3"/>
  <c r="P682" i="3"/>
  <c r="Q682" i="3" s="1"/>
  <c r="R682" i="3" s="1"/>
  <c r="S682" i="3" s="1"/>
  <c r="Z682" i="3"/>
  <c r="AD682" i="3"/>
  <c r="W681" i="3"/>
  <c r="T682" i="3" l="1"/>
  <c r="AG682" i="3" s="1"/>
  <c r="U681" i="3"/>
  <c r="Y680" i="3"/>
  <c r="E682" i="3" l="1"/>
  <c r="H682" i="3" s="1"/>
  <c r="K682" i="3" s="1"/>
  <c r="AE682" i="3" s="1"/>
  <c r="AH682" i="3"/>
  <c r="D682" i="3"/>
  <c r="F682" i="3" l="1"/>
  <c r="G682" i="3"/>
  <c r="I682" i="3" s="1"/>
  <c r="V682" i="3"/>
  <c r="A683" i="3"/>
  <c r="B683" i="3" s="1"/>
  <c r="M682" i="3" l="1"/>
  <c r="N682" i="3" s="1"/>
  <c r="J682" i="3"/>
  <c r="L682" i="3" s="1"/>
  <c r="W682" i="3"/>
  <c r="AD683" i="3"/>
  <c r="AA683" i="3"/>
  <c r="Z683" i="3"/>
  <c r="P683" i="3"/>
  <c r="Q683" i="3" s="1"/>
  <c r="R683" i="3" s="1"/>
  <c r="S683" i="3" s="1"/>
  <c r="AC683" i="3"/>
  <c r="T683" i="3" l="1"/>
  <c r="AG683" i="3" s="1"/>
  <c r="U682" i="3"/>
  <c r="Y681" i="3"/>
  <c r="D683" i="3" l="1"/>
  <c r="G683" i="3" s="1"/>
  <c r="AH683" i="3"/>
  <c r="E683" i="3"/>
  <c r="H683" i="3" s="1"/>
  <c r="K683" i="3" s="1"/>
  <c r="AE683" i="3" s="1"/>
  <c r="F683" i="3" l="1"/>
  <c r="V683" i="3"/>
  <c r="A684" i="3"/>
  <c r="B684" i="3" s="1"/>
  <c r="I683" i="3"/>
  <c r="J683" i="3"/>
  <c r="M683" i="3"/>
  <c r="N683" i="3" s="1"/>
  <c r="W683" i="3" l="1"/>
  <c r="L683" i="3"/>
  <c r="Z684" i="3"/>
  <c r="AA684" i="3"/>
  <c r="AC684" i="3"/>
  <c r="P684" i="3"/>
  <c r="Q684" i="3" s="1"/>
  <c r="R684" i="3" s="1"/>
  <c r="S684" i="3" s="1"/>
  <c r="T684" i="3" l="1"/>
  <c r="AG684" i="3" s="1"/>
  <c r="U683" i="3"/>
  <c r="Y682" i="3"/>
  <c r="AH684" i="3" l="1"/>
  <c r="D684" i="3"/>
  <c r="G684" i="3" s="1"/>
  <c r="E684" i="3"/>
  <c r="H684" i="3" s="1"/>
  <c r="K684" i="3" s="1"/>
  <c r="AE684" i="3" s="1"/>
  <c r="F684" i="3" l="1"/>
  <c r="I684" i="3"/>
  <c r="J684" i="3"/>
  <c r="AD684" i="3" s="1"/>
  <c r="M684" i="3"/>
  <c r="N684" i="3" s="1"/>
  <c r="V684" i="3"/>
  <c r="A685" i="3"/>
  <c r="B685" i="3" s="1"/>
  <c r="W684" i="3" l="1"/>
  <c r="Z685" i="3"/>
  <c r="AC685" i="3"/>
  <c r="AD685" i="3"/>
  <c r="P685" i="3"/>
  <c r="Q685" i="3" s="1"/>
  <c r="R685" i="3" s="1"/>
  <c r="S685" i="3" s="1"/>
  <c r="AA685" i="3"/>
  <c r="L684" i="3"/>
  <c r="T685" i="3" l="1"/>
  <c r="AG685" i="3" s="1"/>
  <c r="U684" i="3"/>
  <c r="Y683" i="3"/>
  <c r="E685" i="3" l="1"/>
  <c r="H685" i="3" s="1"/>
  <c r="K685" i="3" s="1"/>
  <c r="AE685" i="3" s="1"/>
  <c r="D685" i="3"/>
  <c r="G685" i="3" s="1"/>
  <c r="AH685" i="3"/>
  <c r="F685" i="3" l="1"/>
  <c r="V685" i="3"/>
  <c r="A686" i="3"/>
  <c r="B686" i="3" s="1"/>
  <c r="I685" i="3"/>
  <c r="J685" i="3"/>
  <c r="M685" i="3"/>
  <c r="N685" i="3" s="1"/>
  <c r="L685" i="3" l="1"/>
  <c r="Z686" i="3"/>
  <c r="AA686" i="3"/>
  <c r="P686" i="3"/>
  <c r="Q686" i="3" s="1"/>
  <c r="R686" i="3" s="1"/>
  <c r="S686" i="3" s="1"/>
  <c r="AC686" i="3"/>
  <c r="AD686" i="3"/>
  <c r="W685" i="3"/>
  <c r="T686" i="3" l="1"/>
  <c r="AH686" i="3" s="1"/>
  <c r="U685" i="3"/>
  <c r="Y684" i="3"/>
  <c r="E686" i="3" l="1"/>
  <c r="H686" i="3" s="1"/>
  <c r="K686" i="3" s="1"/>
  <c r="AE686" i="3" s="1"/>
  <c r="AG686" i="3"/>
  <c r="D686" i="3"/>
  <c r="F686" i="3" l="1"/>
  <c r="G686" i="3"/>
  <c r="V686" i="3"/>
  <c r="A687" i="3"/>
  <c r="B687" i="3" s="1"/>
  <c r="AD687" i="3" l="1"/>
  <c r="AA687" i="3"/>
  <c r="AC687" i="3"/>
  <c r="P687" i="3"/>
  <c r="Q687" i="3" s="1"/>
  <c r="R687" i="3" s="1"/>
  <c r="S687" i="3" s="1"/>
  <c r="Z687" i="3"/>
  <c r="I686" i="3"/>
  <c r="W686" i="3" s="1"/>
  <c r="J686" i="3"/>
  <c r="M686" i="3"/>
  <c r="N686" i="3" s="1"/>
  <c r="T687" i="3" l="1"/>
  <c r="L686" i="3"/>
  <c r="AH687" i="3" l="1"/>
  <c r="U686" i="3"/>
  <c r="D687" i="3" s="1"/>
  <c r="AG687" i="3"/>
  <c r="Y685" i="3"/>
  <c r="E687" i="3" l="1"/>
  <c r="H687" i="3" s="1"/>
  <c r="K687" i="3" s="1"/>
  <c r="AE687" i="3" s="1"/>
  <c r="G687" i="3"/>
  <c r="F687" i="3" l="1"/>
  <c r="V687" i="3"/>
  <c r="A688" i="3"/>
  <c r="B688" i="3" s="1"/>
  <c r="I687" i="3"/>
  <c r="J687" i="3"/>
  <c r="M687" i="3"/>
  <c r="N687" i="3" s="1"/>
  <c r="L687" i="3" l="1"/>
  <c r="W687" i="3"/>
  <c r="Z688" i="3"/>
  <c r="P688" i="3"/>
  <c r="Q688" i="3" s="1"/>
  <c r="R688" i="3" s="1"/>
  <c r="S688" i="3" s="1"/>
  <c r="AC688" i="3"/>
  <c r="AA688" i="3"/>
  <c r="AD688" i="3"/>
  <c r="T688" i="3" l="1"/>
  <c r="AH688" i="3" s="1"/>
  <c r="U687" i="3"/>
  <c r="Y686" i="3"/>
  <c r="D688" i="3" l="1"/>
  <c r="G688" i="3" s="1"/>
  <c r="AG688" i="3"/>
  <c r="E688" i="3"/>
  <c r="H688" i="3" s="1"/>
  <c r="K688" i="3" l="1"/>
  <c r="AE688" i="3" s="1"/>
  <c r="I688" i="3"/>
  <c r="J688" i="3"/>
  <c r="M688" i="3"/>
  <c r="N688" i="3" s="1"/>
  <c r="F688" i="3"/>
  <c r="L688" i="3" l="1"/>
  <c r="V688" i="3"/>
  <c r="W688" i="3" s="1"/>
  <c r="A689" i="3"/>
  <c r="B689" i="3" s="1"/>
  <c r="Z689" i="3" l="1"/>
  <c r="P689" i="3"/>
  <c r="Q689" i="3" s="1"/>
  <c r="R689" i="3" s="1"/>
  <c r="S689" i="3" s="1"/>
  <c r="AC689" i="3"/>
  <c r="AA689" i="3"/>
  <c r="AD689" i="3"/>
  <c r="U688" i="3"/>
  <c r="Y687" i="3"/>
  <c r="T689" i="3" l="1"/>
  <c r="D689" i="3" s="1"/>
  <c r="AH689" i="3" l="1"/>
  <c r="E689" i="3"/>
  <c r="H689" i="3" s="1"/>
  <c r="K689" i="3" s="1"/>
  <c r="AE689" i="3" s="1"/>
  <c r="G689" i="3"/>
  <c r="AG689" i="3"/>
  <c r="F689" i="3" l="1"/>
  <c r="V689" i="3"/>
  <c r="A690" i="3"/>
  <c r="B690" i="3" s="1"/>
  <c r="I689" i="3"/>
  <c r="J689" i="3"/>
  <c r="M689" i="3"/>
  <c r="N689" i="3" s="1"/>
  <c r="L689" i="3" l="1"/>
  <c r="AA690" i="3"/>
  <c r="AC690" i="3"/>
  <c r="P690" i="3"/>
  <c r="Q690" i="3" s="1"/>
  <c r="R690" i="3" s="1"/>
  <c r="S690" i="3" s="1"/>
  <c r="AD690" i="3"/>
  <c r="Z690" i="3"/>
  <c r="W689" i="3"/>
  <c r="T690" i="3" l="1"/>
  <c r="AG690" i="3" s="1"/>
  <c r="U689" i="3"/>
  <c r="Y688" i="3"/>
  <c r="AH690" i="3" l="1"/>
  <c r="E690" i="3"/>
  <c r="H690" i="3" s="1"/>
  <c r="K690" i="3" s="1"/>
  <c r="AE690" i="3" s="1"/>
  <c r="D690" i="3"/>
  <c r="F690" i="3" l="1"/>
  <c r="G690" i="3"/>
  <c r="I690" i="3" s="1"/>
  <c r="V690" i="3"/>
  <c r="A691" i="3"/>
  <c r="B691" i="3" s="1"/>
  <c r="M690" i="3" l="1"/>
  <c r="N690" i="3" s="1"/>
  <c r="J690" i="3"/>
  <c r="L690" i="3" s="1"/>
  <c r="W690" i="3"/>
  <c r="Z691" i="3"/>
  <c r="P691" i="3"/>
  <c r="Q691" i="3" s="1"/>
  <c r="R691" i="3" s="1"/>
  <c r="S691" i="3" s="1"/>
  <c r="AC691" i="3"/>
  <c r="AA691" i="3"/>
  <c r="AD691" i="3"/>
  <c r="U690" i="3" l="1"/>
  <c r="Y689" i="3"/>
  <c r="T691" i="3"/>
  <c r="AH691" i="3" s="1"/>
  <c r="E691" i="3" l="1"/>
  <c r="H691" i="3" s="1"/>
  <c r="K691" i="3" s="1"/>
  <c r="AE691" i="3" s="1"/>
  <c r="D691" i="3"/>
  <c r="AG691" i="3"/>
  <c r="F691" i="3" l="1"/>
  <c r="G691" i="3"/>
  <c r="I691" i="3" s="1"/>
  <c r="V691" i="3"/>
  <c r="A692" i="3"/>
  <c r="B692" i="3" s="1"/>
  <c r="M691" i="3" l="1"/>
  <c r="N691" i="3" s="1"/>
  <c r="W691" i="3"/>
  <c r="J691" i="3"/>
  <c r="L691" i="3" s="1"/>
  <c r="Z692" i="3"/>
  <c r="AC692" i="3"/>
  <c r="AD692" i="3"/>
  <c r="AA692" i="3"/>
  <c r="P692" i="3"/>
  <c r="Q692" i="3" s="1"/>
  <c r="R692" i="3" s="1"/>
  <c r="S692" i="3" s="1"/>
  <c r="T692" i="3" l="1"/>
  <c r="AH692" i="3" s="1"/>
  <c r="U691" i="3"/>
  <c r="Y690" i="3"/>
  <c r="D692" i="3" l="1"/>
  <c r="G692" i="3" s="1"/>
  <c r="AG692" i="3"/>
  <c r="E692" i="3"/>
  <c r="H692" i="3" s="1"/>
  <c r="K692" i="3" s="1"/>
  <c r="AE692" i="3" s="1"/>
  <c r="F692" i="3" l="1"/>
  <c r="I692" i="3"/>
  <c r="J692" i="3"/>
  <c r="M692" i="3"/>
  <c r="N692" i="3" s="1"/>
  <c r="V692" i="3"/>
  <c r="A693" i="3"/>
  <c r="B693" i="3" s="1"/>
  <c r="W692" i="3" l="1"/>
  <c r="AC693" i="3"/>
  <c r="AA693" i="3"/>
  <c r="AD693" i="3"/>
  <c r="Z693" i="3"/>
  <c r="P693" i="3"/>
  <c r="Q693" i="3" s="1"/>
  <c r="R693" i="3" s="1"/>
  <c r="S693" i="3" s="1"/>
  <c r="L692" i="3"/>
  <c r="T693" i="3" l="1"/>
  <c r="AG693" i="3" s="1"/>
  <c r="U692" i="3"/>
  <c r="Y691" i="3"/>
  <c r="E693" i="3" l="1"/>
  <c r="H693" i="3" s="1"/>
  <c r="K693" i="3" s="1"/>
  <c r="AE693" i="3" s="1"/>
  <c r="AH693" i="3"/>
  <c r="D693" i="3"/>
  <c r="F693" i="3" l="1"/>
  <c r="G693" i="3"/>
  <c r="I693" i="3" s="1"/>
  <c r="V693" i="3"/>
  <c r="A694" i="3"/>
  <c r="B694" i="3" s="1"/>
  <c r="M693" i="3" l="1"/>
  <c r="N693" i="3" s="1"/>
  <c r="J693" i="3"/>
  <c r="L693" i="3" s="1"/>
  <c r="Z694" i="3"/>
  <c r="AA694" i="3"/>
  <c r="AC694" i="3"/>
  <c r="P694" i="3"/>
  <c r="Q694" i="3" s="1"/>
  <c r="R694" i="3" s="1"/>
  <c r="S694" i="3" s="1"/>
  <c r="W693" i="3"/>
  <c r="U693" i="3" l="1"/>
  <c r="Y692" i="3"/>
  <c r="T694" i="3"/>
  <c r="AG694" i="3" s="1"/>
  <c r="D694" i="3" l="1"/>
  <c r="E694" i="3"/>
  <c r="H694" i="3" s="1"/>
  <c r="AH694" i="3"/>
  <c r="K694" i="3" l="1"/>
  <c r="AE694" i="3" s="1"/>
  <c r="F694" i="3"/>
  <c r="G694" i="3"/>
  <c r="I694" i="3" l="1"/>
  <c r="J694" i="3"/>
  <c r="AD694" i="3" s="1"/>
  <c r="M694" i="3"/>
  <c r="N694" i="3" s="1"/>
  <c r="V694" i="3"/>
  <c r="A695" i="3"/>
  <c r="B695" i="3" s="1"/>
  <c r="W694" i="3" l="1"/>
  <c r="L694" i="3"/>
  <c r="AC695" i="3"/>
  <c r="AA695" i="3"/>
  <c r="AD695" i="3"/>
  <c r="Z695" i="3"/>
  <c r="P695" i="3"/>
  <c r="Q695" i="3" s="1"/>
  <c r="R695" i="3" s="1"/>
  <c r="S695" i="3" s="1"/>
  <c r="T695" i="3" l="1"/>
  <c r="AH695" i="3" s="1"/>
  <c r="U694" i="3"/>
  <c r="Y693" i="3"/>
  <c r="D695" i="3" l="1"/>
  <c r="G695" i="3" s="1"/>
  <c r="AG695" i="3"/>
  <c r="E695" i="3"/>
  <c r="H695" i="3" s="1"/>
  <c r="K695" i="3" s="1"/>
  <c r="AE695" i="3" s="1"/>
  <c r="F695" i="3" l="1"/>
  <c r="V695" i="3"/>
  <c r="A696" i="3"/>
  <c r="B696" i="3" s="1"/>
  <c r="I695" i="3"/>
  <c r="J695" i="3"/>
  <c r="M695" i="3"/>
  <c r="N695" i="3" s="1"/>
  <c r="L695" i="3" l="1"/>
  <c r="P696" i="3"/>
  <c r="Q696" i="3" s="1"/>
  <c r="R696" i="3" s="1"/>
  <c r="S696" i="3" s="1"/>
  <c r="AA696" i="3"/>
  <c r="AC696" i="3"/>
  <c r="AD696" i="3"/>
  <c r="Z696" i="3"/>
  <c r="W695" i="3"/>
  <c r="T696" i="3" l="1"/>
  <c r="AH696" i="3" s="1"/>
  <c r="U695" i="3"/>
  <c r="Y694" i="3"/>
  <c r="AG696" i="3" l="1"/>
  <c r="D696" i="3"/>
  <c r="G696" i="3" s="1"/>
  <c r="E696" i="3"/>
  <c r="H696" i="3" s="1"/>
  <c r="K696" i="3" s="1"/>
  <c r="AE696" i="3" s="1"/>
  <c r="F696" i="3" l="1"/>
  <c r="V696" i="3"/>
  <c r="A697" i="3"/>
  <c r="B697" i="3" s="1"/>
  <c r="I696" i="3"/>
  <c r="J696" i="3"/>
  <c r="M696" i="3"/>
  <c r="N696" i="3" s="1"/>
  <c r="AD697" i="3" l="1"/>
  <c r="AC697" i="3"/>
  <c r="P697" i="3"/>
  <c r="Q697" i="3" s="1"/>
  <c r="R697" i="3" s="1"/>
  <c r="S697" i="3" s="1"/>
  <c r="Z697" i="3"/>
  <c r="AA697" i="3"/>
  <c r="L696" i="3"/>
  <c r="W696" i="3"/>
  <c r="T697" i="3" l="1"/>
  <c r="AG697" i="3" s="1"/>
  <c r="U696" i="3"/>
  <c r="Y695" i="3"/>
  <c r="E697" i="3" l="1"/>
  <c r="H697" i="3" s="1"/>
  <c r="K697" i="3" s="1"/>
  <c r="AE697" i="3" s="1"/>
  <c r="AH697" i="3"/>
  <c r="D697" i="3"/>
  <c r="F697" i="3" l="1"/>
  <c r="G697" i="3"/>
  <c r="I697" i="3" s="1"/>
  <c r="V697" i="3"/>
  <c r="A698" i="3"/>
  <c r="B698" i="3" s="1"/>
  <c r="M697" i="3" l="1"/>
  <c r="N697" i="3" s="1"/>
  <c r="J697" i="3"/>
  <c r="L697" i="3" s="1"/>
  <c r="W697" i="3"/>
  <c r="Z698" i="3"/>
  <c r="P698" i="3"/>
  <c r="Q698" i="3" s="1"/>
  <c r="R698" i="3" s="1"/>
  <c r="S698" i="3" s="1"/>
  <c r="AD698" i="3"/>
  <c r="AC698" i="3"/>
  <c r="AA698" i="3"/>
  <c r="T698" i="3" l="1"/>
  <c r="AG698" i="3" s="1"/>
  <c r="U697" i="3"/>
  <c r="Y696" i="3"/>
  <c r="AH698" i="3" l="1"/>
  <c r="D698" i="3"/>
  <c r="G698" i="3" s="1"/>
  <c r="E698" i="3"/>
  <c r="H698" i="3" s="1"/>
  <c r="K698" i="3" s="1"/>
  <c r="AE698" i="3" s="1"/>
  <c r="F698" i="3" l="1"/>
  <c r="V698" i="3"/>
  <c r="A699" i="3"/>
  <c r="B699" i="3" s="1"/>
  <c r="I698" i="3"/>
  <c r="J698" i="3"/>
  <c r="M698" i="3"/>
  <c r="N698" i="3" s="1"/>
  <c r="Z699" i="3" l="1"/>
  <c r="P699" i="3"/>
  <c r="Q699" i="3" s="1"/>
  <c r="R699" i="3" s="1"/>
  <c r="S699" i="3" s="1"/>
  <c r="AD699" i="3"/>
  <c r="AA699" i="3"/>
  <c r="AC699" i="3"/>
  <c r="L698" i="3"/>
  <c r="W698" i="3"/>
  <c r="T699" i="3" l="1"/>
  <c r="AG699" i="3" s="1"/>
  <c r="U698" i="3"/>
  <c r="Y697" i="3"/>
  <c r="E699" i="3" l="1"/>
  <c r="H699" i="3" s="1"/>
  <c r="K699" i="3" s="1"/>
  <c r="AE699" i="3" s="1"/>
  <c r="AH699" i="3"/>
  <c r="D699" i="3"/>
  <c r="G699" i="3" s="1"/>
  <c r="F699" i="3" l="1"/>
  <c r="I699" i="3"/>
  <c r="J699" i="3"/>
  <c r="M699" i="3"/>
  <c r="N699" i="3" s="1"/>
  <c r="V699" i="3"/>
  <c r="A700" i="3"/>
  <c r="B700" i="3" s="1"/>
  <c r="W699" i="3" l="1"/>
  <c r="P700" i="3"/>
  <c r="Q700" i="3" s="1"/>
  <c r="R700" i="3" s="1"/>
  <c r="S700" i="3" s="1"/>
  <c r="AA700" i="3"/>
  <c r="AC700" i="3"/>
  <c r="AD700" i="3"/>
  <c r="Z700" i="3"/>
  <c r="L699" i="3"/>
  <c r="U699" i="3" l="1"/>
  <c r="Y698" i="3"/>
  <c r="T700" i="3"/>
  <c r="E700" i="3" l="1"/>
  <c r="H700" i="3" s="1"/>
  <c r="K700" i="3" s="1"/>
  <c r="AE700" i="3" s="1"/>
  <c r="AG700" i="3"/>
  <c r="AH700" i="3"/>
  <c r="D700" i="3"/>
  <c r="F700" i="3" l="1"/>
  <c r="G700" i="3"/>
  <c r="V700" i="3"/>
  <c r="A701" i="3"/>
  <c r="B701" i="3" s="1"/>
  <c r="I700" i="3" l="1"/>
  <c r="W700" i="3" s="1"/>
  <c r="J700" i="3"/>
  <c r="M700" i="3"/>
  <c r="N700" i="3" s="1"/>
  <c r="P701" i="3"/>
  <c r="Q701" i="3" s="1"/>
  <c r="R701" i="3" s="1"/>
  <c r="S701" i="3" s="1"/>
  <c r="AA701" i="3"/>
  <c r="AD701" i="3"/>
  <c r="AC701" i="3"/>
  <c r="Z701" i="3"/>
  <c r="L700" i="3" l="1"/>
  <c r="T701" i="3"/>
  <c r="U700" i="3" l="1"/>
  <c r="D701" i="3" s="1"/>
  <c r="AG701" i="3"/>
  <c r="AH701" i="3"/>
  <c r="Y699" i="3"/>
  <c r="E701" i="3" l="1"/>
  <c r="H701" i="3" s="1"/>
  <c r="K701" i="3" s="1"/>
  <c r="AE701" i="3" s="1"/>
  <c r="G701" i="3"/>
  <c r="F701" i="3" l="1"/>
  <c r="V701" i="3"/>
  <c r="A702" i="3"/>
  <c r="B702" i="3" s="1"/>
  <c r="I701" i="3"/>
  <c r="J701" i="3"/>
  <c r="M701" i="3"/>
  <c r="N701" i="3" s="1"/>
  <c r="L701" i="3" l="1"/>
  <c r="AC702" i="3"/>
  <c r="AD702" i="3"/>
  <c r="P702" i="3"/>
  <c r="Q702" i="3" s="1"/>
  <c r="R702" i="3" s="1"/>
  <c r="S702" i="3" s="1"/>
  <c r="Z702" i="3"/>
  <c r="AA702" i="3"/>
  <c r="W701" i="3"/>
  <c r="T702" i="3" l="1"/>
  <c r="U701" i="3"/>
  <c r="Y700" i="3"/>
  <c r="E702" i="3" l="1"/>
  <c r="H702" i="3" s="1"/>
  <c r="K702" i="3" s="1"/>
  <c r="AE702" i="3" s="1"/>
  <c r="D702" i="3"/>
  <c r="AH702" i="3"/>
  <c r="AG702" i="3"/>
  <c r="F702" i="3" l="1"/>
  <c r="G702" i="3"/>
  <c r="V702" i="3"/>
  <c r="A703" i="3"/>
  <c r="B703" i="3" s="1"/>
  <c r="AA703" i="3" l="1"/>
  <c r="Z703" i="3"/>
  <c r="P703" i="3"/>
  <c r="Q703" i="3" s="1"/>
  <c r="R703" i="3" s="1"/>
  <c r="S703" i="3" s="1"/>
  <c r="AD703" i="3"/>
  <c r="AC703" i="3"/>
  <c r="I702" i="3"/>
  <c r="W702" i="3" s="1"/>
  <c r="J702" i="3"/>
  <c r="M702" i="3"/>
  <c r="N702" i="3" s="1"/>
  <c r="T703" i="3" l="1"/>
  <c r="L702" i="3"/>
  <c r="AH703" i="3" l="1"/>
  <c r="U702" i="3"/>
  <c r="E703" i="3" s="1"/>
  <c r="H703" i="3" s="1"/>
  <c r="AG703" i="3"/>
  <c r="Y701" i="3"/>
  <c r="D703" i="3" l="1"/>
  <c r="F703" i="3" s="1"/>
  <c r="K703" i="3"/>
  <c r="AE703" i="3" s="1"/>
  <c r="G703" i="3" l="1"/>
  <c r="I703" i="3" s="1"/>
  <c r="V703" i="3"/>
  <c r="A704" i="3"/>
  <c r="B704" i="3" s="1"/>
  <c r="M703" i="3" l="1"/>
  <c r="N703" i="3" s="1"/>
  <c r="W703" i="3"/>
  <c r="J703" i="3"/>
  <c r="L703" i="3" s="1"/>
  <c r="Z704" i="3"/>
  <c r="AA704" i="3"/>
  <c r="P704" i="3"/>
  <c r="Q704" i="3" s="1"/>
  <c r="R704" i="3" s="1"/>
  <c r="S704" i="3" s="1"/>
  <c r="AC704" i="3"/>
  <c r="T704" i="3" l="1"/>
  <c r="AG704" i="3" s="1"/>
  <c r="U703" i="3"/>
  <c r="Y702" i="3"/>
  <c r="AH704" i="3" l="1"/>
  <c r="E704" i="3"/>
  <c r="H704" i="3" s="1"/>
  <c r="K704" i="3" s="1"/>
  <c r="AE704" i="3" s="1"/>
  <c r="D704" i="3"/>
  <c r="G704" i="3" s="1"/>
  <c r="F704" i="3" l="1"/>
  <c r="V704" i="3"/>
  <c r="A705" i="3"/>
  <c r="B705" i="3" s="1"/>
  <c r="I704" i="3"/>
  <c r="J704" i="3"/>
  <c r="AD704" i="3" s="1"/>
  <c r="M704" i="3"/>
  <c r="N704" i="3" s="1"/>
  <c r="AC705" i="3" l="1"/>
  <c r="P705" i="3"/>
  <c r="Q705" i="3" s="1"/>
  <c r="R705" i="3" s="1"/>
  <c r="S705" i="3" s="1"/>
  <c r="AA705" i="3"/>
  <c r="AD705" i="3"/>
  <c r="Z705" i="3"/>
  <c r="L704" i="3"/>
  <c r="W704" i="3"/>
  <c r="U704" i="3" l="1"/>
  <c r="Y703" i="3"/>
  <c r="T705" i="3"/>
  <c r="AH705" i="3" s="1"/>
  <c r="E705" i="3" l="1"/>
  <c r="H705" i="3" s="1"/>
  <c r="AG705" i="3"/>
  <c r="D705" i="3"/>
  <c r="F705" i="3" l="1"/>
  <c r="G705" i="3"/>
  <c r="K705" i="3"/>
  <c r="AE705" i="3" s="1"/>
  <c r="V705" i="3" l="1"/>
  <c r="A706" i="3"/>
  <c r="B706" i="3" s="1"/>
  <c r="I705" i="3"/>
  <c r="J705" i="3"/>
  <c r="M705" i="3"/>
  <c r="N705" i="3" s="1"/>
  <c r="Z706" i="3" l="1"/>
  <c r="AD706" i="3"/>
  <c r="P706" i="3"/>
  <c r="Q706" i="3" s="1"/>
  <c r="R706" i="3" s="1"/>
  <c r="S706" i="3" s="1"/>
  <c r="AA706" i="3"/>
  <c r="AC706" i="3"/>
  <c r="L705" i="3"/>
  <c r="W705" i="3"/>
  <c r="T706" i="3" l="1"/>
  <c r="U705" i="3"/>
  <c r="Y704" i="3"/>
  <c r="E706" i="3" l="1"/>
  <c r="H706" i="3" s="1"/>
  <c r="K706" i="3" s="1"/>
  <c r="AE706" i="3" s="1"/>
  <c r="AH706" i="3"/>
  <c r="D706" i="3"/>
  <c r="AG706" i="3"/>
  <c r="F706" i="3" l="1"/>
  <c r="G706" i="3"/>
  <c r="I706" i="3" s="1"/>
  <c r="V706" i="3"/>
  <c r="A707" i="3"/>
  <c r="B707" i="3" s="1"/>
  <c r="M706" i="3" l="1"/>
  <c r="N706" i="3" s="1"/>
  <c r="J706" i="3"/>
  <c r="L706" i="3" s="1"/>
  <c r="W706" i="3"/>
  <c r="AC707" i="3"/>
  <c r="P707" i="3"/>
  <c r="Q707" i="3" s="1"/>
  <c r="R707" i="3" s="1"/>
  <c r="S707" i="3" s="1"/>
  <c r="Z707" i="3"/>
  <c r="AA707" i="3"/>
  <c r="AD707" i="3"/>
  <c r="T707" i="3" l="1"/>
  <c r="AG707" i="3" s="1"/>
  <c r="U706" i="3"/>
  <c r="Y705" i="3"/>
  <c r="E707" i="3" l="1"/>
  <c r="H707" i="3" s="1"/>
  <c r="K707" i="3" s="1"/>
  <c r="AE707" i="3" s="1"/>
  <c r="D707" i="3"/>
  <c r="AH707" i="3"/>
  <c r="F707" i="3" l="1"/>
  <c r="G707" i="3"/>
  <c r="I707" i="3" s="1"/>
  <c r="V707" i="3"/>
  <c r="A708" i="3"/>
  <c r="B708" i="3" s="1"/>
  <c r="W707" i="3" l="1"/>
  <c r="M707" i="3"/>
  <c r="N707" i="3" s="1"/>
  <c r="J707" i="3"/>
  <c r="L707" i="3" s="1"/>
  <c r="AC708" i="3"/>
  <c r="P708" i="3"/>
  <c r="Q708" i="3" s="1"/>
  <c r="R708" i="3" s="1"/>
  <c r="S708" i="3" s="1"/>
  <c r="AD708" i="3"/>
  <c r="Z708" i="3"/>
  <c r="AA708" i="3"/>
  <c r="T708" i="3" l="1"/>
  <c r="AG708" i="3" s="1"/>
  <c r="U707" i="3"/>
  <c r="Y706" i="3"/>
  <c r="D708" i="3" l="1"/>
  <c r="G708" i="3" s="1"/>
  <c r="E708" i="3"/>
  <c r="H708" i="3" s="1"/>
  <c r="K708" i="3" s="1"/>
  <c r="AE708" i="3" s="1"/>
  <c r="AH708" i="3"/>
  <c r="F708" i="3" l="1"/>
  <c r="I708" i="3"/>
  <c r="J708" i="3"/>
  <c r="M708" i="3"/>
  <c r="N708" i="3" s="1"/>
  <c r="V708" i="3"/>
  <c r="A709" i="3"/>
  <c r="B709" i="3" s="1"/>
  <c r="W708" i="3" l="1"/>
  <c r="AC709" i="3"/>
  <c r="P709" i="3"/>
  <c r="Q709" i="3" s="1"/>
  <c r="R709" i="3" s="1"/>
  <c r="S709" i="3" s="1"/>
  <c r="AD709" i="3"/>
  <c r="AA709" i="3"/>
  <c r="Z709" i="3"/>
  <c r="L708" i="3"/>
  <c r="T709" i="3" l="1"/>
  <c r="AG709" i="3" s="1"/>
  <c r="U708" i="3"/>
  <c r="Y707" i="3"/>
  <c r="AH709" i="3" l="1"/>
  <c r="E709" i="3"/>
  <c r="H709" i="3" s="1"/>
  <c r="K709" i="3" s="1"/>
  <c r="AE709" i="3" s="1"/>
  <c r="D709" i="3"/>
  <c r="F709" i="3" l="1"/>
  <c r="G709" i="3"/>
  <c r="I709" i="3" s="1"/>
  <c r="V709" i="3"/>
  <c r="A710" i="3"/>
  <c r="B710" i="3" s="1"/>
  <c r="M709" i="3" l="1"/>
  <c r="N709" i="3" s="1"/>
  <c r="J709" i="3"/>
  <c r="L709" i="3" s="1"/>
  <c r="Z710" i="3"/>
  <c r="AC710" i="3"/>
  <c r="AD710" i="3"/>
  <c r="P710" i="3"/>
  <c r="Q710" i="3" s="1"/>
  <c r="R710" i="3" s="1"/>
  <c r="S710" i="3" s="1"/>
  <c r="AA710" i="3"/>
  <c r="W709" i="3"/>
  <c r="U709" i="3" l="1"/>
  <c r="Y708" i="3"/>
  <c r="T710" i="3"/>
  <c r="AH710" i="3" s="1"/>
  <c r="AG710" i="3" l="1"/>
  <c r="E710" i="3"/>
  <c r="H710" i="3" s="1"/>
  <c r="D710" i="3"/>
  <c r="F710" i="3" l="1"/>
  <c r="G710" i="3"/>
  <c r="K710" i="3"/>
  <c r="AE710" i="3" s="1"/>
  <c r="V710" i="3" l="1"/>
  <c r="A711" i="3"/>
  <c r="B711" i="3" s="1"/>
  <c r="I710" i="3"/>
  <c r="J710" i="3"/>
  <c r="M710" i="3"/>
  <c r="N710" i="3" s="1"/>
  <c r="L710" i="3" l="1"/>
  <c r="AA711" i="3"/>
  <c r="AC711" i="3"/>
  <c r="Z711" i="3"/>
  <c r="P711" i="3"/>
  <c r="Q711" i="3" s="1"/>
  <c r="R711" i="3" s="1"/>
  <c r="S711" i="3" s="1"/>
  <c r="AD711" i="3"/>
  <c r="W710" i="3"/>
  <c r="T711" i="3" l="1"/>
  <c r="AH711" i="3" s="1"/>
  <c r="U710" i="3"/>
  <c r="Y709" i="3"/>
  <c r="E711" i="3" l="1"/>
  <c r="H711" i="3" s="1"/>
  <c r="K711" i="3" s="1"/>
  <c r="AE711" i="3" s="1"/>
  <c r="AG711" i="3"/>
  <c r="D711" i="3"/>
  <c r="V711" i="3" l="1"/>
  <c r="A712" i="3"/>
  <c r="B712" i="3" s="1"/>
  <c r="F711" i="3"/>
  <c r="G711" i="3"/>
  <c r="I711" i="3" l="1"/>
  <c r="W711" i="3" s="1"/>
  <c r="J711" i="3"/>
  <c r="M711" i="3"/>
  <c r="N711" i="3" s="1"/>
  <c r="AA712" i="3"/>
  <c r="Z712" i="3"/>
  <c r="P712" i="3"/>
  <c r="Q712" i="3" s="1"/>
  <c r="R712" i="3" s="1"/>
  <c r="S712" i="3" s="1"/>
  <c r="AD712" i="3"/>
  <c r="AC712" i="3"/>
  <c r="T712" i="3" l="1"/>
  <c r="L711" i="3"/>
  <c r="AH712" i="3" l="1"/>
  <c r="U711" i="3"/>
  <c r="D712" i="3" s="1"/>
  <c r="AG712" i="3"/>
  <c r="Y710" i="3"/>
  <c r="E712" i="3" l="1"/>
  <c r="H712" i="3" s="1"/>
  <c r="K712" i="3" s="1"/>
  <c r="AE712" i="3" s="1"/>
  <c r="G712" i="3"/>
  <c r="F712" i="3" l="1"/>
  <c r="V712" i="3"/>
  <c r="A713" i="3"/>
  <c r="B713" i="3" s="1"/>
  <c r="I712" i="3"/>
  <c r="J712" i="3"/>
  <c r="M712" i="3"/>
  <c r="N712" i="3" s="1"/>
  <c r="L712" i="3" l="1"/>
  <c r="Z713" i="3"/>
  <c r="P713" i="3"/>
  <c r="Q713" i="3" s="1"/>
  <c r="R713" i="3" s="1"/>
  <c r="S713" i="3" s="1"/>
  <c r="AD713" i="3"/>
  <c r="AC713" i="3"/>
  <c r="AA713" i="3"/>
  <c r="W712" i="3"/>
  <c r="U712" i="3" l="1"/>
  <c r="Y711" i="3"/>
  <c r="T713" i="3"/>
  <c r="E713" i="3" l="1"/>
  <c r="H713" i="3" s="1"/>
  <c r="K713" i="3" s="1"/>
  <c r="AE713" i="3" s="1"/>
  <c r="AH713" i="3"/>
  <c r="D713" i="3"/>
  <c r="AG713" i="3"/>
  <c r="F713" i="3" l="1"/>
  <c r="G713" i="3"/>
  <c r="I713" i="3" s="1"/>
  <c r="V713" i="3"/>
  <c r="A714" i="3"/>
  <c r="B714" i="3" s="1"/>
  <c r="M713" i="3" l="1"/>
  <c r="N713" i="3" s="1"/>
  <c r="J713" i="3"/>
  <c r="L713" i="3" s="1"/>
  <c r="Z714" i="3"/>
  <c r="AC714" i="3"/>
  <c r="P714" i="3"/>
  <c r="Q714" i="3" s="1"/>
  <c r="R714" i="3" s="1"/>
  <c r="S714" i="3" s="1"/>
  <c r="AA714" i="3"/>
  <c r="W713" i="3"/>
  <c r="T714" i="3" l="1"/>
  <c r="AG714" i="3" s="1"/>
  <c r="U713" i="3"/>
  <c r="Y712" i="3"/>
  <c r="AH714" i="3" l="1"/>
  <c r="D714" i="3"/>
  <c r="G714" i="3" s="1"/>
  <c r="E714" i="3"/>
  <c r="H714" i="3" s="1"/>
  <c r="K714" i="3" s="1"/>
  <c r="AE714" i="3" s="1"/>
  <c r="F714" i="3" l="1"/>
  <c r="V714" i="3"/>
  <c r="A715" i="3"/>
  <c r="B715" i="3" s="1"/>
  <c r="I714" i="3"/>
  <c r="J714" i="3"/>
  <c r="AD714" i="3" s="1"/>
  <c r="M714" i="3"/>
  <c r="N714" i="3" s="1"/>
  <c r="L714" i="3" l="1"/>
  <c r="AC715" i="3"/>
  <c r="P715" i="3"/>
  <c r="Q715" i="3" s="1"/>
  <c r="R715" i="3" s="1"/>
  <c r="S715" i="3" s="1"/>
  <c r="AA715" i="3"/>
  <c r="Z715" i="3"/>
  <c r="AD715" i="3"/>
  <c r="W714" i="3"/>
  <c r="U714" i="3" l="1"/>
  <c r="Y713" i="3"/>
  <c r="T715" i="3"/>
  <c r="AH715" i="3" s="1"/>
  <c r="E715" i="3" l="1"/>
  <c r="H715" i="3" s="1"/>
  <c r="AG715" i="3"/>
  <c r="D715" i="3"/>
  <c r="F715" i="3" l="1"/>
  <c r="G715" i="3"/>
  <c r="K715" i="3"/>
  <c r="AE715" i="3" s="1"/>
  <c r="V715" i="3" l="1"/>
  <c r="A716" i="3"/>
  <c r="B716" i="3" s="1"/>
  <c r="I715" i="3"/>
  <c r="J715" i="3"/>
  <c r="M715" i="3"/>
  <c r="N715" i="3" s="1"/>
  <c r="L715" i="3" l="1"/>
  <c r="Z716" i="3"/>
  <c r="P716" i="3"/>
  <c r="Q716" i="3" s="1"/>
  <c r="R716" i="3" s="1"/>
  <c r="S716" i="3" s="1"/>
  <c r="AD716" i="3"/>
  <c r="AC716" i="3"/>
  <c r="AA716" i="3"/>
  <c r="W715" i="3"/>
  <c r="T716" i="3" l="1"/>
  <c r="AG716" i="3" s="1"/>
  <c r="U715" i="3"/>
  <c r="Y714" i="3"/>
  <c r="AH716" i="3" l="1"/>
  <c r="E716" i="3"/>
  <c r="H716" i="3" s="1"/>
  <c r="K716" i="3" s="1"/>
  <c r="AE716" i="3" s="1"/>
  <c r="D716" i="3"/>
  <c r="F716" i="3" l="1"/>
  <c r="G716" i="3"/>
  <c r="I716" i="3" s="1"/>
  <c r="V716" i="3"/>
  <c r="A717" i="3"/>
  <c r="B717" i="3" s="1"/>
  <c r="M716" i="3" l="1"/>
  <c r="N716" i="3" s="1"/>
  <c r="J716" i="3"/>
  <c r="L716" i="3" s="1"/>
  <c r="W716" i="3"/>
  <c r="AC717" i="3"/>
  <c r="P717" i="3"/>
  <c r="Q717" i="3" s="1"/>
  <c r="R717" i="3" s="1"/>
  <c r="S717" i="3" s="1"/>
  <c r="Z717" i="3"/>
  <c r="AD717" i="3"/>
  <c r="AA717" i="3"/>
  <c r="T717" i="3" l="1"/>
  <c r="AG717" i="3" s="1"/>
  <c r="U716" i="3"/>
  <c r="Y715" i="3"/>
  <c r="AH717" i="3" l="1"/>
  <c r="D717" i="3"/>
  <c r="G717" i="3" s="1"/>
  <c r="E717" i="3"/>
  <c r="H717" i="3" s="1"/>
  <c r="K717" i="3" s="1"/>
  <c r="AE717" i="3" s="1"/>
  <c r="F717" i="3" l="1"/>
  <c r="V717" i="3"/>
  <c r="A718" i="3"/>
  <c r="B718" i="3" s="1"/>
  <c r="I717" i="3"/>
  <c r="J717" i="3"/>
  <c r="M717" i="3"/>
  <c r="N717" i="3" s="1"/>
  <c r="L717" i="3" l="1"/>
  <c r="P718" i="3"/>
  <c r="Q718" i="3" s="1"/>
  <c r="R718" i="3" s="1"/>
  <c r="S718" i="3" s="1"/>
  <c r="AA718" i="3"/>
  <c r="AD718" i="3"/>
  <c r="AC718" i="3"/>
  <c r="Z718" i="3"/>
  <c r="W717" i="3"/>
  <c r="T718" i="3" l="1"/>
  <c r="AG718" i="3" s="1"/>
  <c r="U717" i="3"/>
  <c r="Y716" i="3"/>
  <c r="AH718" i="3" l="1"/>
  <c r="D718" i="3"/>
  <c r="G718" i="3" s="1"/>
  <c r="E718" i="3"/>
  <c r="H718" i="3" s="1"/>
  <c r="K718" i="3" s="1"/>
  <c r="AE718" i="3" s="1"/>
  <c r="F718" i="3" l="1"/>
  <c r="V718" i="3"/>
  <c r="A719" i="3"/>
  <c r="B719" i="3" s="1"/>
  <c r="I718" i="3"/>
  <c r="J718" i="3"/>
  <c r="M718" i="3"/>
  <c r="N718" i="3" s="1"/>
  <c r="L718" i="3" l="1"/>
  <c r="AA719" i="3"/>
  <c r="AC719" i="3"/>
  <c r="P719" i="3"/>
  <c r="Q719" i="3" s="1"/>
  <c r="R719" i="3" s="1"/>
  <c r="S719" i="3" s="1"/>
  <c r="Z719" i="3"/>
  <c r="AD719" i="3"/>
  <c r="W718" i="3"/>
  <c r="T719" i="3" l="1"/>
  <c r="AH719" i="3" s="1"/>
  <c r="U718" i="3"/>
  <c r="Y717" i="3"/>
  <c r="D719" i="3" l="1"/>
  <c r="G719" i="3" s="1"/>
  <c r="AG719" i="3"/>
  <c r="E719" i="3"/>
  <c r="H719" i="3" s="1"/>
  <c r="K719" i="3" s="1"/>
  <c r="AE719" i="3" s="1"/>
  <c r="F719" i="3" l="1"/>
  <c r="V719" i="3"/>
  <c r="A720" i="3"/>
  <c r="B720" i="3" s="1"/>
  <c r="I719" i="3"/>
  <c r="J719" i="3"/>
  <c r="M719" i="3"/>
  <c r="N719" i="3" s="1"/>
  <c r="L719" i="3" l="1"/>
  <c r="AD720" i="3"/>
  <c r="P720" i="3"/>
  <c r="Q720" i="3" s="1"/>
  <c r="R720" i="3" s="1"/>
  <c r="S720" i="3" s="1"/>
  <c r="AC720" i="3"/>
  <c r="AA720" i="3"/>
  <c r="Z720" i="3"/>
  <c r="W719" i="3"/>
  <c r="U719" i="3" l="1"/>
  <c r="Y718" i="3"/>
  <c r="T720" i="3"/>
  <c r="E720" i="3" l="1"/>
  <c r="H720" i="3" s="1"/>
  <c r="K720" i="3" s="1"/>
  <c r="AE720" i="3" s="1"/>
  <c r="D720" i="3"/>
  <c r="AG720" i="3"/>
  <c r="AH720" i="3"/>
  <c r="F720" i="3" l="1"/>
  <c r="G720" i="3"/>
  <c r="V720" i="3"/>
  <c r="A721" i="3"/>
  <c r="B721" i="3" s="1"/>
  <c r="AD721" i="3" l="1"/>
  <c r="AC721" i="3"/>
  <c r="P721" i="3"/>
  <c r="Q721" i="3" s="1"/>
  <c r="R721" i="3" s="1"/>
  <c r="S721" i="3" s="1"/>
  <c r="Z721" i="3"/>
  <c r="AA721" i="3"/>
  <c r="I720" i="3"/>
  <c r="W720" i="3" s="1"/>
  <c r="J720" i="3"/>
  <c r="M720" i="3"/>
  <c r="N720" i="3" s="1"/>
  <c r="L720" i="3" l="1"/>
  <c r="T721" i="3"/>
  <c r="AG721" i="3" l="1"/>
  <c r="U720" i="3"/>
  <c r="D721" i="3" s="1"/>
  <c r="AH721" i="3"/>
  <c r="Y719" i="3"/>
  <c r="E721" i="3" l="1"/>
  <c r="H721" i="3" s="1"/>
  <c r="K721" i="3" s="1"/>
  <c r="AE721" i="3" s="1"/>
  <c r="G721" i="3"/>
  <c r="F721" i="3" l="1"/>
  <c r="I721" i="3"/>
  <c r="J721" i="3"/>
  <c r="M721" i="3"/>
  <c r="N721" i="3" s="1"/>
  <c r="V721" i="3"/>
  <c r="A722" i="3"/>
  <c r="B722" i="3" s="1"/>
  <c r="W721" i="3" l="1"/>
  <c r="P722" i="3"/>
  <c r="Q722" i="3" s="1"/>
  <c r="R722" i="3" s="1"/>
  <c r="S722" i="3" s="1"/>
  <c r="AC722" i="3"/>
  <c r="Z722" i="3"/>
  <c r="AD722" i="3"/>
  <c r="AA722" i="3"/>
  <c r="L721" i="3"/>
  <c r="U721" i="3" l="1"/>
  <c r="Y720" i="3"/>
  <c r="T722" i="3"/>
  <c r="AG722" i="3" s="1"/>
  <c r="E722" i="3" l="1"/>
  <c r="H722" i="3" s="1"/>
  <c r="K722" i="3" s="1"/>
  <c r="AE722" i="3" s="1"/>
  <c r="AH722" i="3"/>
  <c r="D722" i="3"/>
  <c r="F722" i="3" l="1"/>
  <c r="G722" i="3"/>
  <c r="V722" i="3"/>
  <c r="A723" i="3"/>
  <c r="B723" i="3" s="1"/>
  <c r="AC723" i="3" l="1"/>
  <c r="P723" i="3"/>
  <c r="Q723" i="3" s="1"/>
  <c r="R723" i="3" s="1"/>
  <c r="S723" i="3" s="1"/>
  <c r="AA723" i="3"/>
  <c r="AD723" i="3"/>
  <c r="Z723" i="3"/>
  <c r="I722" i="3"/>
  <c r="W722" i="3" s="1"/>
  <c r="J722" i="3"/>
  <c r="M722" i="3"/>
  <c r="N722" i="3" s="1"/>
  <c r="L722" i="3" l="1"/>
  <c r="T723" i="3"/>
  <c r="U722" i="3" l="1"/>
  <c r="D723" i="3" s="1"/>
  <c r="AG723" i="3"/>
  <c r="AH723" i="3"/>
  <c r="Y721" i="3"/>
  <c r="E723" i="3" l="1"/>
  <c r="H723" i="3" s="1"/>
  <c r="K723" i="3" s="1"/>
  <c r="AE723" i="3" s="1"/>
  <c r="G723" i="3"/>
  <c r="F723" i="3" l="1"/>
  <c r="V723" i="3"/>
  <c r="A724" i="3"/>
  <c r="B724" i="3" s="1"/>
  <c r="I723" i="3"/>
  <c r="J723" i="3"/>
  <c r="M723" i="3"/>
  <c r="N723" i="3" s="1"/>
  <c r="L723" i="3" l="1"/>
  <c r="AA724" i="3"/>
  <c r="P724" i="3"/>
  <c r="Q724" i="3" s="1"/>
  <c r="R724" i="3" s="1"/>
  <c r="S724" i="3" s="1"/>
  <c r="Z724" i="3"/>
  <c r="AC724" i="3"/>
  <c r="W723" i="3"/>
  <c r="T724" i="3" l="1"/>
  <c r="AH724" i="3" s="1"/>
  <c r="U723" i="3"/>
  <c r="Y722" i="3"/>
  <c r="D724" i="3" l="1"/>
  <c r="G724" i="3" s="1"/>
  <c r="AG724" i="3"/>
  <c r="E724" i="3"/>
  <c r="H724" i="3" s="1"/>
  <c r="K724" i="3" s="1"/>
  <c r="AE724" i="3" s="1"/>
  <c r="F724" i="3" l="1"/>
  <c r="V724" i="3"/>
  <c r="A725" i="3"/>
  <c r="B725" i="3" s="1"/>
  <c r="I724" i="3"/>
  <c r="J724" i="3"/>
  <c r="AD724" i="3" s="1"/>
  <c r="M724" i="3"/>
  <c r="N724" i="3" s="1"/>
  <c r="AA725" i="3" l="1"/>
  <c r="AD725" i="3"/>
  <c r="AC725" i="3"/>
  <c r="P725" i="3"/>
  <c r="Q725" i="3" s="1"/>
  <c r="R725" i="3" s="1"/>
  <c r="S725" i="3" s="1"/>
  <c r="Z725" i="3"/>
  <c r="L724" i="3"/>
  <c r="W724" i="3"/>
  <c r="T725" i="3" l="1"/>
  <c r="AG725" i="3" s="1"/>
  <c r="U724" i="3"/>
  <c r="Y723" i="3"/>
  <c r="AH725" i="3" l="1"/>
  <c r="D725" i="3"/>
  <c r="G725" i="3" s="1"/>
  <c r="E725" i="3"/>
  <c r="H725" i="3" s="1"/>
  <c r="K725" i="3" s="1"/>
  <c r="AE725" i="3" s="1"/>
  <c r="F725" i="3" l="1"/>
  <c r="V725" i="3"/>
  <c r="A726" i="3"/>
  <c r="B726" i="3" s="1"/>
  <c r="I725" i="3"/>
  <c r="J725" i="3"/>
  <c r="M725" i="3"/>
  <c r="N725" i="3" s="1"/>
  <c r="L725" i="3" l="1"/>
  <c r="P726" i="3"/>
  <c r="Q726" i="3" s="1"/>
  <c r="R726" i="3" s="1"/>
  <c r="S726" i="3" s="1"/>
  <c r="AD726" i="3"/>
  <c r="AC726" i="3"/>
  <c r="AA726" i="3"/>
  <c r="Z726" i="3"/>
  <c r="W725" i="3"/>
  <c r="T726" i="3" l="1"/>
  <c r="AH726" i="3" s="1"/>
  <c r="U725" i="3"/>
  <c r="Y724" i="3"/>
  <c r="D726" i="3" l="1"/>
  <c r="G726" i="3" s="1"/>
  <c r="AG726" i="3"/>
  <c r="E726" i="3"/>
  <c r="H726" i="3" s="1"/>
  <c r="K726" i="3" s="1"/>
  <c r="AE726" i="3" s="1"/>
  <c r="F726" i="3" l="1"/>
  <c r="V726" i="3"/>
  <c r="A727" i="3"/>
  <c r="B727" i="3" s="1"/>
  <c r="I726" i="3"/>
  <c r="J726" i="3"/>
  <c r="M726" i="3"/>
  <c r="N726" i="3" s="1"/>
  <c r="L726" i="3" l="1"/>
  <c r="Z727" i="3"/>
  <c r="AA727" i="3"/>
  <c r="AC727" i="3"/>
  <c r="AD727" i="3"/>
  <c r="P727" i="3"/>
  <c r="Q727" i="3" s="1"/>
  <c r="R727" i="3" s="1"/>
  <c r="S727" i="3" s="1"/>
  <c r="W726" i="3"/>
  <c r="U726" i="3" l="1"/>
  <c r="Y725" i="3"/>
  <c r="T727" i="3"/>
  <c r="E727" i="3" l="1"/>
  <c r="H727" i="3" s="1"/>
  <c r="K727" i="3" s="1"/>
  <c r="AE727" i="3" s="1"/>
  <c r="AH727" i="3"/>
  <c r="AG727" i="3"/>
  <c r="D727" i="3"/>
  <c r="F727" i="3" l="1"/>
  <c r="G727" i="3"/>
  <c r="J727" i="3" s="1"/>
  <c r="V727" i="3"/>
  <c r="A728" i="3"/>
  <c r="B728" i="3" s="1"/>
  <c r="I727" i="3" l="1"/>
  <c r="W727" i="3" s="1"/>
  <c r="M727" i="3"/>
  <c r="N727" i="3" s="1"/>
  <c r="L727" i="3"/>
  <c r="AA728" i="3"/>
  <c r="AC728" i="3"/>
  <c r="Z728" i="3"/>
  <c r="AD728" i="3"/>
  <c r="P728" i="3"/>
  <c r="Q728" i="3" s="1"/>
  <c r="R728" i="3" s="1"/>
  <c r="S728" i="3" s="1"/>
  <c r="T728" i="3" l="1"/>
  <c r="U727" i="3"/>
  <c r="Y726" i="3"/>
  <c r="D728" i="3" l="1"/>
  <c r="G728" i="3" s="1"/>
  <c r="AG728" i="3"/>
  <c r="AH728" i="3"/>
  <c r="E728" i="3"/>
  <c r="H728" i="3" s="1"/>
  <c r="K728" i="3" s="1"/>
  <c r="AE728" i="3" s="1"/>
  <c r="F728" i="3" l="1"/>
  <c r="V728" i="3"/>
  <c r="A729" i="3"/>
  <c r="B729" i="3" s="1"/>
  <c r="I728" i="3"/>
  <c r="J728" i="3"/>
  <c r="M728" i="3"/>
  <c r="N728" i="3" s="1"/>
  <c r="AA729" i="3" l="1"/>
  <c r="P729" i="3"/>
  <c r="Q729" i="3" s="1"/>
  <c r="R729" i="3" s="1"/>
  <c r="S729" i="3" s="1"/>
  <c r="Z729" i="3"/>
  <c r="AD729" i="3"/>
  <c r="AC729" i="3"/>
  <c r="L728" i="3"/>
  <c r="W728" i="3"/>
  <c r="T729" i="3" l="1"/>
  <c r="AG729" i="3" s="1"/>
  <c r="U728" i="3"/>
  <c r="Y727" i="3"/>
  <c r="AH729" i="3" l="1"/>
  <c r="D729" i="3"/>
  <c r="G729" i="3" s="1"/>
  <c r="E729" i="3"/>
  <c r="H729" i="3" s="1"/>
  <c r="K729" i="3" s="1"/>
  <c r="AE729" i="3" s="1"/>
  <c r="F729" i="3" l="1"/>
  <c r="V729" i="3"/>
  <c r="A730" i="3"/>
  <c r="B730" i="3" s="1"/>
  <c r="I729" i="3"/>
  <c r="J729" i="3"/>
  <c r="M729" i="3"/>
  <c r="N729" i="3" s="1"/>
  <c r="L729" i="3" l="1"/>
  <c r="Z730" i="3"/>
  <c r="AD730" i="3"/>
  <c r="P730" i="3"/>
  <c r="Q730" i="3" s="1"/>
  <c r="R730" i="3" s="1"/>
  <c r="S730" i="3" s="1"/>
  <c r="AA730" i="3"/>
  <c r="AC730" i="3"/>
  <c r="W729" i="3"/>
  <c r="T730" i="3" l="1"/>
  <c r="AH730" i="3" s="1"/>
  <c r="U729" i="3"/>
  <c r="Y728" i="3"/>
  <c r="D730" i="3" l="1"/>
  <c r="G730" i="3" s="1"/>
  <c r="AG730" i="3"/>
  <c r="E730" i="3"/>
  <c r="H730" i="3" s="1"/>
  <c r="K730" i="3" s="1"/>
  <c r="AE730" i="3" s="1"/>
  <c r="F730" i="3" l="1"/>
  <c r="V730" i="3"/>
  <c r="A731" i="3"/>
  <c r="B731" i="3" s="1"/>
  <c r="I730" i="3"/>
  <c r="J730" i="3"/>
  <c r="M730" i="3"/>
  <c r="N730" i="3" s="1"/>
  <c r="P731" i="3" l="1"/>
  <c r="Q731" i="3" s="1"/>
  <c r="R731" i="3" s="1"/>
  <c r="S731" i="3" s="1"/>
  <c r="AC731" i="3"/>
  <c r="AD731" i="3"/>
  <c r="AA731" i="3"/>
  <c r="Z731" i="3"/>
  <c r="L730" i="3"/>
  <c r="W730" i="3"/>
  <c r="U730" i="3" l="1"/>
  <c r="Y729" i="3"/>
  <c r="T731" i="3"/>
  <c r="D731" i="3" l="1"/>
  <c r="G731" i="3" s="1"/>
  <c r="AH731" i="3"/>
  <c r="E731" i="3"/>
  <c r="H731" i="3" s="1"/>
  <c r="AG731" i="3"/>
  <c r="K731" i="3" l="1"/>
  <c r="AE731" i="3" s="1"/>
  <c r="I731" i="3"/>
  <c r="J731" i="3"/>
  <c r="M731" i="3"/>
  <c r="N731" i="3" s="1"/>
  <c r="F731" i="3"/>
  <c r="L731" i="3" l="1"/>
  <c r="V731" i="3"/>
  <c r="W731" i="3" s="1"/>
  <c r="A732" i="3"/>
  <c r="B732" i="3" s="1"/>
  <c r="AC732" i="3" l="1"/>
  <c r="AA732" i="3"/>
  <c r="P732" i="3"/>
  <c r="Q732" i="3" s="1"/>
  <c r="R732" i="3" s="1"/>
  <c r="S732" i="3" s="1"/>
  <c r="AD732" i="3"/>
  <c r="Z732" i="3"/>
  <c r="U731" i="3"/>
  <c r="Y730" i="3"/>
  <c r="T732" i="3" l="1"/>
  <c r="AH732" i="3" s="1"/>
  <c r="E732" i="3" l="1"/>
  <c r="H732" i="3" s="1"/>
  <c r="K732" i="3" s="1"/>
  <c r="AE732" i="3" s="1"/>
  <c r="D732" i="3"/>
  <c r="AG732" i="3"/>
  <c r="F732" i="3" l="1"/>
  <c r="G732" i="3"/>
  <c r="I732" i="3" s="1"/>
  <c r="V732" i="3"/>
  <c r="A733" i="3"/>
  <c r="B733" i="3" s="1"/>
  <c r="J732" i="3" l="1"/>
  <c r="L732" i="3" s="1"/>
  <c r="M732" i="3"/>
  <c r="N732" i="3" s="1"/>
  <c r="W732" i="3"/>
  <c r="P733" i="3"/>
  <c r="Q733" i="3" s="1"/>
  <c r="R733" i="3" s="1"/>
  <c r="S733" i="3" s="1"/>
  <c r="AC733" i="3"/>
  <c r="AD733" i="3"/>
  <c r="AA733" i="3"/>
  <c r="Z733" i="3"/>
  <c r="T733" i="3" l="1"/>
  <c r="AH733" i="3" s="1"/>
  <c r="U732" i="3"/>
  <c r="Y731" i="3"/>
  <c r="E733" i="3" l="1"/>
  <c r="H733" i="3" s="1"/>
  <c r="K733" i="3" s="1"/>
  <c r="AE733" i="3" s="1"/>
  <c r="AG733" i="3"/>
  <c r="D733" i="3"/>
  <c r="F733" i="3" l="1"/>
  <c r="G733" i="3"/>
  <c r="M733" i="3" s="1"/>
  <c r="N733" i="3" s="1"/>
  <c r="V733" i="3"/>
  <c r="A734" i="3"/>
  <c r="B734" i="3" s="1"/>
  <c r="J733" i="3" l="1"/>
  <c r="L733" i="3" s="1"/>
  <c r="I733" i="3"/>
  <c r="W733" i="3" s="1"/>
  <c r="AC734" i="3"/>
  <c r="Z734" i="3"/>
  <c r="P734" i="3"/>
  <c r="Q734" i="3" s="1"/>
  <c r="R734" i="3" s="1"/>
  <c r="S734" i="3" s="1"/>
  <c r="AA734" i="3"/>
  <c r="T734" i="3" l="1"/>
  <c r="AH734" i="3" s="1"/>
  <c r="U733" i="3"/>
  <c r="Y732" i="3"/>
  <c r="E734" i="3" l="1"/>
  <c r="H734" i="3" s="1"/>
  <c r="K734" i="3" s="1"/>
  <c r="AE734" i="3" s="1"/>
  <c r="AG734" i="3"/>
  <c r="D734" i="3"/>
  <c r="G734" i="3" s="1"/>
  <c r="F734" i="3" l="1"/>
  <c r="I734" i="3"/>
  <c r="J734" i="3"/>
  <c r="AD734" i="3" s="1"/>
  <c r="M734" i="3"/>
  <c r="N734" i="3" s="1"/>
  <c r="V734" i="3"/>
  <c r="A735" i="3"/>
  <c r="B735" i="3" s="1"/>
  <c r="W734" i="3" l="1"/>
  <c r="AA735" i="3"/>
  <c r="Z735" i="3"/>
  <c r="AD735" i="3"/>
  <c r="AC735" i="3"/>
  <c r="P735" i="3"/>
  <c r="Q735" i="3" s="1"/>
  <c r="R735" i="3" s="1"/>
  <c r="S735" i="3" s="1"/>
  <c r="L734" i="3"/>
  <c r="T735" i="3" l="1"/>
  <c r="AH735" i="3" s="1"/>
  <c r="U734" i="3"/>
  <c r="Y733" i="3"/>
  <c r="E735" i="3" l="1"/>
  <c r="H735" i="3" s="1"/>
  <c r="K735" i="3" s="1"/>
  <c r="AE735" i="3" s="1"/>
  <c r="AG735" i="3"/>
  <c r="D735" i="3"/>
  <c r="F735" i="3" l="1"/>
  <c r="G735" i="3"/>
  <c r="I735" i="3" s="1"/>
  <c r="V735" i="3"/>
  <c r="A736" i="3"/>
  <c r="B736" i="3" s="1"/>
  <c r="M735" i="3" l="1"/>
  <c r="N735" i="3" s="1"/>
  <c r="J735" i="3"/>
  <c r="L735" i="3" s="1"/>
  <c r="W735" i="3"/>
  <c r="Z736" i="3"/>
  <c r="P736" i="3"/>
  <c r="Q736" i="3" s="1"/>
  <c r="R736" i="3" s="1"/>
  <c r="S736" i="3" s="1"/>
  <c r="AC736" i="3"/>
  <c r="AA736" i="3"/>
  <c r="AD736" i="3"/>
  <c r="T736" i="3" l="1"/>
  <c r="AH736" i="3" s="1"/>
  <c r="U735" i="3"/>
  <c r="Y734" i="3"/>
  <c r="AG736" i="3" l="1"/>
  <c r="E736" i="3"/>
  <c r="H736" i="3" s="1"/>
  <c r="K736" i="3" s="1"/>
  <c r="AE736" i="3" s="1"/>
  <c r="D736" i="3"/>
  <c r="F736" i="3" l="1"/>
  <c r="G736" i="3"/>
  <c r="I736" i="3" s="1"/>
  <c r="V736" i="3"/>
  <c r="A737" i="3"/>
  <c r="B737" i="3" s="1"/>
  <c r="M736" i="3" l="1"/>
  <c r="N736" i="3" s="1"/>
  <c r="J736" i="3"/>
  <c r="L736" i="3" s="1"/>
  <c r="AA737" i="3"/>
  <c r="AC737" i="3"/>
  <c r="P737" i="3"/>
  <c r="Q737" i="3" s="1"/>
  <c r="R737" i="3" s="1"/>
  <c r="S737" i="3" s="1"/>
  <c r="AD737" i="3"/>
  <c r="Z737" i="3"/>
  <c r="W736" i="3"/>
  <c r="T737" i="3" l="1"/>
  <c r="AG737" i="3" s="1"/>
  <c r="U736" i="3"/>
  <c r="Y735" i="3"/>
  <c r="D737" i="3" l="1"/>
  <c r="G737" i="3" s="1"/>
  <c r="E737" i="3"/>
  <c r="H737" i="3" s="1"/>
  <c r="K737" i="3" s="1"/>
  <c r="AE737" i="3" s="1"/>
  <c r="AH737" i="3"/>
  <c r="F737" i="3" l="1"/>
  <c r="V737" i="3"/>
  <c r="A738" i="3"/>
  <c r="B738" i="3" s="1"/>
  <c r="I737" i="3"/>
  <c r="J737" i="3"/>
  <c r="M737" i="3"/>
  <c r="N737" i="3" s="1"/>
  <c r="L737" i="3" l="1"/>
  <c r="Z738" i="3"/>
  <c r="AD738" i="3"/>
  <c r="AA738" i="3"/>
  <c r="AC738" i="3"/>
  <c r="P738" i="3"/>
  <c r="Q738" i="3" s="1"/>
  <c r="R738" i="3" s="1"/>
  <c r="S738" i="3" s="1"/>
  <c r="W737" i="3"/>
  <c r="T738" i="3" l="1"/>
  <c r="AG738" i="3" s="1"/>
  <c r="U737" i="3"/>
  <c r="Y736" i="3"/>
  <c r="D738" i="3" l="1"/>
  <c r="G738" i="3" s="1"/>
  <c r="E738" i="3"/>
  <c r="H738" i="3" s="1"/>
  <c r="K738" i="3" s="1"/>
  <c r="AE738" i="3" s="1"/>
  <c r="AH738" i="3"/>
  <c r="F738" i="3" l="1"/>
  <c r="V738" i="3"/>
  <c r="A739" i="3"/>
  <c r="B739" i="3" s="1"/>
  <c r="I738" i="3"/>
  <c r="J738" i="3"/>
  <c r="M738" i="3"/>
  <c r="N738" i="3" s="1"/>
  <c r="L738" i="3" l="1"/>
  <c r="P739" i="3"/>
  <c r="Q739" i="3" s="1"/>
  <c r="R739" i="3" s="1"/>
  <c r="S739" i="3" s="1"/>
  <c r="AC739" i="3"/>
  <c r="AA739" i="3"/>
  <c r="AD739" i="3"/>
  <c r="Z739" i="3"/>
  <c r="W738" i="3"/>
  <c r="T739" i="3" l="1"/>
  <c r="AH739" i="3" s="1"/>
  <c r="U738" i="3"/>
  <c r="Y737" i="3"/>
  <c r="AG739" i="3" l="1"/>
  <c r="E739" i="3"/>
  <c r="H739" i="3" s="1"/>
  <c r="K739" i="3" s="1"/>
  <c r="AE739" i="3" s="1"/>
  <c r="D739" i="3"/>
  <c r="F739" i="3" l="1"/>
  <c r="G739" i="3"/>
  <c r="I739" i="3" s="1"/>
  <c r="V739" i="3"/>
  <c r="A740" i="3"/>
  <c r="B740" i="3" s="1"/>
  <c r="M739" i="3" l="1"/>
  <c r="N739" i="3" s="1"/>
  <c r="J739" i="3"/>
  <c r="L739" i="3" s="1"/>
  <c r="AC740" i="3"/>
  <c r="Z740" i="3"/>
  <c r="AD740" i="3"/>
  <c r="AA740" i="3"/>
  <c r="P740" i="3"/>
  <c r="Q740" i="3" s="1"/>
  <c r="R740" i="3" s="1"/>
  <c r="S740" i="3" s="1"/>
  <c r="W739" i="3"/>
  <c r="T740" i="3" l="1"/>
  <c r="AG740" i="3" s="1"/>
  <c r="U739" i="3"/>
  <c r="Y738" i="3"/>
  <c r="D740" i="3" l="1"/>
  <c r="G740" i="3" s="1"/>
  <c r="AH740" i="3"/>
  <c r="E740" i="3"/>
  <c r="H740" i="3" s="1"/>
  <c r="K740" i="3" l="1"/>
  <c r="AE740" i="3" s="1"/>
  <c r="I740" i="3"/>
  <c r="J740" i="3"/>
  <c r="M740" i="3"/>
  <c r="N740" i="3" s="1"/>
  <c r="F740" i="3"/>
  <c r="L740" i="3" l="1"/>
  <c r="V740" i="3"/>
  <c r="W740" i="3" s="1"/>
  <c r="A741" i="3"/>
  <c r="B741" i="3" s="1"/>
  <c r="Z741" i="3" l="1"/>
  <c r="P741" i="3"/>
  <c r="Q741" i="3" s="1"/>
  <c r="R741" i="3" s="1"/>
  <c r="S741" i="3" s="1"/>
  <c r="AA741" i="3"/>
  <c r="AC741" i="3"/>
  <c r="AD741" i="3"/>
  <c r="U740" i="3"/>
  <c r="Y739" i="3"/>
  <c r="T741" i="3" l="1"/>
  <c r="AG741" i="3" s="1"/>
  <c r="E741" i="3" l="1"/>
  <c r="H741" i="3" s="1"/>
  <c r="K741" i="3" s="1"/>
  <c r="AE741" i="3" s="1"/>
  <c r="AH741" i="3"/>
  <c r="D741" i="3"/>
  <c r="G741" i="3" s="1"/>
  <c r="F741" i="3" l="1"/>
  <c r="I741" i="3"/>
  <c r="J741" i="3"/>
  <c r="M741" i="3"/>
  <c r="N741" i="3" s="1"/>
  <c r="V741" i="3"/>
  <c r="A742" i="3"/>
  <c r="B742" i="3" s="1"/>
  <c r="W741" i="3" l="1"/>
  <c r="L741" i="3"/>
  <c r="AC742" i="3"/>
  <c r="P742" i="3"/>
  <c r="Q742" i="3" s="1"/>
  <c r="R742" i="3" s="1"/>
  <c r="S742" i="3" s="1"/>
  <c r="AA742" i="3"/>
  <c r="AD742" i="3"/>
  <c r="Z742" i="3"/>
  <c r="T742" i="3" l="1"/>
  <c r="AG742" i="3" s="1"/>
  <c r="U741" i="3"/>
  <c r="Y740" i="3"/>
  <c r="E742" i="3" l="1"/>
  <c r="H742" i="3" s="1"/>
  <c r="K742" i="3" s="1"/>
  <c r="AE742" i="3" s="1"/>
  <c r="AH742" i="3"/>
  <c r="D742" i="3"/>
  <c r="F742" i="3" l="1"/>
  <c r="G742" i="3"/>
  <c r="I742" i="3" s="1"/>
  <c r="V742" i="3"/>
  <c r="A743" i="3"/>
  <c r="B743" i="3" s="1"/>
  <c r="M742" i="3" l="1"/>
  <c r="N742" i="3" s="1"/>
  <c r="J742" i="3"/>
  <c r="L742" i="3" s="1"/>
  <c r="P743" i="3"/>
  <c r="Q743" i="3" s="1"/>
  <c r="R743" i="3" s="1"/>
  <c r="S743" i="3" s="1"/>
  <c r="AC743" i="3"/>
  <c r="AD743" i="3"/>
  <c r="Z743" i="3"/>
  <c r="AA743" i="3"/>
  <c r="W742" i="3"/>
  <c r="T743" i="3" l="1"/>
  <c r="AG743" i="3" s="1"/>
  <c r="U742" i="3"/>
  <c r="Y741" i="3"/>
  <c r="AH743" i="3" l="1"/>
  <c r="E743" i="3"/>
  <c r="H743" i="3" s="1"/>
  <c r="K743" i="3" s="1"/>
  <c r="AE743" i="3" s="1"/>
  <c r="D743" i="3"/>
  <c r="F743" i="3" l="1"/>
  <c r="G743" i="3"/>
  <c r="I743" i="3" s="1"/>
  <c r="V743" i="3"/>
  <c r="A744" i="3"/>
  <c r="B744" i="3" s="1"/>
  <c r="M743" i="3" l="1"/>
  <c r="N743" i="3" s="1"/>
  <c r="J743" i="3"/>
  <c r="L743" i="3" s="1"/>
  <c r="W743" i="3"/>
  <c r="AA744" i="3"/>
  <c r="Z744" i="3"/>
  <c r="AC744" i="3"/>
  <c r="P744" i="3"/>
  <c r="Q744" i="3" s="1"/>
  <c r="R744" i="3" s="1"/>
  <c r="S744" i="3" s="1"/>
  <c r="T744" i="3" l="1"/>
  <c r="AG744" i="3" s="1"/>
  <c r="U743" i="3"/>
  <c r="Y742" i="3"/>
  <c r="AH744" i="3" l="1"/>
  <c r="E744" i="3"/>
  <c r="H744" i="3" s="1"/>
  <c r="K744" i="3" s="1"/>
  <c r="AE744" i="3" s="1"/>
  <c r="D744" i="3"/>
  <c r="F744" i="3" l="1"/>
  <c r="G744" i="3"/>
  <c r="I744" i="3" s="1"/>
  <c r="V744" i="3"/>
  <c r="A745" i="3"/>
  <c r="B745" i="3" s="1"/>
  <c r="J744" i="3" l="1"/>
  <c r="AD744" i="3" s="1"/>
  <c r="M744" i="3"/>
  <c r="N744" i="3" s="1"/>
  <c r="W744" i="3"/>
  <c r="AA745" i="3"/>
  <c r="AC745" i="3"/>
  <c r="AD745" i="3"/>
  <c r="Z745" i="3"/>
  <c r="P745" i="3"/>
  <c r="Q745" i="3" s="1"/>
  <c r="R745" i="3" s="1"/>
  <c r="S745" i="3" s="1"/>
  <c r="L744" i="3" l="1"/>
  <c r="U744" i="3" s="1"/>
  <c r="T745" i="3"/>
  <c r="Y743" i="3" l="1"/>
  <c r="AH745" i="3"/>
  <c r="AG745" i="3"/>
  <c r="E745" i="3"/>
  <c r="H745" i="3" s="1"/>
  <c r="K745" i="3" s="1"/>
  <c r="AE745" i="3" s="1"/>
  <c r="D745" i="3"/>
  <c r="F745" i="3" l="1"/>
  <c r="G745" i="3"/>
  <c r="V745" i="3"/>
  <c r="A746" i="3"/>
  <c r="B746" i="3" s="1"/>
  <c r="P746" i="3" l="1"/>
  <c r="Q746" i="3" s="1"/>
  <c r="R746" i="3" s="1"/>
  <c r="S746" i="3" s="1"/>
  <c r="AC746" i="3"/>
  <c r="AA746" i="3"/>
  <c r="Z746" i="3"/>
  <c r="AD746" i="3"/>
  <c r="I745" i="3"/>
  <c r="W745" i="3" s="1"/>
  <c r="J745" i="3"/>
  <c r="M745" i="3"/>
  <c r="N745" i="3" s="1"/>
  <c r="L745" i="3" l="1"/>
  <c r="T746" i="3"/>
  <c r="AG746" i="3" l="1"/>
  <c r="U745" i="3"/>
  <c r="D746" i="3" s="1"/>
  <c r="AH746" i="3"/>
  <c r="Y744" i="3"/>
  <c r="G746" i="3" l="1"/>
  <c r="E746" i="3"/>
  <c r="H746" i="3" s="1"/>
  <c r="K746" i="3" l="1"/>
  <c r="AE746" i="3" s="1"/>
  <c r="I746" i="3"/>
  <c r="J746" i="3"/>
  <c r="M746" i="3"/>
  <c r="N746" i="3" s="1"/>
  <c r="F746" i="3"/>
  <c r="V746" i="3" l="1"/>
  <c r="W746" i="3" s="1"/>
  <c r="A747" i="3"/>
  <c r="B747" i="3" s="1"/>
  <c r="L746" i="3"/>
  <c r="U746" i="3" l="1"/>
  <c r="Y745" i="3"/>
  <c r="AC747" i="3"/>
  <c r="P747" i="3"/>
  <c r="Q747" i="3" s="1"/>
  <c r="R747" i="3" s="1"/>
  <c r="S747" i="3" s="1"/>
  <c r="AA747" i="3"/>
  <c r="AD747" i="3"/>
  <c r="Z747" i="3"/>
  <c r="T747" i="3" l="1"/>
  <c r="D747" i="3" s="1"/>
  <c r="E747" i="3" l="1"/>
  <c r="H747" i="3" s="1"/>
  <c r="K747" i="3" s="1"/>
  <c r="AE747" i="3" s="1"/>
  <c r="AG747" i="3"/>
  <c r="AH747" i="3"/>
  <c r="G747" i="3"/>
  <c r="F747" i="3" l="1"/>
  <c r="V747" i="3"/>
  <c r="A748" i="3"/>
  <c r="B748" i="3" s="1"/>
  <c r="I747" i="3"/>
  <c r="J747" i="3"/>
  <c r="M747" i="3"/>
  <c r="N747" i="3" s="1"/>
  <c r="AC748" i="3" l="1"/>
  <c r="P748" i="3"/>
  <c r="Q748" i="3" s="1"/>
  <c r="R748" i="3" s="1"/>
  <c r="S748" i="3" s="1"/>
  <c r="AA748" i="3"/>
  <c r="AD748" i="3"/>
  <c r="Z748" i="3"/>
  <c r="L747" i="3"/>
  <c r="W747" i="3"/>
  <c r="T748" i="3" l="1"/>
  <c r="AH748" i="3" s="1"/>
  <c r="U747" i="3"/>
  <c r="Y746" i="3"/>
  <c r="E748" i="3" l="1"/>
  <c r="H748" i="3" s="1"/>
  <c r="K748" i="3" s="1"/>
  <c r="AE748" i="3" s="1"/>
  <c r="AG748" i="3"/>
  <c r="D748" i="3"/>
  <c r="F748" i="3" l="1"/>
  <c r="G748" i="3"/>
  <c r="I748" i="3" s="1"/>
  <c r="V748" i="3"/>
  <c r="A749" i="3"/>
  <c r="B749" i="3" s="1"/>
  <c r="M748" i="3" l="1"/>
  <c r="N748" i="3" s="1"/>
  <c r="J748" i="3"/>
  <c r="L748" i="3" s="1"/>
  <c r="AC749" i="3"/>
  <c r="AD749" i="3"/>
  <c r="AA749" i="3"/>
  <c r="Z749" i="3"/>
  <c r="P749" i="3"/>
  <c r="Q749" i="3" s="1"/>
  <c r="R749" i="3" s="1"/>
  <c r="S749" i="3" s="1"/>
  <c r="W748" i="3"/>
  <c r="T749" i="3" l="1"/>
  <c r="AH749" i="3" s="1"/>
  <c r="U748" i="3"/>
  <c r="Y747" i="3"/>
  <c r="D749" i="3" l="1"/>
  <c r="G749" i="3" s="1"/>
  <c r="AG749" i="3"/>
  <c r="E749" i="3"/>
  <c r="H749" i="3" s="1"/>
  <c r="K749" i="3" s="1"/>
  <c r="AE749" i="3" s="1"/>
  <c r="F749" i="3" l="1"/>
  <c r="V749" i="3"/>
  <c r="A750" i="3"/>
  <c r="B750" i="3" s="1"/>
  <c r="I749" i="3"/>
  <c r="J749" i="3"/>
  <c r="M749" i="3"/>
  <c r="N749" i="3" s="1"/>
  <c r="Z750" i="3" l="1"/>
  <c r="AD750" i="3"/>
  <c r="AC750" i="3"/>
  <c r="AA750" i="3"/>
  <c r="P750" i="3"/>
  <c r="Q750" i="3" s="1"/>
  <c r="R750" i="3" s="1"/>
  <c r="S750" i="3" s="1"/>
  <c r="L749" i="3"/>
  <c r="W749" i="3"/>
  <c r="T750" i="3" l="1"/>
  <c r="AH750" i="3" s="1"/>
  <c r="U749" i="3"/>
  <c r="Y748" i="3"/>
  <c r="E750" i="3" l="1"/>
  <c r="H750" i="3" s="1"/>
  <c r="K750" i="3" s="1"/>
  <c r="AE750" i="3" s="1"/>
  <c r="AG750" i="3"/>
  <c r="D750" i="3"/>
  <c r="G750" i="3" s="1"/>
  <c r="F750" i="3" l="1"/>
  <c r="V750" i="3"/>
  <c r="A751" i="3"/>
  <c r="B751" i="3" s="1"/>
  <c r="I750" i="3"/>
  <c r="J750" i="3"/>
  <c r="M750" i="3"/>
  <c r="N750" i="3" s="1"/>
  <c r="Z751" i="3" l="1"/>
  <c r="AA751" i="3"/>
  <c r="AC751" i="3"/>
  <c r="AD751" i="3"/>
  <c r="P751" i="3"/>
  <c r="Q751" i="3" s="1"/>
  <c r="R751" i="3" s="1"/>
  <c r="S751" i="3" s="1"/>
  <c r="L750" i="3"/>
  <c r="W750" i="3"/>
  <c r="T751" i="3" l="1"/>
  <c r="AG751" i="3" s="1"/>
  <c r="U750" i="3"/>
  <c r="Y749" i="3"/>
  <c r="D751" i="3" l="1"/>
  <c r="G751" i="3" s="1"/>
  <c r="AH751" i="3"/>
  <c r="E751" i="3"/>
  <c r="H751" i="3" s="1"/>
  <c r="K751" i="3" s="1"/>
  <c r="AE751" i="3" s="1"/>
  <c r="F751" i="3" l="1"/>
  <c r="V751" i="3"/>
  <c r="A752" i="3"/>
  <c r="B752" i="3" s="1"/>
  <c r="I751" i="3"/>
  <c r="J751" i="3"/>
  <c r="M751" i="3"/>
  <c r="N751" i="3" s="1"/>
  <c r="L751" i="3" l="1"/>
  <c r="W751" i="3"/>
  <c r="AC752" i="3"/>
  <c r="AA752" i="3"/>
  <c r="AD752" i="3"/>
  <c r="Z752" i="3"/>
  <c r="P752" i="3"/>
  <c r="Q752" i="3" s="1"/>
  <c r="R752" i="3" s="1"/>
  <c r="S752" i="3" s="1"/>
  <c r="U751" i="3" l="1"/>
  <c r="Y750" i="3"/>
  <c r="T752" i="3"/>
  <c r="AG752" i="3" s="1"/>
  <c r="E752" i="3" l="1"/>
  <c r="H752" i="3" s="1"/>
  <c r="AH752" i="3"/>
  <c r="D752" i="3"/>
  <c r="F752" i="3" l="1"/>
  <c r="G752" i="3"/>
  <c r="K752" i="3"/>
  <c r="AE752" i="3" s="1"/>
  <c r="V752" i="3" l="1"/>
  <c r="A753" i="3"/>
  <c r="B753" i="3" s="1"/>
  <c r="I752" i="3"/>
  <c r="J752" i="3"/>
  <c r="M752" i="3"/>
  <c r="N752" i="3" s="1"/>
  <c r="W752" i="3" l="1"/>
  <c r="P753" i="3"/>
  <c r="Q753" i="3" s="1"/>
  <c r="R753" i="3" s="1"/>
  <c r="S753" i="3" s="1"/>
  <c r="AA753" i="3"/>
  <c r="Z753" i="3"/>
  <c r="AD753" i="3"/>
  <c r="AC753" i="3"/>
  <c r="L752" i="3"/>
  <c r="U752" i="3" l="1"/>
  <c r="Y751" i="3"/>
  <c r="T753" i="3"/>
  <c r="AG753" i="3" s="1"/>
  <c r="D753" i="3" l="1"/>
  <c r="G753" i="3" s="1"/>
  <c r="AH753" i="3"/>
  <c r="E753" i="3"/>
  <c r="H753" i="3" s="1"/>
  <c r="K753" i="3" s="1"/>
  <c r="AE753" i="3" s="1"/>
  <c r="F753" i="3" l="1"/>
  <c r="V753" i="3"/>
  <c r="A754" i="3"/>
  <c r="B754" i="3" s="1"/>
  <c r="I753" i="3"/>
  <c r="J753" i="3"/>
  <c r="M753" i="3"/>
  <c r="N753" i="3" s="1"/>
  <c r="AA754" i="3" l="1"/>
  <c r="AC754" i="3"/>
  <c r="P754" i="3"/>
  <c r="Q754" i="3" s="1"/>
  <c r="R754" i="3" s="1"/>
  <c r="S754" i="3" s="1"/>
  <c r="Z754" i="3"/>
  <c r="L753" i="3"/>
  <c r="W753" i="3"/>
  <c r="T754" i="3" l="1"/>
  <c r="AH754" i="3" s="1"/>
  <c r="U753" i="3"/>
  <c r="Y752" i="3"/>
  <c r="D754" i="3" l="1"/>
  <c r="G754" i="3" s="1"/>
  <c r="E754" i="3"/>
  <c r="H754" i="3" s="1"/>
  <c r="K754" i="3" s="1"/>
  <c r="AE754" i="3" s="1"/>
  <c r="AG754" i="3"/>
  <c r="F754" i="3" l="1"/>
  <c r="I754" i="3"/>
  <c r="J754" i="3"/>
  <c r="AD754" i="3" s="1"/>
  <c r="M754" i="3"/>
  <c r="N754" i="3" s="1"/>
  <c r="V754" i="3"/>
  <c r="A755" i="3"/>
  <c r="B755" i="3" s="1"/>
  <c r="W754" i="3" l="1"/>
  <c r="AA755" i="3"/>
  <c r="AD755" i="3"/>
  <c r="AC755" i="3"/>
  <c r="Z755" i="3"/>
  <c r="P755" i="3"/>
  <c r="Q755" i="3" s="1"/>
  <c r="R755" i="3" s="1"/>
  <c r="S755" i="3" s="1"/>
  <c r="L754" i="3"/>
  <c r="T755" i="3" l="1"/>
  <c r="AH755" i="3" s="1"/>
  <c r="U754" i="3"/>
  <c r="Y753" i="3"/>
  <c r="AG755" i="3" l="1"/>
  <c r="D755" i="3"/>
  <c r="G755" i="3" s="1"/>
  <c r="E755" i="3"/>
  <c r="H755" i="3" s="1"/>
  <c r="K755" i="3" l="1"/>
  <c r="AE755" i="3" s="1"/>
  <c r="I755" i="3"/>
  <c r="J755" i="3"/>
  <c r="M755" i="3"/>
  <c r="N755" i="3" s="1"/>
  <c r="F755" i="3"/>
  <c r="L755" i="3" l="1"/>
  <c r="V755" i="3"/>
  <c r="W755" i="3" s="1"/>
  <c r="A756" i="3"/>
  <c r="B756" i="3" s="1"/>
  <c r="Z756" i="3" l="1"/>
  <c r="AC756" i="3"/>
  <c r="AD756" i="3"/>
  <c r="AA756" i="3"/>
  <c r="P756" i="3"/>
  <c r="Q756" i="3" s="1"/>
  <c r="R756" i="3" s="1"/>
  <c r="S756" i="3" s="1"/>
  <c r="U755" i="3"/>
  <c r="Y754" i="3"/>
  <c r="T756" i="3" l="1"/>
  <c r="E756" i="3" s="1"/>
  <c r="H756" i="3" s="1"/>
  <c r="AG756" i="3" l="1"/>
  <c r="AH756" i="3"/>
  <c r="K756" i="3"/>
  <c r="AE756" i="3" s="1"/>
  <c r="D756" i="3"/>
  <c r="F756" i="3" l="1"/>
  <c r="G756" i="3"/>
  <c r="V756" i="3"/>
  <c r="A757" i="3"/>
  <c r="B757" i="3" s="1"/>
  <c r="AA757" i="3" l="1"/>
  <c r="Z757" i="3"/>
  <c r="P757" i="3"/>
  <c r="Q757" i="3" s="1"/>
  <c r="R757" i="3" s="1"/>
  <c r="S757" i="3" s="1"/>
  <c r="AD757" i="3"/>
  <c r="AC757" i="3"/>
  <c r="I756" i="3"/>
  <c r="W756" i="3" s="1"/>
  <c r="J756" i="3"/>
  <c r="M756" i="3"/>
  <c r="N756" i="3" s="1"/>
  <c r="L756" i="3" l="1"/>
  <c r="T757" i="3"/>
  <c r="AH757" i="3" l="1"/>
  <c r="AG757" i="3"/>
  <c r="U756" i="3"/>
  <c r="E757" i="3" s="1"/>
  <c r="H757" i="3" s="1"/>
  <c r="Y755" i="3"/>
  <c r="K757" i="3" l="1"/>
  <c r="AE757" i="3" s="1"/>
  <c r="D757" i="3"/>
  <c r="F757" i="3" l="1"/>
  <c r="G757" i="3"/>
  <c r="V757" i="3"/>
  <c r="A758" i="3"/>
  <c r="B758" i="3" s="1"/>
  <c r="AC758" i="3" l="1"/>
  <c r="AD758" i="3"/>
  <c r="P758" i="3"/>
  <c r="Q758" i="3" s="1"/>
  <c r="R758" i="3" s="1"/>
  <c r="S758" i="3" s="1"/>
  <c r="AA758" i="3"/>
  <c r="Z758" i="3"/>
  <c r="I757" i="3"/>
  <c r="W757" i="3" s="1"/>
  <c r="J757" i="3"/>
  <c r="M757" i="3"/>
  <c r="N757" i="3" s="1"/>
  <c r="L757" i="3" l="1"/>
  <c r="T758" i="3"/>
  <c r="AH758" i="3" l="1"/>
  <c r="AG758" i="3"/>
  <c r="U757" i="3"/>
  <c r="D758" i="3" s="1"/>
  <c r="Y756" i="3"/>
  <c r="G758" i="3" l="1"/>
  <c r="E758" i="3"/>
  <c r="H758" i="3" s="1"/>
  <c r="K758" i="3" l="1"/>
  <c r="AE758" i="3" s="1"/>
  <c r="I758" i="3"/>
  <c r="J758" i="3"/>
  <c r="M758" i="3"/>
  <c r="N758" i="3" s="1"/>
  <c r="F758" i="3"/>
  <c r="L758" i="3" l="1"/>
  <c r="V758" i="3"/>
  <c r="W758" i="3" s="1"/>
  <c r="A759" i="3"/>
  <c r="B759" i="3" s="1"/>
  <c r="AC759" i="3" l="1"/>
  <c r="AD759" i="3"/>
  <c r="AA759" i="3"/>
  <c r="P759" i="3"/>
  <c r="Q759" i="3" s="1"/>
  <c r="R759" i="3" s="1"/>
  <c r="S759" i="3" s="1"/>
  <c r="Z759" i="3"/>
  <c r="U758" i="3"/>
  <c r="Y757" i="3"/>
  <c r="T759" i="3" l="1"/>
  <c r="AG759" i="3" s="1"/>
  <c r="D759" i="3" l="1"/>
  <c r="G759" i="3" s="1"/>
  <c r="E759" i="3"/>
  <c r="H759" i="3" s="1"/>
  <c r="K759" i="3" s="1"/>
  <c r="AE759" i="3" s="1"/>
  <c r="AH759" i="3"/>
  <c r="F759" i="3" l="1"/>
  <c r="V759" i="3"/>
  <c r="A760" i="3"/>
  <c r="B760" i="3" s="1"/>
  <c r="I759" i="3"/>
  <c r="J759" i="3"/>
  <c r="M759" i="3"/>
  <c r="N759" i="3" s="1"/>
  <c r="AC760" i="3" l="1"/>
  <c r="Z760" i="3"/>
  <c r="P760" i="3"/>
  <c r="Q760" i="3" s="1"/>
  <c r="R760" i="3" s="1"/>
  <c r="S760" i="3" s="1"/>
  <c r="AA760" i="3"/>
  <c r="AD760" i="3"/>
  <c r="L759" i="3"/>
  <c r="W759" i="3"/>
  <c r="T760" i="3" l="1"/>
  <c r="AG760" i="3" s="1"/>
  <c r="U759" i="3"/>
  <c r="Y758" i="3"/>
  <c r="D760" i="3" l="1"/>
  <c r="G760" i="3" s="1"/>
  <c r="AH760" i="3"/>
  <c r="E760" i="3"/>
  <c r="H760" i="3" s="1"/>
  <c r="K760" i="3" s="1"/>
  <c r="AE760" i="3" s="1"/>
  <c r="F760" i="3" l="1"/>
  <c r="I760" i="3"/>
  <c r="J760" i="3"/>
  <c r="M760" i="3"/>
  <c r="N760" i="3" s="1"/>
  <c r="V760" i="3"/>
  <c r="A761" i="3"/>
  <c r="B761" i="3" s="1"/>
  <c r="W760" i="3" l="1"/>
  <c r="P761" i="3"/>
  <c r="Q761" i="3" s="1"/>
  <c r="R761" i="3" s="1"/>
  <c r="S761" i="3" s="1"/>
  <c r="Z761" i="3"/>
  <c r="AA761" i="3"/>
  <c r="AD761" i="3"/>
  <c r="AC761" i="3"/>
  <c r="L760" i="3"/>
  <c r="U760" i="3" l="1"/>
  <c r="Y759" i="3"/>
  <c r="T761" i="3"/>
  <c r="AH761" i="3" s="1"/>
  <c r="D761" i="3" l="1"/>
  <c r="G761" i="3" s="1"/>
  <c r="E761" i="3"/>
  <c r="H761" i="3" s="1"/>
  <c r="K761" i="3" s="1"/>
  <c r="AE761" i="3" s="1"/>
  <c r="AG761" i="3"/>
  <c r="F761" i="3" l="1"/>
  <c r="I761" i="3"/>
  <c r="J761" i="3"/>
  <c r="M761" i="3"/>
  <c r="N761" i="3" s="1"/>
  <c r="V761" i="3"/>
  <c r="A762" i="3"/>
  <c r="B762" i="3" s="1"/>
  <c r="W761" i="3" l="1"/>
  <c r="Z762" i="3"/>
  <c r="AA762" i="3"/>
  <c r="AD762" i="3"/>
  <c r="AC762" i="3"/>
  <c r="P762" i="3"/>
  <c r="Q762" i="3" s="1"/>
  <c r="R762" i="3" s="1"/>
  <c r="S762" i="3" s="1"/>
  <c r="L761" i="3"/>
  <c r="T762" i="3" l="1"/>
  <c r="AH762" i="3" s="1"/>
  <c r="U761" i="3"/>
  <c r="Y760" i="3"/>
  <c r="AG762" i="3" l="1"/>
  <c r="E762" i="3"/>
  <c r="H762" i="3" s="1"/>
  <c r="K762" i="3" s="1"/>
  <c r="AE762" i="3" s="1"/>
  <c r="D762" i="3"/>
  <c r="F762" i="3" l="1"/>
  <c r="G762" i="3"/>
  <c r="I762" i="3" s="1"/>
  <c r="V762" i="3"/>
  <c r="A763" i="3"/>
  <c r="B763" i="3" s="1"/>
  <c r="M762" i="3" l="1"/>
  <c r="N762" i="3" s="1"/>
  <c r="J762" i="3"/>
  <c r="L762" i="3" s="1"/>
  <c r="W762" i="3"/>
  <c r="AA763" i="3"/>
  <c r="AD763" i="3"/>
  <c r="AC763" i="3"/>
  <c r="Z763" i="3"/>
  <c r="P763" i="3"/>
  <c r="Q763" i="3" s="1"/>
  <c r="R763" i="3" s="1"/>
  <c r="S763" i="3" s="1"/>
  <c r="U762" i="3" l="1"/>
  <c r="Y761" i="3"/>
  <c r="T763" i="3"/>
  <c r="D763" i="3" l="1"/>
  <c r="G763" i="3" s="1"/>
  <c r="AH763" i="3"/>
  <c r="E763" i="3"/>
  <c r="H763" i="3" s="1"/>
  <c r="K763" i="3" s="1"/>
  <c r="AE763" i="3" s="1"/>
  <c r="AG763" i="3"/>
  <c r="F763" i="3" l="1"/>
  <c r="V763" i="3"/>
  <c r="A764" i="3"/>
  <c r="B764" i="3" s="1"/>
  <c r="I763" i="3"/>
  <c r="J763" i="3"/>
  <c r="M763" i="3"/>
  <c r="N763" i="3" s="1"/>
  <c r="L763" i="3" l="1"/>
  <c r="Z764" i="3"/>
  <c r="AA764" i="3"/>
  <c r="AC764" i="3"/>
  <c r="P764" i="3"/>
  <c r="Q764" i="3" s="1"/>
  <c r="R764" i="3" s="1"/>
  <c r="S764" i="3" s="1"/>
  <c r="W763" i="3"/>
  <c r="T764" i="3" l="1"/>
  <c r="AG764" i="3" s="1"/>
  <c r="U763" i="3"/>
  <c r="Y762" i="3"/>
  <c r="E764" i="3" l="1"/>
  <c r="H764" i="3" s="1"/>
  <c r="K764" i="3" s="1"/>
  <c r="AE764" i="3" s="1"/>
  <c r="AH764" i="3"/>
  <c r="D764" i="3"/>
  <c r="G764" i="3" s="1"/>
  <c r="F764" i="3" l="1"/>
  <c r="I764" i="3"/>
  <c r="J764" i="3"/>
  <c r="AD764" i="3" s="1"/>
  <c r="M764" i="3"/>
  <c r="N764" i="3" s="1"/>
  <c r="V764" i="3"/>
  <c r="A765" i="3"/>
  <c r="B765" i="3" s="1"/>
  <c r="W764" i="3" l="1"/>
  <c r="Z765" i="3"/>
  <c r="AC765" i="3"/>
  <c r="AD765" i="3"/>
  <c r="AA765" i="3"/>
  <c r="P765" i="3"/>
  <c r="Q765" i="3" s="1"/>
  <c r="R765" i="3" s="1"/>
  <c r="S765" i="3" s="1"/>
  <c r="L764" i="3"/>
  <c r="T765" i="3" l="1"/>
  <c r="AG765" i="3" s="1"/>
  <c r="U764" i="3"/>
  <c r="Y763" i="3"/>
  <c r="AH765" i="3" l="1"/>
  <c r="D765" i="3"/>
  <c r="G765" i="3" s="1"/>
  <c r="E765" i="3"/>
  <c r="H765" i="3" s="1"/>
  <c r="K765" i="3" s="1"/>
  <c r="AE765" i="3" s="1"/>
  <c r="F765" i="3" l="1"/>
  <c r="V765" i="3"/>
  <c r="A766" i="3"/>
  <c r="B766" i="3" s="1"/>
  <c r="I765" i="3"/>
  <c r="J765" i="3"/>
  <c r="M765" i="3"/>
  <c r="N765" i="3" s="1"/>
  <c r="L765" i="3" l="1"/>
  <c r="P766" i="3"/>
  <c r="Q766" i="3" s="1"/>
  <c r="R766" i="3" s="1"/>
  <c r="S766" i="3" s="1"/>
  <c r="AC766" i="3"/>
  <c r="AD766" i="3"/>
  <c r="Z766" i="3"/>
  <c r="AA766" i="3"/>
  <c r="W765" i="3"/>
  <c r="T766" i="3" l="1"/>
  <c r="AH766" i="3" s="1"/>
  <c r="U765" i="3"/>
  <c r="Y764" i="3"/>
  <c r="AG766" i="3" l="1"/>
  <c r="D766" i="3"/>
  <c r="G766" i="3" s="1"/>
  <c r="E766" i="3"/>
  <c r="H766" i="3" s="1"/>
  <c r="K766" i="3" s="1"/>
  <c r="AE766" i="3" s="1"/>
  <c r="F766" i="3" l="1"/>
  <c r="V766" i="3"/>
  <c r="A767" i="3"/>
  <c r="B767" i="3" s="1"/>
  <c r="I766" i="3"/>
  <c r="J766" i="3"/>
  <c r="M766" i="3"/>
  <c r="N766" i="3" s="1"/>
  <c r="L766" i="3" l="1"/>
  <c r="AC767" i="3"/>
  <c r="AD767" i="3"/>
  <c r="AA767" i="3"/>
  <c r="Z767" i="3"/>
  <c r="P767" i="3"/>
  <c r="Q767" i="3" s="1"/>
  <c r="R767" i="3" s="1"/>
  <c r="S767" i="3" s="1"/>
  <c r="W766" i="3"/>
  <c r="T767" i="3" l="1"/>
  <c r="AG767" i="3" s="1"/>
  <c r="U766" i="3"/>
  <c r="Y765" i="3"/>
  <c r="AH767" i="3" l="1"/>
  <c r="E767" i="3"/>
  <c r="H767" i="3" s="1"/>
  <c r="K767" i="3" s="1"/>
  <c r="AE767" i="3" s="1"/>
  <c r="D767" i="3"/>
  <c r="F767" i="3" l="1"/>
  <c r="G767" i="3"/>
  <c r="I767" i="3" s="1"/>
  <c r="V767" i="3"/>
  <c r="A768" i="3"/>
  <c r="B768" i="3" s="1"/>
  <c r="M767" i="3" l="1"/>
  <c r="N767" i="3" s="1"/>
  <c r="J767" i="3"/>
  <c r="L767" i="3" s="1"/>
  <c r="AC768" i="3"/>
  <c r="P768" i="3"/>
  <c r="Q768" i="3" s="1"/>
  <c r="R768" i="3" s="1"/>
  <c r="S768" i="3" s="1"/>
  <c r="Z768" i="3"/>
  <c r="AD768" i="3"/>
  <c r="AA768" i="3"/>
  <c r="W767" i="3"/>
  <c r="U767" i="3" l="1"/>
  <c r="Y766" i="3"/>
  <c r="T768" i="3"/>
  <c r="D768" i="3" l="1"/>
  <c r="G768" i="3" s="1"/>
  <c r="E768" i="3"/>
  <c r="H768" i="3" s="1"/>
  <c r="K768" i="3" s="1"/>
  <c r="AE768" i="3" s="1"/>
  <c r="AG768" i="3"/>
  <c r="AH768" i="3"/>
  <c r="F768" i="3" l="1"/>
  <c r="V768" i="3"/>
  <c r="A769" i="3"/>
  <c r="B769" i="3" s="1"/>
  <c r="I768" i="3"/>
  <c r="J768" i="3"/>
  <c r="M768" i="3"/>
  <c r="N768" i="3" s="1"/>
  <c r="L768" i="3" l="1"/>
  <c r="AA769" i="3"/>
  <c r="AD769" i="3"/>
  <c r="AC769" i="3"/>
  <c r="Z769" i="3"/>
  <c r="P769" i="3"/>
  <c r="Q769" i="3" s="1"/>
  <c r="R769" i="3" s="1"/>
  <c r="S769" i="3" s="1"/>
  <c r="W768" i="3"/>
  <c r="T769" i="3" l="1"/>
  <c r="U768" i="3"/>
  <c r="Y767" i="3"/>
  <c r="E769" i="3" l="1"/>
  <c r="H769" i="3" s="1"/>
  <c r="K769" i="3" s="1"/>
  <c r="AE769" i="3" s="1"/>
  <c r="D769" i="3"/>
  <c r="AG769" i="3"/>
  <c r="AH769" i="3"/>
  <c r="F769" i="3" l="1"/>
  <c r="G769" i="3"/>
  <c r="V769" i="3"/>
  <c r="A770" i="3"/>
  <c r="B770" i="3" s="1"/>
  <c r="AD770" i="3" l="1"/>
  <c r="P770" i="3"/>
  <c r="Q770" i="3" s="1"/>
  <c r="R770" i="3" s="1"/>
  <c r="S770" i="3" s="1"/>
  <c r="AC770" i="3"/>
  <c r="Z770" i="3"/>
  <c r="AA770" i="3"/>
  <c r="I769" i="3"/>
  <c r="W769" i="3" s="1"/>
  <c r="J769" i="3"/>
  <c r="M769" i="3"/>
  <c r="N769" i="3" s="1"/>
  <c r="T770" i="3" l="1"/>
  <c r="L769" i="3"/>
  <c r="AG770" i="3" l="1"/>
  <c r="AH770" i="3"/>
  <c r="U769" i="3"/>
  <c r="E770" i="3" s="1"/>
  <c r="H770" i="3" s="1"/>
  <c r="Y768" i="3"/>
  <c r="D770" i="3" l="1"/>
  <c r="F770" i="3" s="1"/>
  <c r="K770" i="3"/>
  <c r="AE770" i="3" s="1"/>
  <c r="G770" i="3" l="1"/>
  <c r="I770" i="3" s="1"/>
  <c r="V770" i="3"/>
  <c r="A771" i="3"/>
  <c r="B771" i="3" s="1"/>
  <c r="J770" i="3" l="1"/>
  <c r="L770" i="3" s="1"/>
  <c r="W770" i="3"/>
  <c r="M770" i="3"/>
  <c r="N770" i="3" s="1"/>
  <c r="P771" i="3"/>
  <c r="Q771" i="3" s="1"/>
  <c r="R771" i="3" s="1"/>
  <c r="S771" i="3" s="1"/>
  <c r="AC771" i="3"/>
  <c r="AA771" i="3"/>
  <c r="Z771" i="3"/>
  <c r="AD771" i="3"/>
  <c r="U770" i="3" l="1"/>
  <c r="Y769" i="3"/>
  <c r="T771" i="3"/>
  <c r="D771" i="3" l="1"/>
  <c r="G771" i="3" s="1"/>
  <c r="E771" i="3"/>
  <c r="H771" i="3" s="1"/>
  <c r="AH771" i="3"/>
  <c r="AG771" i="3"/>
  <c r="K771" i="3" l="1"/>
  <c r="AE771" i="3" s="1"/>
  <c r="I771" i="3"/>
  <c r="J771" i="3"/>
  <c r="M771" i="3"/>
  <c r="N771" i="3" s="1"/>
  <c r="F771" i="3"/>
  <c r="L771" i="3" l="1"/>
  <c r="V771" i="3"/>
  <c r="W771" i="3" s="1"/>
  <c r="A772" i="3"/>
  <c r="B772" i="3" s="1"/>
  <c r="AC772" i="3" l="1"/>
  <c r="P772" i="3"/>
  <c r="Q772" i="3" s="1"/>
  <c r="R772" i="3" s="1"/>
  <c r="S772" i="3" s="1"/>
  <c r="Z772" i="3"/>
  <c r="AA772" i="3"/>
  <c r="AD772" i="3"/>
  <c r="U771" i="3"/>
  <c r="Y770" i="3"/>
  <c r="T772" i="3" l="1"/>
  <c r="D772" i="3" s="1"/>
  <c r="G772" i="3" l="1"/>
  <c r="AG772" i="3"/>
  <c r="AH772" i="3"/>
  <c r="E772" i="3"/>
  <c r="H772" i="3" s="1"/>
  <c r="K772" i="3" l="1"/>
  <c r="AE772" i="3" s="1"/>
  <c r="I772" i="3"/>
  <c r="J772" i="3"/>
  <c r="M772" i="3"/>
  <c r="N772" i="3" s="1"/>
  <c r="F772" i="3"/>
  <c r="V772" i="3" l="1"/>
  <c r="W772" i="3" s="1"/>
  <c r="A773" i="3"/>
  <c r="B773" i="3" s="1"/>
  <c r="L772" i="3"/>
  <c r="U772" i="3" l="1"/>
  <c r="Y771" i="3"/>
  <c r="Z773" i="3"/>
  <c r="AD773" i="3"/>
  <c r="AC773" i="3"/>
  <c r="AA773" i="3"/>
  <c r="P773" i="3"/>
  <c r="Q773" i="3" s="1"/>
  <c r="R773" i="3" s="1"/>
  <c r="S773" i="3" s="1"/>
  <c r="T773" i="3" l="1"/>
  <c r="E773" i="3" s="1"/>
  <c r="H773" i="3" s="1"/>
  <c r="AH773" i="3" l="1"/>
  <c r="AG773" i="3"/>
  <c r="K773" i="3"/>
  <c r="AE773" i="3" s="1"/>
  <c r="D773" i="3"/>
  <c r="F773" i="3" l="1"/>
  <c r="G773" i="3"/>
  <c r="V773" i="3"/>
  <c r="A774" i="3"/>
  <c r="B774" i="3" s="1"/>
  <c r="AC774" i="3" l="1"/>
  <c r="P774" i="3"/>
  <c r="Q774" i="3" s="1"/>
  <c r="R774" i="3" s="1"/>
  <c r="S774" i="3" s="1"/>
  <c r="AA774" i="3"/>
  <c r="Z774" i="3"/>
  <c r="I773" i="3"/>
  <c r="W773" i="3" s="1"/>
  <c r="J773" i="3"/>
  <c r="M773" i="3"/>
  <c r="N773" i="3" s="1"/>
  <c r="L773" i="3" l="1"/>
  <c r="T774" i="3"/>
  <c r="AG774" i="3" l="1"/>
  <c r="U773" i="3"/>
  <c r="E774" i="3" s="1"/>
  <c r="H774" i="3" s="1"/>
  <c r="AH774" i="3"/>
  <c r="Y772" i="3"/>
  <c r="D774" i="3" l="1"/>
  <c r="F774" i="3" s="1"/>
  <c r="K774" i="3"/>
  <c r="AE774" i="3" s="1"/>
  <c r="G774" i="3" l="1"/>
  <c r="I774" i="3" s="1"/>
  <c r="V774" i="3"/>
  <c r="A775" i="3"/>
  <c r="B775" i="3" s="1"/>
  <c r="M774" i="3" l="1"/>
  <c r="N774" i="3" s="1"/>
  <c r="J774" i="3"/>
  <c r="AD774" i="3" s="1"/>
  <c r="AC775" i="3"/>
  <c r="Z775" i="3"/>
  <c r="AD775" i="3"/>
  <c r="AA775" i="3"/>
  <c r="P775" i="3"/>
  <c r="Q775" i="3" s="1"/>
  <c r="R775" i="3" s="1"/>
  <c r="S775" i="3" s="1"/>
  <c r="W774" i="3"/>
  <c r="L774" i="3" l="1"/>
  <c r="U774" i="3" s="1"/>
  <c r="T775" i="3"/>
  <c r="Y773" i="3" l="1"/>
  <c r="AG775" i="3"/>
  <c r="D775" i="3"/>
  <c r="G775" i="3" s="1"/>
  <c r="E775" i="3"/>
  <c r="H775" i="3" s="1"/>
  <c r="AH775" i="3"/>
  <c r="K775" i="3" l="1"/>
  <c r="AE775" i="3" s="1"/>
  <c r="I775" i="3"/>
  <c r="J775" i="3"/>
  <c r="M775" i="3"/>
  <c r="N775" i="3" s="1"/>
  <c r="F775" i="3"/>
  <c r="V775" i="3" l="1"/>
  <c r="W775" i="3" s="1"/>
  <c r="A776" i="3"/>
  <c r="B776" i="3" s="1"/>
  <c r="L775" i="3"/>
  <c r="U775" i="3" l="1"/>
  <c r="Y774" i="3"/>
  <c r="AD776" i="3"/>
  <c r="Z776" i="3"/>
  <c r="P776" i="3"/>
  <c r="Q776" i="3" s="1"/>
  <c r="R776" i="3" s="1"/>
  <c r="S776" i="3" s="1"/>
  <c r="AC776" i="3"/>
  <c r="AA776" i="3"/>
  <c r="T776" i="3" l="1"/>
  <c r="D776" i="3" s="1"/>
  <c r="E776" i="3" l="1"/>
  <c r="H776" i="3" s="1"/>
  <c r="K776" i="3" s="1"/>
  <c r="AE776" i="3" s="1"/>
  <c r="AG776" i="3"/>
  <c r="AH776" i="3"/>
  <c r="G776" i="3"/>
  <c r="F776" i="3" l="1"/>
  <c r="V776" i="3"/>
  <c r="A777" i="3"/>
  <c r="B777" i="3" s="1"/>
  <c r="I776" i="3"/>
  <c r="J776" i="3"/>
  <c r="M776" i="3"/>
  <c r="N776" i="3" s="1"/>
  <c r="AD777" i="3" l="1"/>
  <c r="AC777" i="3"/>
  <c r="Z777" i="3"/>
  <c r="AA777" i="3"/>
  <c r="P777" i="3"/>
  <c r="Q777" i="3" s="1"/>
  <c r="R777" i="3" s="1"/>
  <c r="S777" i="3" s="1"/>
  <c r="L776" i="3"/>
  <c r="W776" i="3"/>
  <c r="T777" i="3" l="1"/>
  <c r="AH777" i="3" s="1"/>
  <c r="U776" i="3"/>
  <c r="Y775" i="3"/>
  <c r="E777" i="3" l="1"/>
  <c r="H777" i="3" s="1"/>
  <c r="K777" i="3" s="1"/>
  <c r="AE777" i="3" s="1"/>
  <c r="D777" i="3"/>
  <c r="G777" i="3" s="1"/>
  <c r="AG777" i="3"/>
  <c r="F777" i="3" l="1"/>
  <c r="I777" i="3"/>
  <c r="J777" i="3"/>
  <c r="M777" i="3"/>
  <c r="N777" i="3" s="1"/>
  <c r="V777" i="3"/>
  <c r="A778" i="3"/>
  <c r="B778" i="3" s="1"/>
  <c r="W777" i="3" l="1"/>
  <c r="P778" i="3"/>
  <c r="Q778" i="3" s="1"/>
  <c r="R778" i="3" s="1"/>
  <c r="S778" i="3" s="1"/>
  <c r="AC778" i="3"/>
  <c r="AA778" i="3"/>
  <c r="Z778" i="3"/>
  <c r="AD778" i="3"/>
  <c r="L777" i="3"/>
  <c r="U777" i="3" l="1"/>
  <c r="Y776" i="3"/>
  <c r="T778" i="3"/>
  <c r="E778" i="3" l="1"/>
  <c r="H778" i="3" s="1"/>
  <c r="K778" i="3" s="1"/>
  <c r="AE778" i="3" s="1"/>
  <c r="AH778" i="3"/>
  <c r="D778" i="3"/>
  <c r="AG778" i="3"/>
  <c r="F778" i="3" l="1"/>
  <c r="G778" i="3"/>
  <c r="V778" i="3"/>
  <c r="A779" i="3"/>
  <c r="B779" i="3" s="1"/>
  <c r="AD779" i="3" l="1"/>
  <c r="AC779" i="3"/>
  <c r="Z779" i="3"/>
  <c r="AA779" i="3"/>
  <c r="P779" i="3"/>
  <c r="Q779" i="3" s="1"/>
  <c r="R779" i="3" s="1"/>
  <c r="S779" i="3" s="1"/>
  <c r="I778" i="3"/>
  <c r="W778" i="3" s="1"/>
  <c r="J778" i="3"/>
  <c r="M778" i="3"/>
  <c r="N778" i="3" s="1"/>
  <c r="T779" i="3" l="1"/>
  <c r="L778" i="3"/>
  <c r="AG779" i="3" l="1"/>
  <c r="AH779" i="3"/>
  <c r="U778" i="3"/>
  <c r="D779" i="3" s="1"/>
  <c r="Y777" i="3"/>
  <c r="G779" i="3" l="1"/>
  <c r="E779" i="3"/>
  <c r="H779" i="3" s="1"/>
  <c r="K779" i="3" l="1"/>
  <c r="AE779" i="3" s="1"/>
  <c r="I779" i="3"/>
  <c r="J779" i="3"/>
  <c r="M779" i="3"/>
  <c r="N779" i="3" s="1"/>
  <c r="F779" i="3"/>
  <c r="L779" i="3" l="1"/>
  <c r="V779" i="3"/>
  <c r="W779" i="3" s="1"/>
  <c r="A780" i="3"/>
  <c r="B780" i="3" s="1"/>
  <c r="P780" i="3" l="1"/>
  <c r="Q780" i="3" s="1"/>
  <c r="R780" i="3" s="1"/>
  <c r="S780" i="3" s="1"/>
  <c r="AC780" i="3"/>
  <c r="AD780" i="3"/>
  <c r="AA780" i="3"/>
  <c r="Z780" i="3"/>
  <c r="U779" i="3"/>
  <c r="Y778" i="3"/>
  <c r="T780" i="3" l="1"/>
  <c r="D780" i="3" l="1"/>
  <c r="AH780" i="3"/>
  <c r="AG780" i="3"/>
  <c r="E780" i="3"/>
  <c r="H780" i="3" s="1"/>
  <c r="K780" i="3" l="1"/>
  <c r="AE780" i="3" s="1"/>
  <c r="F780" i="3"/>
  <c r="G780" i="3"/>
  <c r="I780" i="3" l="1"/>
  <c r="J780" i="3"/>
  <c r="M780" i="3"/>
  <c r="N780" i="3" s="1"/>
  <c r="V780" i="3"/>
  <c r="A781" i="3"/>
  <c r="B781" i="3" s="1"/>
  <c r="W780" i="3" l="1"/>
  <c r="AD781" i="3"/>
  <c r="Z781" i="3"/>
  <c r="AA781" i="3"/>
  <c r="AC781" i="3"/>
  <c r="P781" i="3"/>
  <c r="Q781" i="3" s="1"/>
  <c r="R781" i="3" s="1"/>
  <c r="S781" i="3" s="1"/>
  <c r="L780" i="3"/>
  <c r="T781" i="3" l="1"/>
  <c r="AH781" i="3" s="1"/>
  <c r="U780" i="3"/>
  <c r="Y779" i="3"/>
  <c r="E781" i="3" l="1"/>
  <c r="H781" i="3" s="1"/>
  <c r="K781" i="3" s="1"/>
  <c r="AE781" i="3" s="1"/>
  <c r="AG781" i="3"/>
  <c r="D781" i="3"/>
  <c r="F781" i="3" l="1"/>
  <c r="G781" i="3"/>
  <c r="V781" i="3"/>
  <c r="A782" i="3"/>
  <c r="B782" i="3" s="1"/>
  <c r="AC782" i="3" l="1"/>
  <c r="AD782" i="3"/>
  <c r="Z782" i="3"/>
  <c r="AA782" i="3"/>
  <c r="P782" i="3"/>
  <c r="Q782" i="3" s="1"/>
  <c r="R782" i="3" s="1"/>
  <c r="S782" i="3" s="1"/>
  <c r="I781" i="3"/>
  <c r="W781" i="3" s="1"/>
  <c r="J781" i="3"/>
  <c r="M781" i="3"/>
  <c r="N781" i="3" s="1"/>
  <c r="T782" i="3" l="1"/>
  <c r="L781" i="3"/>
  <c r="AH782" i="3" l="1"/>
  <c r="AG782" i="3"/>
  <c r="U781" i="3"/>
  <c r="E782" i="3" s="1"/>
  <c r="H782" i="3" s="1"/>
  <c r="Y780" i="3"/>
  <c r="D782" i="3" l="1"/>
  <c r="F782" i="3" s="1"/>
  <c r="K782" i="3"/>
  <c r="AE782" i="3" s="1"/>
  <c r="G782" i="3" l="1"/>
  <c r="I782" i="3" s="1"/>
  <c r="V782" i="3"/>
  <c r="A783" i="3"/>
  <c r="B783" i="3" s="1"/>
  <c r="M782" i="3" l="1"/>
  <c r="N782" i="3" s="1"/>
  <c r="J782" i="3"/>
  <c r="L782" i="3" s="1"/>
  <c r="W782" i="3"/>
  <c r="Z783" i="3"/>
  <c r="P783" i="3"/>
  <c r="Q783" i="3" s="1"/>
  <c r="R783" i="3" s="1"/>
  <c r="S783" i="3" s="1"/>
  <c r="AD783" i="3"/>
  <c r="AA783" i="3"/>
  <c r="AC783" i="3"/>
  <c r="T783" i="3" l="1"/>
  <c r="AH783" i="3" s="1"/>
  <c r="U782" i="3"/>
  <c r="Y781" i="3"/>
  <c r="E783" i="3" l="1"/>
  <c r="H783" i="3" s="1"/>
  <c r="K783" i="3" s="1"/>
  <c r="AE783" i="3" s="1"/>
  <c r="D783" i="3"/>
  <c r="AG783" i="3"/>
  <c r="F783" i="3" l="1"/>
  <c r="G783" i="3"/>
  <c r="I783" i="3" s="1"/>
  <c r="V783" i="3"/>
  <c r="A784" i="3"/>
  <c r="B784" i="3" s="1"/>
  <c r="M783" i="3" l="1"/>
  <c r="N783" i="3" s="1"/>
  <c r="J783" i="3"/>
  <c r="L783" i="3" s="1"/>
  <c r="W783" i="3"/>
  <c r="P784" i="3"/>
  <c r="Q784" i="3" s="1"/>
  <c r="R784" i="3" s="1"/>
  <c r="S784" i="3" s="1"/>
  <c r="AC784" i="3"/>
  <c r="AA784" i="3"/>
  <c r="Z784" i="3"/>
  <c r="U783" i="3" l="1"/>
  <c r="Y782" i="3"/>
  <c r="T784" i="3"/>
  <c r="E784" i="3" l="1"/>
  <c r="H784" i="3" s="1"/>
  <c r="K784" i="3" s="1"/>
  <c r="AE784" i="3" s="1"/>
  <c r="AH784" i="3"/>
  <c r="AG784" i="3"/>
  <c r="D784" i="3"/>
  <c r="F784" i="3" l="1"/>
  <c r="G784" i="3"/>
  <c r="J784" i="3" s="1"/>
  <c r="AD784" i="3" s="1"/>
  <c r="V784" i="3"/>
  <c r="A785" i="3"/>
  <c r="B785" i="3" s="1"/>
  <c r="M784" i="3" l="1"/>
  <c r="N784" i="3" s="1"/>
  <c r="I784" i="3"/>
  <c r="W784" i="3" s="1"/>
  <c r="AC785" i="3"/>
  <c r="P785" i="3"/>
  <c r="Q785" i="3" s="1"/>
  <c r="R785" i="3" s="1"/>
  <c r="S785" i="3" s="1"/>
  <c r="AD785" i="3"/>
  <c r="Z785" i="3"/>
  <c r="AA785" i="3"/>
  <c r="L784" i="3"/>
  <c r="T785" i="3" l="1"/>
  <c r="AG785" i="3" s="1"/>
  <c r="U784" i="3"/>
  <c r="Y783" i="3"/>
  <c r="AH785" i="3" l="1"/>
  <c r="D785" i="3"/>
  <c r="G785" i="3" s="1"/>
  <c r="E785" i="3"/>
  <c r="H785" i="3" s="1"/>
  <c r="K785" i="3" s="1"/>
  <c r="AE785" i="3" s="1"/>
  <c r="F785" i="3" l="1"/>
  <c r="I785" i="3"/>
  <c r="J785" i="3"/>
  <c r="M785" i="3"/>
  <c r="N785" i="3" s="1"/>
  <c r="V785" i="3"/>
  <c r="A786" i="3"/>
  <c r="B786" i="3" s="1"/>
  <c r="W785" i="3" l="1"/>
  <c r="P786" i="3"/>
  <c r="Q786" i="3" s="1"/>
  <c r="R786" i="3" s="1"/>
  <c r="S786" i="3" s="1"/>
  <c r="Z786" i="3"/>
  <c r="AA786" i="3"/>
  <c r="AC786" i="3"/>
  <c r="AD786" i="3"/>
  <c r="L785" i="3"/>
  <c r="U785" i="3" l="1"/>
  <c r="Y784" i="3"/>
  <c r="T786" i="3"/>
  <c r="AG786" i="3" s="1"/>
  <c r="D786" i="3" l="1"/>
  <c r="G786" i="3" s="1"/>
  <c r="AH786" i="3"/>
  <c r="E786" i="3"/>
  <c r="H786" i="3" s="1"/>
  <c r="K786" i="3" s="1"/>
  <c r="AE786" i="3" s="1"/>
  <c r="F786" i="3" l="1"/>
  <c r="I786" i="3"/>
  <c r="J786" i="3"/>
  <c r="M786" i="3"/>
  <c r="N786" i="3" s="1"/>
  <c r="V786" i="3"/>
  <c r="W786" i="3" s="1"/>
  <c r="A787" i="3"/>
  <c r="B787" i="3" s="1"/>
  <c r="P787" i="3" l="1"/>
  <c r="Q787" i="3" s="1"/>
  <c r="R787" i="3" s="1"/>
  <c r="S787" i="3" s="1"/>
  <c r="AC787" i="3"/>
  <c r="AD787" i="3"/>
  <c r="Z787" i="3"/>
  <c r="AA787" i="3"/>
  <c r="L786" i="3"/>
  <c r="T787" i="3" l="1"/>
  <c r="AH787" i="3" s="1"/>
  <c r="U786" i="3"/>
  <c r="Y785" i="3"/>
  <c r="E787" i="3" l="1"/>
  <c r="H787" i="3" s="1"/>
  <c r="K787" i="3" s="1"/>
  <c r="AE787" i="3" s="1"/>
  <c r="AG787" i="3"/>
  <c r="D787" i="3"/>
  <c r="F787" i="3" l="1"/>
  <c r="G787" i="3"/>
  <c r="V787" i="3"/>
  <c r="A788" i="3"/>
  <c r="B788" i="3" s="1"/>
  <c r="I787" i="3" l="1"/>
  <c r="W787" i="3" s="1"/>
  <c r="J787" i="3"/>
  <c r="M787" i="3"/>
  <c r="N787" i="3" s="1"/>
  <c r="Z788" i="3"/>
  <c r="AC788" i="3"/>
  <c r="AD788" i="3"/>
  <c r="AA788" i="3"/>
  <c r="P788" i="3"/>
  <c r="Q788" i="3" s="1"/>
  <c r="R788" i="3" s="1"/>
  <c r="S788" i="3" s="1"/>
  <c r="T788" i="3" l="1"/>
  <c r="L787" i="3"/>
  <c r="U787" i="3" l="1"/>
  <c r="D788" i="3" s="1"/>
  <c r="AG788" i="3"/>
  <c r="AH788" i="3"/>
  <c r="Y786" i="3"/>
  <c r="E788" i="3" l="1"/>
  <c r="H788" i="3" s="1"/>
  <c r="K788" i="3" s="1"/>
  <c r="AE788" i="3" s="1"/>
  <c r="G788" i="3"/>
  <c r="F788" i="3" l="1"/>
  <c r="V788" i="3"/>
  <c r="A789" i="3"/>
  <c r="B789" i="3" s="1"/>
  <c r="I788" i="3"/>
  <c r="J788" i="3"/>
  <c r="M788" i="3"/>
  <c r="N788" i="3" s="1"/>
  <c r="L788" i="3" l="1"/>
  <c r="AC789" i="3"/>
  <c r="AD789" i="3"/>
  <c r="AA789" i="3"/>
  <c r="P789" i="3"/>
  <c r="Q789" i="3" s="1"/>
  <c r="R789" i="3" s="1"/>
  <c r="S789" i="3" s="1"/>
  <c r="Z789" i="3"/>
  <c r="W788" i="3"/>
  <c r="U788" i="3" l="1"/>
  <c r="Y787" i="3"/>
  <c r="T789" i="3"/>
  <c r="E789" i="3" l="1"/>
  <c r="H789" i="3" s="1"/>
  <c r="K789" i="3" s="1"/>
  <c r="AE789" i="3" s="1"/>
  <c r="D789" i="3"/>
  <c r="G789" i="3" s="1"/>
  <c r="AG789" i="3"/>
  <c r="AH789" i="3"/>
  <c r="F789" i="3" l="1"/>
  <c r="I789" i="3"/>
  <c r="J789" i="3"/>
  <c r="M789" i="3"/>
  <c r="N789" i="3" s="1"/>
  <c r="V789" i="3"/>
  <c r="A790" i="3"/>
  <c r="B790" i="3" s="1"/>
  <c r="W789" i="3" l="1"/>
  <c r="AD790" i="3"/>
  <c r="P790" i="3"/>
  <c r="Q790" i="3" s="1"/>
  <c r="R790" i="3" s="1"/>
  <c r="S790" i="3" s="1"/>
  <c r="AC790" i="3"/>
  <c r="Z790" i="3"/>
  <c r="AA790" i="3"/>
  <c r="L789" i="3"/>
  <c r="T790" i="3" l="1"/>
  <c r="AH790" i="3" s="1"/>
  <c r="U789" i="3"/>
  <c r="Y788" i="3"/>
  <c r="D790" i="3" l="1"/>
  <c r="G790" i="3" s="1"/>
  <c r="E790" i="3"/>
  <c r="H790" i="3" s="1"/>
  <c r="K790" i="3" s="1"/>
  <c r="AE790" i="3" s="1"/>
  <c r="AG790" i="3"/>
  <c r="F790" i="3" l="1"/>
  <c r="I790" i="3"/>
  <c r="J790" i="3"/>
  <c r="M790" i="3"/>
  <c r="N790" i="3" s="1"/>
  <c r="V790" i="3"/>
  <c r="A791" i="3"/>
  <c r="B791" i="3" s="1"/>
  <c r="W790" i="3" l="1"/>
  <c r="Z791" i="3"/>
  <c r="AA791" i="3"/>
  <c r="P791" i="3"/>
  <c r="Q791" i="3" s="1"/>
  <c r="R791" i="3" s="1"/>
  <c r="S791" i="3" s="1"/>
  <c r="AD791" i="3"/>
  <c r="AC791" i="3"/>
  <c r="L790" i="3"/>
  <c r="U790" i="3" l="1"/>
  <c r="Y789" i="3"/>
  <c r="T791" i="3"/>
  <c r="AG791" i="3" s="1"/>
  <c r="E791" i="3" l="1"/>
  <c r="H791" i="3" s="1"/>
  <c r="K791" i="3" s="1"/>
  <c r="AE791" i="3" s="1"/>
  <c r="D791" i="3"/>
  <c r="G791" i="3" s="1"/>
  <c r="AH791" i="3"/>
  <c r="F791" i="3" l="1"/>
  <c r="V791" i="3"/>
  <c r="A792" i="3"/>
  <c r="B792" i="3" s="1"/>
  <c r="I791" i="3"/>
  <c r="J791" i="3"/>
  <c r="M791" i="3"/>
  <c r="N791" i="3" s="1"/>
  <c r="L791" i="3" l="1"/>
  <c r="AC792" i="3"/>
  <c r="AD792" i="3"/>
  <c r="Z792" i="3"/>
  <c r="AA792" i="3"/>
  <c r="P792" i="3"/>
  <c r="Q792" i="3" s="1"/>
  <c r="R792" i="3" s="1"/>
  <c r="S792" i="3" s="1"/>
  <c r="W791" i="3"/>
  <c r="T792" i="3" l="1"/>
  <c r="AG792" i="3" s="1"/>
  <c r="U791" i="3"/>
  <c r="Y790" i="3"/>
  <c r="E792" i="3" l="1"/>
  <c r="H792" i="3" s="1"/>
  <c r="K792" i="3" s="1"/>
  <c r="AE792" i="3" s="1"/>
  <c r="AH792" i="3"/>
  <c r="D792" i="3"/>
  <c r="G792" i="3" s="1"/>
  <c r="F792" i="3" l="1"/>
  <c r="V792" i="3"/>
  <c r="A793" i="3"/>
  <c r="B793" i="3" s="1"/>
  <c r="I792" i="3"/>
  <c r="J792" i="3"/>
  <c r="M792" i="3"/>
  <c r="N792" i="3" s="1"/>
  <c r="AA793" i="3" l="1"/>
  <c r="AC793" i="3"/>
  <c r="Z793" i="3"/>
  <c r="P793" i="3"/>
  <c r="Q793" i="3" s="1"/>
  <c r="R793" i="3" s="1"/>
  <c r="S793" i="3" s="1"/>
  <c r="AD793" i="3"/>
  <c r="L792" i="3"/>
  <c r="W792" i="3"/>
  <c r="T793" i="3" l="1"/>
  <c r="AH793" i="3" s="1"/>
  <c r="U792" i="3"/>
  <c r="Y791" i="3"/>
  <c r="E793" i="3" l="1"/>
  <c r="H793" i="3" s="1"/>
  <c r="K793" i="3" s="1"/>
  <c r="AE793" i="3" s="1"/>
  <c r="AG793" i="3"/>
  <c r="D793" i="3"/>
  <c r="G793" i="3" s="1"/>
  <c r="F793" i="3" l="1"/>
  <c r="I793" i="3"/>
  <c r="J793" i="3"/>
  <c r="M793" i="3"/>
  <c r="N793" i="3" s="1"/>
  <c r="V793" i="3"/>
  <c r="A794" i="3"/>
  <c r="B794" i="3" s="1"/>
  <c r="W793" i="3" l="1"/>
  <c r="P794" i="3"/>
  <c r="Q794" i="3" s="1"/>
  <c r="R794" i="3" s="1"/>
  <c r="S794" i="3" s="1"/>
  <c r="AA794" i="3"/>
  <c r="AC794" i="3"/>
  <c r="Z794" i="3"/>
  <c r="L793" i="3"/>
  <c r="U793" i="3" l="1"/>
  <c r="Y792" i="3"/>
  <c r="T794" i="3"/>
  <c r="AH794" i="3" s="1"/>
  <c r="AG794" i="3" l="1"/>
  <c r="E794" i="3"/>
  <c r="H794" i="3" s="1"/>
  <c r="D794" i="3"/>
  <c r="F794" i="3" l="1"/>
  <c r="G794" i="3"/>
  <c r="K794" i="3"/>
  <c r="AE794" i="3" s="1"/>
  <c r="V794" i="3" l="1"/>
  <c r="A795" i="3"/>
  <c r="B795" i="3" s="1"/>
  <c r="I794" i="3"/>
  <c r="J794" i="3"/>
  <c r="AD794" i="3" s="1"/>
  <c r="M794" i="3"/>
  <c r="N794" i="3" s="1"/>
  <c r="L794" i="3" l="1"/>
  <c r="W794" i="3"/>
  <c r="AD795" i="3"/>
  <c r="Z795" i="3"/>
  <c r="AA795" i="3"/>
  <c r="AC795" i="3"/>
  <c r="P795" i="3"/>
  <c r="Q795" i="3" s="1"/>
  <c r="R795" i="3" s="1"/>
  <c r="S795" i="3" s="1"/>
  <c r="T795" i="3" l="1"/>
  <c r="AH795" i="3" s="1"/>
  <c r="U794" i="3"/>
  <c r="Y793" i="3"/>
  <c r="E795" i="3" l="1"/>
  <c r="H795" i="3" s="1"/>
  <c r="K795" i="3" s="1"/>
  <c r="AE795" i="3" s="1"/>
  <c r="AG795" i="3"/>
  <c r="D795" i="3"/>
  <c r="F795" i="3" l="1"/>
  <c r="G795" i="3"/>
  <c r="I795" i="3" s="1"/>
  <c r="V795" i="3"/>
  <c r="A796" i="3"/>
  <c r="B796" i="3" s="1"/>
  <c r="M795" i="3" l="1"/>
  <c r="N795" i="3" s="1"/>
  <c r="J795" i="3"/>
  <c r="L795" i="3" s="1"/>
  <c r="AD796" i="3"/>
  <c r="AA796" i="3"/>
  <c r="AC796" i="3"/>
  <c r="Z796" i="3"/>
  <c r="P796" i="3"/>
  <c r="Q796" i="3" s="1"/>
  <c r="R796" i="3" s="1"/>
  <c r="S796" i="3" s="1"/>
  <c r="W795" i="3"/>
  <c r="T796" i="3" l="1"/>
  <c r="AG796" i="3" s="1"/>
  <c r="U795" i="3"/>
  <c r="Y794" i="3"/>
  <c r="AH796" i="3" l="1"/>
  <c r="E796" i="3"/>
  <c r="H796" i="3" s="1"/>
  <c r="D796" i="3"/>
  <c r="F796" i="3" l="1"/>
  <c r="G796" i="3"/>
  <c r="K796" i="3"/>
  <c r="AE796" i="3" s="1"/>
  <c r="V796" i="3" l="1"/>
  <c r="A797" i="3"/>
  <c r="B797" i="3" s="1"/>
  <c r="I796" i="3"/>
  <c r="J796" i="3"/>
  <c r="M796" i="3"/>
  <c r="N796" i="3" s="1"/>
  <c r="P797" i="3" l="1"/>
  <c r="Q797" i="3" s="1"/>
  <c r="R797" i="3" s="1"/>
  <c r="S797" i="3" s="1"/>
  <c r="Z797" i="3"/>
  <c r="AD797" i="3"/>
  <c r="AA797" i="3"/>
  <c r="AC797" i="3"/>
  <c r="L796" i="3"/>
  <c r="W796" i="3"/>
  <c r="U796" i="3" l="1"/>
  <c r="Y795" i="3"/>
  <c r="T797" i="3"/>
  <c r="E797" i="3" l="1"/>
  <c r="H797" i="3" s="1"/>
  <c r="K797" i="3" s="1"/>
  <c r="AE797" i="3" s="1"/>
  <c r="AG797" i="3"/>
  <c r="D797" i="3"/>
  <c r="AH797" i="3"/>
  <c r="F797" i="3" l="1"/>
  <c r="G797" i="3"/>
  <c r="V797" i="3"/>
  <c r="A798" i="3"/>
  <c r="B798" i="3" s="1"/>
  <c r="AC798" i="3" l="1"/>
  <c r="P798" i="3"/>
  <c r="Q798" i="3" s="1"/>
  <c r="R798" i="3" s="1"/>
  <c r="S798" i="3" s="1"/>
  <c r="Z798" i="3"/>
  <c r="AD798" i="3"/>
  <c r="AA798" i="3"/>
  <c r="I797" i="3"/>
  <c r="W797" i="3" s="1"/>
  <c r="J797" i="3"/>
  <c r="M797" i="3"/>
  <c r="N797" i="3" s="1"/>
  <c r="L797" i="3" l="1"/>
  <c r="T798" i="3"/>
  <c r="AH798" i="3" l="1"/>
  <c r="AG798" i="3"/>
  <c r="U797" i="3"/>
  <c r="E798" i="3" s="1"/>
  <c r="H798" i="3" s="1"/>
  <c r="Y796" i="3"/>
  <c r="D798" i="3" l="1"/>
  <c r="G798" i="3" s="1"/>
  <c r="K798" i="3"/>
  <c r="AE798" i="3" s="1"/>
  <c r="F798" i="3" l="1"/>
  <c r="I798" i="3"/>
  <c r="J798" i="3"/>
  <c r="M798" i="3"/>
  <c r="N798" i="3" s="1"/>
  <c r="V798" i="3"/>
  <c r="A799" i="3"/>
  <c r="B799" i="3" s="1"/>
  <c r="W798" i="3" l="1"/>
  <c r="AA799" i="3"/>
  <c r="AC799" i="3"/>
  <c r="AD799" i="3"/>
  <c r="Z799" i="3"/>
  <c r="P799" i="3"/>
  <c r="Q799" i="3" s="1"/>
  <c r="R799" i="3" s="1"/>
  <c r="S799" i="3" s="1"/>
  <c r="L798" i="3"/>
  <c r="T799" i="3" l="1"/>
  <c r="AH799" i="3" s="1"/>
  <c r="U798" i="3"/>
  <c r="Y797" i="3"/>
  <c r="E799" i="3" l="1"/>
  <c r="H799" i="3" s="1"/>
  <c r="K799" i="3" s="1"/>
  <c r="AE799" i="3" s="1"/>
  <c r="AG799" i="3"/>
  <c r="D799" i="3"/>
  <c r="F799" i="3" l="1"/>
  <c r="G799" i="3"/>
  <c r="I799" i="3" s="1"/>
  <c r="V799" i="3"/>
  <c r="A800" i="3"/>
  <c r="B800" i="3" s="1"/>
  <c r="M799" i="3" l="1"/>
  <c r="N799" i="3" s="1"/>
  <c r="J799" i="3"/>
  <c r="L799" i="3" s="1"/>
  <c r="AC800" i="3"/>
  <c r="Z800" i="3"/>
  <c r="AA800" i="3"/>
  <c r="AD800" i="3"/>
  <c r="P800" i="3"/>
  <c r="Q800" i="3" s="1"/>
  <c r="R800" i="3" s="1"/>
  <c r="S800" i="3" s="1"/>
  <c r="W799" i="3"/>
  <c r="T800" i="3" l="1"/>
  <c r="AG800" i="3" s="1"/>
  <c r="U799" i="3"/>
  <c r="Y798" i="3"/>
  <c r="E800" i="3" l="1"/>
  <c r="H800" i="3" s="1"/>
  <c r="K800" i="3" s="1"/>
  <c r="AE800" i="3" s="1"/>
  <c r="AH800" i="3"/>
  <c r="D800" i="3"/>
  <c r="F800" i="3" l="1"/>
  <c r="G800" i="3"/>
  <c r="V800" i="3"/>
  <c r="A801" i="3"/>
  <c r="B801" i="3" s="1"/>
  <c r="Z801" i="3" l="1"/>
  <c r="AD801" i="3"/>
  <c r="AC801" i="3"/>
  <c r="AA801" i="3"/>
  <c r="P801" i="3"/>
  <c r="Q801" i="3" s="1"/>
  <c r="R801" i="3" s="1"/>
  <c r="S801" i="3" s="1"/>
  <c r="I800" i="3"/>
  <c r="W800" i="3" s="1"/>
  <c r="J800" i="3"/>
  <c r="M800" i="3"/>
  <c r="N800" i="3" s="1"/>
  <c r="T801" i="3" l="1"/>
  <c r="L800" i="3"/>
  <c r="AG801" i="3" l="1"/>
  <c r="AH801" i="3"/>
  <c r="U800" i="3"/>
  <c r="D801" i="3" s="1"/>
  <c r="Y799" i="3"/>
  <c r="G801" i="3" l="1"/>
  <c r="E801" i="3"/>
  <c r="H801" i="3" s="1"/>
  <c r="K801" i="3" l="1"/>
  <c r="AE801" i="3" s="1"/>
  <c r="I801" i="3"/>
  <c r="J801" i="3"/>
  <c r="M801" i="3"/>
  <c r="N801" i="3" s="1"/>
  <c r="F801" i="3"/>
  <c r="L801" i="3" l="1"/>
  <c r="V801" i="3"/>
  <c r="W801" i="3" s="1"/>
  <c r="A802" i="3"/>
  <c r="B802" i="3" s="1"/>
  <c r="AC802" i="3" l="1"/>
  <c r="Z802" i="3"/>
  <c r="P802" i="3"/>
  <c r="Q802" i="3" s="1"/>
  <c r="R802" i="3" s="1"/>
  <c r="S802" i="3" s="1"/>
  <c r="AD802" i="3"/>
  <c r="AA802" i="3"/>
  <c r="U801" i="3"/>
  <c r="Y800" i="3"/>
  <c r="T802" i="3" l="1"/>
  <c r="AG802" i="3" s="1"/>
  <c r="D802" i="3" l="1"/>
  <c r="G802" i="3" s="1"/>
  <c r="E802" i="3"/>
  <c r="H802" i="3" s="1"/>
  <c r="AH802" i="3"/>
  <c r="K802" i="3" l="1"/>
  <c r="AE802" i="3" s="1"/>
  <c r="I802" i="3"/>
  <c r="J802" i="3"/>
  <c r="M802" i="3"/>
  <c r="N802" i="3" s="1"/>
  <c r="F802" i="3"/>
  <c r="L802" i="3" l="1"/>
  <c r="V802" i="3"/>
  <c r="W802" i="3" s="1"/>
  <c r="A803" i="3"/>
  <c r="B803" i="3" s="1"/>
  <c r="AC803" i="3" l="1"/>
  <c r="Z803" i="3"/>
  <c r="AD803" i="3"/>
  <c r="AA803" i="3"/>
  <c r="P803" i="3"/>
  <c r="Q803" i="3" s="1"/>
  <c r="R803" i="3" s="1"/>
  <c r="S803" i="3" s="1"/>
  <c r="U802" i="3"/>
  <c r="Y801" i="3"/>
  <c r="T803" i="3" l="1"/>
  <c r="AG803" i="3" s="1"/>
  <c r="D803" i="3" l="1"/>
  <c r="G803" i="3" s="1"/>
  <c r="E803" i="3"/>
  <c r="H803" i="3" s="1"/>
  <c r="K803" i="3" s="1"/>
  <c r="AE803" i="3" s="1"/>
  <c r="AH803" i="3"/>
  <c r="F803" i="3" l="1"/>
  <c r="V803" i="3"/>
  <c r="A804" i="3"/>
  <c r="B804" i="3" s="1"/>
  <c r="I803" i="3"/>
  <c r="J803" i="3"/>
  <c r="M803" i="3"/>
  <c r="N803" i="3" s="1"/>
  <c r="L803" i="3" l="1"/>
  <c r="P804" i="3"/>
  <c r="Q804" i="3" s="1"/>
  <c r="R804" i="3" s="1"/>
  <c r="S804" i="3" s="1"/>
  <c r="Z804" i="3"/>
  <c r="AA804" i="3"/>
  <c r="AC804" i="3"/>
  <c r="W803" i="3"/>
  <c r="U803" i="3" l="1"/>
  <c r="Y802" i="3"/>
  <c r="T804" i="3"/>
  <c r="AG804" i="3" s="1"/>
  <c r="D804" i="3" l="1"/>
  <c r="G804" i="3" s="1"/>
  <c r="AH804" i="3"/>
  <c r="E804" i="3"/>
  <c r="H804" i="3" s="1"/>
  <c r="K804" i="3" s="1"/>
  <c r="AE804" i="3" s="1"/>
  <c r="F804" i="3" l="1"/>
  <c r="V804" i="3"/>
  <c r="A805" i="3"/>
  <c r="B805" i="3" s="1"/>
  <c r="I804" i="3"/>
  <c r="J804" i="3"/>
  <c r="AD804" i="3" s="1"/>
  <c r="M804" i="3"/>
  <c r="N804" i="3" s="1"/>
  <c r="L804" i="3" l="1"/>
  <c r="P805" i="3"/>
  <c r="Q805" i="3" s="1"/>
  <c r="R805" i="3" s="1"/>
  <c r="S805" i="3" s="1"/>
  <c r="Z805" i="3"/>
  <c r="AC805" i="3"/>
  <c r="AA805" i="3"/>
  <c r="W804" i="3"/>
  <c r="U804" i="3" l="1"/>
  <c r="Y803" i="3"/>
  <c r="T805" i="3"/>
  <c r="E805" i="3" l="1"/>
  <c r="H805" i="3" s="1"/>
  <c r="K805" i="3" s="1"/>
  <c r="AE805" i="3" s="1"/>
  <c r="D805" i="3"/>
  <c r="G805" i="3" s="1"/>
  <c r="AH805" i="3"/>
  <c r="AG805" i="3"/>
  <c r="F805" i="3" l="1"/>
  <c r="I805" i="3"/>
  <c r="J805" i="3"/>
  <c r="AD805" i="3" s="1"/>
  <c r="M805" i="3"/>
  <c r="N805" i="3" s="1"/>
  <c r="V805" i="3"/>
  <c r="A806" i="3"/>
  <c r="B806" i="3" s="1"/>
  <c r="W805" i="3" l="1"/>
  <c r="Z806" i="3"/>
  <c r="AA806" i="3"/>
  <c r="AC806" i="3"/>
  <c r="P806" i="3"/>
  <c r="Q806" i="3" s="1"/>
  <c r="R806" i="3" s="1"/>
  <c r="S806" i="3" s="1"/>
  <c r="L805" i="3"/>
  <c r="T806" i="3" l="1"/>
  <c r="AG806" i="3" s="1"/>
  <c r="U805" i="3"/>
  <c r="Y804" i="3"/>
  <c r="D806" i="3" l="1"/>
  <c r="G806" i="3" s="1"/>
  <c r="AH806" i="3"/>
  <c r="E806" i="3"/>
  <c r="H806" i="3" s="1"/>
  <c r="K806" i="3" s="1"/>
  <c r="AE806" i="3" s="1"/>
  <c r="F806" i="3" l="1"/>
  <c r="I806" i="3"/>
  <c r="J806" i="3"/>
  <c r="AD806" i="3" s="1"/>
  <c r="M806" i="3"/>
  <c r="N806" i="3" s="1"/>
  <c r="V806" i="3"/>
  <c r="A807" i="3"/>
  <c r="B807" i="3" s="1"/>
  <c r="W806" i="3" l="1"/>
  <c r="AC807" i="3"/>
  <c r="Z807" i="3"/>
  <c r="AA807" i="3"/>
  <c r="P807" i="3"/>
  <c r="Q807" i="3" s="1"/>
  <c r="R807" i="3" s="1"/>
  <c r="S807" i="3" s="1"/>
  <c r="L806" i="3"/>
  <c r="T807" i="3" l="1"/>
  <c r="AG807" i="3" s="1"/>
  <c r="U806" i="3"/>
  <c r="Y805" i="3"/>
  <c r="E807" i="3" l="1"/>
  <c r="H807" i="3" s="1"/>
  <c r="K807" i="3" s="1"/>
  <c r="AE807" i="3" s="1"/>
  <c r="AH807" i="3"/>
  <c r="D807" i="3"/>
  <c r="F807" i="3" l="1"/>
  <c r="G807" i="3"/>
  <c r="I807" i="3" s="1"/>
  <c r="V807" i="3"/>
  <c r="A808" i="3"/>
  <c r="B808" i="3" s="1"/>
  <c r="M807" i="3" l="1"/>
  <c r="N807" i="3" s="1"/>
  <c r="J807" i="3"/>
  <c r="AA808" i="3"/>
  <c r="AC808" i="3"/>
  <c r="Z808" i="3"/>
  <c r="P808" i="3"/>
  <c r="Q808" i="3" s="1"/>
  <c r="R808" i="3" s="1"/>
  <c r="S808" i="3" s="1"/>
  <c r="W807" i="3"/>
  <c r="L807" i="3" l="1"/>
  <c r="U807" i="3" s="1"/>
  <c r="AD807" i="3"/>
  <c r="T808" i="3"/>
  <c r="Y806" i="3" l="1"/>
  <c r="AH808" i="3"/>
  <c r="AG808" i="3"/>
  <c r="D808" i="3"/>
  <c r="G808" i="3" s="1"/>
  <c r="E808" i="3"/>
  <c r="H808" i="3" s="1"/>
  <c r="K808" i="3" s="1"/>
  <c r="AE808" i="3" s="1"/>
  <c r="F808" i="3" l="1"/>
  <c r="V808" i="3"/>
  <c r="A809" i="3"/>
  <c r="B809" i="3" s="1"/>
  <c r="I808" i="3"/>
  <c r="J808" i="3"/>
  <c r="AD808" i="3" s="1"/>
  <c r="M808" i="3"/>
  <c r="N808" i="3" s="1"/>
  <c r="L808" i="3" l="1"/>
  <c r="AC809" i="3"/>
  <c r="Z809" i="3"/>
  <c r="AA809" i="3"/>
  <c r="P809" i="3"/>
  <c r="Q809" i="3" s="1"/>
  <c r="R809" i="3" s="1"/>
  <c r="S809" i="3" s="1"/>
  <c r="W808" i="3"/>
  <c r="T809" i="3" l="1"/>
  <c r="AH809" i="3" s="1"/>
  <c r="U808" i="3"/>
  <c r="Y807" i="3"/>
  <c r="D809" i="3" l="1"/>
  <c r="G809" i="3" s="1"/>
  <c r="AG809" i="3"/>
  <c r="E809" i="3"/>
  <c r="H809" i="3" s="1"/>
  <c r="K809" i="3" s="1"/>
  <c r="AE809" i="3" s="1"/>
  <c r="F809" i="3" l="1"/>
  <c r="V809" i="3"/>
  <c r="A810" i="3"/>
  <c r="B810" i="3" s="1"/>
  <c r="I809" i="3"/>
  <c r="J809" i="3"/>
  <c r="AD809" i="3" s="1"/>
  <c r="M809" i="3"/>
  <c r="N809" i="3" s="1"/>
  <c r="L809" i="3" l="1"/>
  <c r="P810" i="3"/>
  <c r="Q810" i="3" s="1"/>
  <c r="R810" i="3" s="1"/>
  <c r="S810" i="3" s="1"/>
  <c r="Z810" i="3"/>
  <c r="AA810" i="3"/>
  <c r="AC810" i="3"/>
  <c r="W809" i="3"/>
  <c r="T810" i="3" l="1"/>
  <c r="AH810" i="3" s="1"/>
  <c r="U809" i="3"/>
  <c r="Y808" i="3"/>
  <c r="D810" i="3" l="1"/>
  <c r="G810" i="3" s="1"/>
  <c r="AG810" i="3"/>
  <c r="E810" i="3"/>
  <c r="H810" i="3" s="1"/>
  <c r="K810" i="3" s="1"/>
  <c r="AE810" i="3" s="1"/>
  <c r="F810" i="3" l="1"/>
  <c r="V810" i="3"/>
  <c r="A811" i="3"/>
  <c r="B811" i="3" s="1"/>
  <c r="I810" i="3"/>
  <c r="J810" i="3"/>
  <c r="AD810" i="3" s="1"/>
  <c r="M810" i="3"/>
  <c r="N810" i="3" s="1"/>
  <c r="L810" i="3" l="1"/>
  <c r="P811" i="3"/>
  <c r="Q811" i="3" s="1"/>
  <c r="R811" i="3" s="1"/>
  <c r="S811" i="3" s="1"/>
  <c r="AA811" i="3"/>
  <c r="AC811" i="3"/>
  <c r="Z811" i="3"/>
  <c r="W810" i="3"/>
  <c r="T811" i="3" l="1"/>
  <c r="AH811" i="3" s="1"/>
  <c r="U810" i="3"/>
  <c r="Y809" i="3"/>
  <c r="AG811" i="3" l="1"/>
  <c r="D811" i="3"/>
  <c r="E811" i="3"/>
  <c r="H811" i="3" s="1"/>
  <c r="K811" i="3" s="1"/>
  <c r="AE811" i="3" s="1"/>
  <c r="F811" i="3" l="1"/>
  <c r="G811" i="3"/>
  <c r="I811" i="3" s="1"/>
  <c r="V811" i="3"/>
  <c r="A812" i="3"/>
  <c r="B812" i="3" s="1"/>
  <c r="M811" i="3" l="1"/>
  <c r="N811" i="3" s="1"/>
  <c r="J811" i="3"/>
  <c r="W811" i="3"/>
  <c r="AA812" i="3"/>
  <c r="Z812" i="3"/>
  <c r="P812" i="3"/>
  <c r="Q812" i="3" s="1"/>
  <c r="R812" i="3" s="1"/>
  <c r="S812" i="3" s="1"/>
  <c r="AC812" i="3"/>
  <c r="L811" i="3" l="1"/>
  <c r="U811" i="3" s="1"/>
  <c r="AD811" i="3"/>
  <c r="T812" i="3"/>
  <c r="Y810" i="3" l="1"/>
  <c r="AG812" i="3"/>
  <c r="AH812" i="3"/>
  <c r="D812" i="3"/>
  <c r="G812" i="3" s="1"/>
  <c r="E812" i="3"/>
  <c r="H812" i="3" s="1"/>
  <c r="K812" i="3" s="1"/>
  <c r="AE812" i="3" s="1"/>
  <c r="F812" i="3" l="1"/>
  <c r="I812" i="3"/>
  <c r="J812" i="3"/>
  <c r="AD812" i="3" s="1"/>
  <c r="M812" i="3"/>
  <c r="N812" i="3" s="1"/>
  <c r="V812" i="3"/>
  <c r="A813" i="3"/>
  <c r="B813" i="3" s="1"/>
  <c r="W812" i="3" l="1"/>
  <c r="AA813" i="3"/>
  <c r="Z813" i="3"/>
  <c r="AC813" i="3"/>
  <c r="P813" i="3"/>
  <c r="Q813" i="3" s="1"/>
  <c r="R813" i="3" s="1"/>
  <c r="S813" i="3" s="1"/>
  <c r="L812" i="3"/>
  <c r="T813" i="3" l="1"/>
  <c r="AG813" i="3" s="1"/>
  <c r="U812" i="3"/>
  <c r="Y811" i="3"/>
  <c r="AH813" i="3" l="1"/>
  <c r="D813" i="3"/>
  <c r="G813" i="3" s="1"/>
  <c r="E813" i="3"/>
  <c r="H813" i="3" s="1"/>
  <c r="K813" i="3" l="1"/>
  <c r="AE813" i="3" s="1"/>
  <c r="I813" i="3"/>
  <c r="J813" i="3"/>
  <c r="AD813" i="3" s="1"/>
  <c r="M813" i="3"/>
  <c r="N813" i="3" s="1"/>
  <c r="F813" i="3"/>
  <c r="L813" i="3" l="1"/>
  <c r="V813" i="3"/>
  <c r="W813" i="3" s="1"/>
  <c r="A814" i="3"/>
  <c r="B814" i="3" s="1"/>
  <c r="AA814" i="3" l="1"/>
  <c r="AC814" i="3"/>
  <c r="Z814" i="3"/>
  <c r="P814" i="3"/>
  <c r="Q814" i="3" s="1"/>
  <c r="R814" i="3" s="1"/>
  <c r="S814" i="3" s="1"/>
  <c r="U813" i="3"/>
  <c r="Y812" i="3"/>
  <c r="T814" i="3" l="1"/>
  <c r="AH814" i="3" s="1"/>
  <c r="E814" i="3" l="1"/>
  <c r="H814" i="3" s="1"/>
  <c r="K814" i="3" s="1"/>
  <c r="AE814" i="3" s="1"/>
  <c r="D814" i="3"/>
  <c r="G814" i="3" s="1"/>
  <c r="AG814" i="3"/>
  <c r="F814" i="3" l="1"/>
  <c r="I814" i="3"/>
  <c r="J814" i="3"/>
  <c r="AD814" i="3" s="1"/>
  <c r="M814" i="3"/>
  <c r="N814" i="3" s="1"/>
  <c r="V814" i="3"/>
  <c r="A815" i="3"/>
  <c r="B815" i="3" s="1"/>
  <c r="W814" i="3" l="1"/>
  <c r="Z815" i="3"/>
  <c r="AA815" i="3"/>
  <c r="P815" i="3"/>
  <c r="Q815" i="3" s="1"/>
  <c r="R815" i="3" s="1"/>
  <c r="S815" i="3" s="1"/>
  <c r="AC815" i="3"/>
  <c r="L814" i="3"/>
  <c r="U814" i="3" l="1"/>
  <c r="Y813" i="3"/>
  <c r="T815" i="3"/>
  <c r="D815" i="3" l="1"/>
  <c r="G815" i="3" s="1"/>
  <c r="AG815" i="3"/>
  <c r="E815" i="3"/>
  <c r="H815" i="3" s="1"/>
  <c r="K815" i="3" s="1"/>
  <c r="AE815" i="3" s="1"/>
  <c r="AH815" i="3"/>
  <c r="F815" i="3" l="1"/>
  <c r="V815" i="3"/>
  <c r="A816" i="3"/>
  <c r="B816" i="3" s="1"/>
  <c r="I815" i="3"/>
  <c r="J815" i="3"/>
  <c r="AD815" i="3" s="1"/>
  <c r="M815" i="3"/>
  <c r="N815" i="3" s="1"/>
  <c r="L815" i="3" l="1"/>
  <c r="W815" i="3"/>
  <c r="P816" i="3"/>
  <c r="Q816" i="3" s="1"/>
  <c r="R816" i="3" s="1"/>
  <c r="S816" i="3" s="1"/>
  <c r="Z816" i="3"/>
  <c r="AA816" i="3"/>
  <c r="AC816" i="3"/>
  <c r="T816" i="3" l="1"/>
  <c r="AG816" i="3" s="1"/>
  <c r="U815" i="3"/>
  <c r="Y814" i="3"/>
  <c r="E816" i="3" l="1"/>
  <c r="H816" i="3" s="1"/>
  <c r="K816" i="3" s="1"/>
  <c r="AE816" i="3" s="1"/>
  <c r="D816" i="3"/>
  <c r="AH816" i="3"/>
  <c r="F816" i="3" l="1"/>
  <c r="G816" i="3"/>
  <c r="J816" i="3" s="1"/>
  <c r="AD816" i="3" s="1"/>
  <c r="V816" i="3"/>
  <c r="A817" i="3"/>
  <c r="B817" i="3" s="1"/>
  <c r="I816" i="3" l="1"/>
  <c r="W816" i="3" s="1"/>
  <c r="M816" i="3"/>
  <c r="N816" i="3" s="1"/>
  <c r="AA817" i="3"/>
  <c r="AC817" i="3"/>
  <c r="P817" i="3"/>
  <c r="Q817" i="3" s="1"/>
  <c r="R817" i="3" s="1"/>
  <c r="S817" i="3" s="1"/>
  <c r="Z817" i="3"/>
  <c r="L816" i="3"/>
  <c r="T817" i="3" l="1"/>
  <c r="AG817" i="3" s="1"/>
  <c r="U816" i="3"/>
  <c r="Y815" i="3"/>
  <c r="AH817" i="3" l="1"/>
  <c r="D817" i="3"/>
  <c r="G817" i="3" s="1"/>
  <c r="E817" i="3"/>
  <c r="H817" i="3" s="1"/>
  <c r="K817" i="3" s="1"/>
  <c r="AE817" i="3" s="1"/>
  <c r="F817" i="3" l="1"/>
  <c r="V817" i="3"/>
  <c r="A818" i="3"/>
  <c r="B818" i="3" s="1"/>
  <c r="I817" i="3"/>
  <c r="J817" i="3"/>
  <c r="AD817" i="3" s="1"/>
  <c r="M817" i="3"/>
  <c r="N817" i="3" s="1"/>
  <c r="L817" i="3" l="1"/>
  <c r="Z818" i="3"/>
  <c r="AA818" i="3"/>
  <c r="AC818" i="3"/>
  <c r="P818" i="3"/>
  <c r="Q818" i="3" s="1"/>
  <c r="R818" i="3" s="1"/>
  <c r="S818" i="3" s="1"/>
  <c r="W817" i="3"/>
  <c r="T818" i="3" l="1"/>
  <c r="AG818" i="3" s="1"/>
  <c r="U817" i="3"/>
  <c r="Y816" i="3"/>
  <c r="E818" i="3" l="1"/>
  <c r="H818" i="3" s="1"/>
  <c r="K818" i="3" s="1"/>
  <c r="AE818" i="3" s="1"/>
  <c r="AH818" i="3"/>
  <c r="D818" i="3"/>
  <c r="F818" i="3" l="1"/>
  <c r="G818" i="3"/>
  <c r="J818" i="3" s="1"/>
  <c r="AD818" i="3" s="1"/>
  <c r="V818" i="3"/>
  <c r="A819" i="3"/>
  <c r="B819" i="3" s="1"/>
  <c r="I818" i="3" l="1"/>
  <c r="W818" i="3" s="1"/>
  <c r="M818" i="3"/>
  <c r="N818" i="3" s="1"/>
  <c r="L818" i="3"/>
  <c r="Z819" i="3"/>
  <c r="AA819" i="3"/>
  <c r="P819" i="3"/>
  <c r="Q819" i="3" s="1"/>
  <c r="R819" i="3" s="1"/>
  <c r="S819" i="3" s="1"/>
  <c r="AC819" i="3"/>
  <c r="U818" i="3" l="1"/>
  <c r="Y817" i="3"/>
  <c r="T819" i="3"/>
  <c r="D819" i="3" l="1"/>
  <c r="G819" i="3" s="1"/>
  <c r="E819" i="3"/>
  <c r="H819" i="3" s="1"/>
  <c r="AG819" i="3"/>
  <c r="AH819" i="3"/>
  <c r="K819" i="3" l="1"/>
  <c r="AE819" i="3" s="1"/>
  <c r="I819" i="3"/>
  <c r="J819" i="3"/>
  <c r="AD819" i="3" s="1"/>
  <c r="M819" i="3"/>
  <c r="N819" i="3" s="1"/>
  <c r="F819" i="3"/>
  <c r="L819" i="3" l="1"/>
  <c r="V819" i="3"/>
  <c r="W819" i="3" s="1"/>
  <c r="A820" i="3"/>
  <c r="B820" i="3" s="1"/>
  <c r="Z820" i="3" l="1"/>
  <c r="AA820" i="3"/>
  <c r="AC820" i="3"/>
  <c r="P820" i="3"/>
  <c r="Q820" i="3" s="1"/>
  <c r="R820" i="3" s="1"/>
  <c r="S820" i="3" s="1"/>
  <c r="U819" i="3"/>
  <c r="Y818" i="3"/>
  <c r="T820" i="3" l="1"/>
  <c r="AG820" i="3" s="1"/>
  <c r="D820" i="3" l="1"/>
  <c r="G820" i="3" s="1"/>
  <c r="E820" i="3"/>
  <c r="H820" i="3" s="1"/>
  <c r="K820" i="3" s="1"/>
  <c r="AE820" i="3" s="1"/>
  <c r="AH820" i="3"/>
  <c r="F820" i="3" l="1"/>
  <c r="I820" i="3"/>
  <c r="J820" i="3"/>
  <c r="AD820" i="3" s="1"/>
  <c r="M820" i="3"/>
  <c r="N820" i="3" s="1"/>
  <c r="V820" i="3"/>
  <c r="W820" i="3" s="1"/>
  <c r="A821" i="3"/>
  <c r="B821" i="3" s="1"/>
  <c r="L820" i="3" l="1"/>
  <c r="P821" i="3"/>
  <c r="Q821" i="3" s="1"/>
  <c r="R821" i="3" s="1"/>
  <c r="S821" i="3" s="1"/>
  <c r="AA821" i="3"/>
  <c r="AC821" i="3"/>
  <c r="Z821" i="3"/>
  <c r="T821" i="3" l="1"/>
  <c r="AH821" i="3" s="1"/>
  <c r="U820" i="3"/>
  <c r="Y819" i="3"/>
  <c r="D821" i="3" l="1"/>
  <c r="G821" i="3" s="1"/>
  <c r="AG821" i="3"/>
  <c r="E821" i="3"/>
  <c r="H821" i="3" s="1"/>
  <c r="K821" i="3" l="1"/>
  <c r="AE821" i="3" s="1"/>
  <c r="I821" i="3"/>
  <c r="J821" i="3"/>
  <c r="AD821" i="3" s="1"/>
  <c r="M821" i="3"/>
  <c r="N821" i="3" s="1"/>
  <c r="F821" i="3"/>
  <c r="L821" i="3" l="1"/>
  <c r="V821" i="3"/>
  <c r="W821" i="3" s="1"/>
  <c r="A822" i="3"/>
  <c r="B822" i="3" s="1"/>
  <c r="P822" i="3" l="1"/>
  <c r="Q822" i="3" s="1"/>
  <c r="R822" i="3" s="1"/>
  <c r="S822" i="3" s="1"/>
  <c r="AA822" i="3"/>
  <c r="Z822" i="3"/>
  <c r="AC822" i="3"/>
  <c r="U821" i="3"/>
  <c r="Y820" i="3"/>
  <c r="T822" i="3" l="1"/>
  <c r="AH822" i="3" s="1"/>
  <c r="AG822" i="3" l="1"/>
  <c r="D822" i="3"/>
  <c r="E822" i="3"/>
  <c r="H822" i="3" s="1"/>
  <c r="K822" i="3" l="1"/>
  <c r="AE822" i="3" s="1"/>
  <c r="F822" i="3"/>
  <c r="G822" i="3"/>
  <c r="I822" i="3" l="1"/>
  <c r="J822" i="3"/>
  <c r="AD822" i="3" s="1"/>
  <c r="M822" i="3"/>
  <c r="N822" i="3" s="1"/>
  <c r="V822" i="3"/>
  <c r="A823" i="3"/>
  <c r="B823" i="3" s="1"/>
  <c r="W822" i="3" l="1"/>
  <c r="AA823" i="3"/>
  <c r="Z823" i="3"/>
  <c r="P823" i="3"/>
  <c r="Q823" i="3" s="1"/>
  <c r="R823" i="3" s="1"/>
  <c r="S823" i="3" s="1"/>
  <c r="AC823" i="3"/>
  <c r="L822" i="3"/>
  <c r="T823" i="3" l="1"/>
  <c r="AH823" i="3" s="1"/>
  <c r="U822" i="3"/>
  <c r="Y821" i="3"/>
  <c r="AG823" i="3" l="1"/>
  <c r="E823" i="3"/>
  <c r="H823" i="3" s="1"/>
  <c r="K823" i="3" s="1"/>
  <c r="AE823" i="3" s="1"/>
  <c r="D823" i="3"/>
  <c r="F823" i="3" l="1"/>
  <c r="G823" i="3"/>
  <c r="I823" i="3" s="1"/>
  <c r="V823" i="3"/>
  <c r="A824" i="3"/>
  <c r="B824" i="3" s="1"/>
  <c r="J823" i="3" l="1"/>
  <c r="AD823" i="3" s="1"/>
  <c r="M823" i="3"/>
  <c r="N823" i="3" s="1"/>
  <c r="P824" i="3"/>
  <c r="Q824" i="3" s="1"/>
  <c r="R824" i="3" s="1"/>
  <c r="S824" i="3" s="1"/>
  <c r="AA824" i="3"/>
  <c r="Z824" i="3"/>
  <c r="AC824" i="3"/>
  <c r="W823" i="3"/>
  <c r="L823" i="3" l="1"/>
  <c r="U823" i="3" s="1"/>
  <c r="T824" i="3"/>
  <c r="Y822" i="3" l="1"/>
  <c r="D824" i="3"/>
  <c r="G824" i="3" s="1"/>
  <c r="AH824" i="3"/>
  <c r="E824" i="3"/>
  <c r="H824" i="3" s="1"/>
  <c r="AG824" i="3"/>
  <c r="K824" i="3" l="1"/>
  <c r="AE824" i="3" s="1"/>
  <c r="I824" i="3"/>
  <c r="J824" i="3"/>
  <c r="AD824" i="3" s="1"/>
  <c r="M824" i="3"/>
  <c r="N824" i="3" s="1"/>
  <c r="F824" i="3"/>
  <c r="L824" i="3" l="1"/>
  <c r="V824" i="3"/>
  <c r="W824" i="3" s="1"/>
  <c r="A825" i="3"/>
  <c r="B825" i="3" s="1"/>
  <c r="Z825" i="3" l="1"/>
  <c r="AA825" i="3"/>
  <c r="AD825" i="3"/>
  <c r="P825" i="3"/>
  <c r="Q825" i="3" s="1"/>
  <c r="R825" i="3" s="1"/>
  <c r="S825" i="3" s="1"/>
  <c r="AC825" i="3"/>
  <c r="U824" i="3"/>
  <c r="Y823" i="3"/>
  <c r="T825" i="3" l="1"/>
  <c r="E825" i="3" s="1"/>
  <c r="H825" i="3" s="1"/>
  <c r="D825" i="3" l="1"/>
  <c r="G825" i="3" s="1"/>
  <c r="AH825" i="3"/>
  <c r="AG825" i="3"/>
  <c r="K825" i="3"/>
  <c r="AE825" i="3" s="1"/>
  <c r="F825" i="3" l="1"/>
  <c r="V825" i="3"/>
  <c r="A826" i="3"/>
  <c r="B826" i="3" s="1"/>
  <c r="I825" i="3"/>
  <c r="J825" i="3"/>
  <c r="M825" i="3"/>
  <c r="N825" i="3" s="1"/>
  <c r="L825" i="3" l="1"/>
  <c r="AC826" i="3"/>
  <c r="P826" i="3"/>
  <c r="Q826" i="3" s="1"/>
  <c r="R826" i="3" s="1"/>
  <c r="S826" i="3" s="1"/>
  <c r="AD826" i="3"/>
  <c r="AA826" i="3"/>
  <c r="Z826" i="3"/>
  <c r="W825" i="3"/>
  <c r="T826" i="3" l="1"/>
  <c r="AH826" i="3" s="1"/>
  <c r="U825" i="3"/>
  <c r="Y824" i="3"/>
  <c r="D826" i="3" l="1"/>
  <c r="G826" i="3" s="1"/>
  <c r="AG826" i="3"/>
  <c r="E826" i="3"/>
  <c r="H826" i="3" s="1"/>
  <c r="K826" i="3" s="1"/>
  <c r="AE826" i="3" s="1"/>
  <c r="F826" i="3" l="1"/>
  <c r="I826" i="3"/>
  <c r="J826" i="3"/>
  <c r="M826" i="3"/>
  <c r="N826" i="3" s="1"/>
  <c r="V826" i="3"/>
  <c r="A827" i="3"/>
  <c r="B827" i="3" s="1"/>
  <c r="W826" i="3" l="1"/>
  <c r="Z827" i="3"/>
  <c r="AC827" i="3"/>
  <c r="AA827" i="3"/>
  <c r="AD827" i="3"/>
  <c r="P827" i="3"/>
  <c r="Q827" i="3" s="1"/>
  <c r="R827" i="3" s="1"/>
  <c r="S827" i="3" s="1"/>
  <c r="L826" i="3"/>
  <c r="T827" i="3" l="1"/>
  <c r="AH827" i="3" s="1"/>
  <c r="U826" i="3"/>
  <c r="Y825" i="3"/>
  <c r="E827" i="3" l="1"/>
  <c r="H827" i="3" s="1"/>
  <c r="K827" i="3" s="1"/>
  <c r="AE827" i="3" s="1"/>
  <c r="AG827" i="3"/>
  <c r="D827" i="3"/>
  <c r="G827" i="3" s="1"/>
  <c r="F827" i="3" l="1"/>
  <c r="I827" i="3"/>
  <c r="J827" i="3"/>
  <c r="M827" i="3"/>
  <c r="N827" i="3" s="1"/>
  <c r="V827" i="3"/>
  <c r="A828" i="3"/>
  <c r="B828" i="3" s="1"/>
  <c r="W827" i="3" l="1"/>
  <c r="AC828" i="3"/>
  <c r="Z828" i="3"/>
  <c r="AD828" i="3"/>
  <c r="P828" i="3"/>
  <c r="Q828" i="3" s="1"/>
  <c r="R828" i="3" s="1"/>
  <c r="S828" i="3" s="1"/>
  <c r="AA828" i="3"/>
  <c r="L827" i="3"/>
  <c r="T828" i="3" l="1"/>
  <c r="AH828" i="3" s="1"/>
  <c r="U827" i="3"/>
  <c r="Y826" i="3"/>
  <c r="AG828" i="3" l="1"/>
  <c r="E828" i="3"/>
  <c r="H828" i="3" s="1"/>
  <c r="K828" i="3" s="1"/>
  <c r="AE828" i="3" s="1"/>
  <c r="D828" i="3"/>
  <c r="F828" i="3" l="1"/>
  <c r="G828" i="3"/>
  <c r="M828" i="3" s="1"/>
  <c r="N828" i="3" s="1"/>
  <c r="V828" i="3"/>
  <c r="A829" i="3"/>
  <c r="B829" i="3" s="1"/>
  <c r="J828" i="3" l="1"/>
  <c r="L828" i="3" s="1"/>
  <c r="I828" i="3"/>
  <c r="W828" i="3" s="1"/>
  <c r="AD829" i="3"/>
  <c r="P829" i="3"/>
  <c r="Q829" i="3" s="1"/>
  <c r="R829" i="3" s="1"/>
  <c r="S829" i="3" s="1"/>
  <c r="AA829" i="3"/>
  <c r="Z829" i="3"/>
  <c r="AC829" i="3"/>
  <c r="U828" i="3" l="1"/>
  <c r="Y827" i="3"/>
  <c r="T829" i="3"/>
  <c r="AH829" i="3" s="1"/>
  <c r="D829" i="3" l="1"/>
  <c r="E829" i="3"/>
  <c r="H829" i="3" s="1"/>
  <c r="AG829" i="3"/>
  <c r="K829" i="3" l="1"/>
  <c r="AE829" i="3" s="1"/>
  <c r="F829" i="3"/>
  <c r="G829" i="3"/>
  <c r="I829" i="3" l="1"/>
  <c r="J829" i="3"/>
  <c r="M829" i="3"/>
  <c r="N829" i="3" s="1"/>
  <c r="V829" i="3"/>
  <c r="A830" i="3"/>
  <c r="B830" i="3" s="1"/>
  <c r="W829" i="3" l="1"/>
  <c r="AC830" i="3"/>
  <c r="AA830" i="3"/>
  <c r="Z830" i="3"/>
  <c r="P830" i="3"/>
  <c r="Q830" i="3" s="1"/>
  <c r="R830" i="3" s="1"/>
  <c r="S830" i="3" s="1"/>
  <c r="AD830" i="3"/>
  <c r="L829" i="3"/>
  <c r="T830" i="3" l="1"/>
  <c r="AG830" i="3" s="1"/>
  <c r="U829" i="3"/>
  <c r="Y828" i="3"/>
  <c r="D830" i="3" l="1"/>
  <c r="G830" i="3" s="1"/>
  <c r="AH830" i="3"/>
  <c r="E830" i="3"/>
  <c r="H830" i="3" s="1"/>
  <c r="K830" i="3" s="1"/>
  <c r="AE830" i="3" s="1"/>
  <c r="F830" i="3" l="1"/>
  <c r="V830" i="3"/>
  <c r="A831" i="3"/>
  <c r="B831" i="3" s="1"/>
  <c r="I830" i="3"/>
  <c r="J830" i="3"/>
  <c r="M830" i="3"/>
  <c r="N830" i="3" s="1"/>
  <c r="P831" i="3" l="1"/>
  <c r="Q831" i="3" s="1"/>
  <c r="R831" i="3" s="1"/>
  <c r="S831" i="3" s="1"/>
  <c r="AA831" i="3"/>
  <c r="AD831" i="3"/>
  <c r="AC831" i="3"/>
  <c r="Z831" i="3"/>
  <c r="L830" i="3"/>
  <c r="W830" i="3"/>
  <c r="U830" i="3" l="1"/>
  <c r="Y829" i="3"/>
  <c r="T831" i="3"/>
  <c r="AH831" i="3" s="1"/>
  <c r="E831" i="3" l="1"/>
  <c r="H831" i="3" s="1"/>
  <c r="K831" i="3" s="1"/>
  <c r="AE831" i="3" s="1"/>
  <c r="AG831" i="3"/>
  <c r="D831" i="3"/>
  <c r="F831" i="3" l="1"/>
  <c r="G831" i="3"/>
  <c r="V831" i="3"/>
  <c r="A832" i="3"/>
  <c r="B832" i="3" s="1"/>
  <c r="P832" i="3" l="1"/>
  <c r="Q832" i="3" s="1"/>
  <c r="R832" i="3" s="1"/>
  <c r="S832" i="3" s="1"/>
  <c r="AC832" i="3"/>
  <c r="AD832" i="3"/>
  <c r="Z832" i="3"/>
  <c r="AA832" i="3"/>
  <c r="I831" i="3"/>
  <c r="W831" i="3" s="1"/>
  <c r="J831" i="3"/>
  <c r="M831" i="3"/>
  <c r="N831" i="3" s="1"/>
  <c r="L831" i="3" l="1"/>
  <c r="T832" i="3"/>
  <c r="AH832" i="3" l="1"/>
  <c r="U831" i="3"/>
  <c r="E832" i="3" s="1"/>
  <c r="H832" i="3" s="1"/>
  <c r="AG832" i="3"/>
  <c r="Y830" i="3"/>
  <c r="K832" i="3" l="1"/>
  <c r="AE832" i="3" s="1"/>
  <c r="D832" i="3"/>
  <c r="F832" i="3" l="1"/>
  <c r="G832" i="3"/>
  <c r="V832" i="3"/>
  <c r="A833" i="3"/>
  <c r="B833" i="3" s="1"/>
  <c r="AD833" i="3" l="1"/>
  <c r="AC833" i="3"/>
  <c r="P833" i="3"/>
  <c r="Q833" i="3" s="1"/>
  <c r="R833" i="3" s="1"/>
  <c r="S833" i="3" s="1"/>
  <c r="Z833" i="3"/>
  <c r="AA833" i="3"/>
  <c r="I832" i="3"/>
  <c r="W832" i="3" s="1"/>
  <c r="J832" i="3"/>
  <c r="M832" i="3"/>
  <c r="N832" i="3" s="1"/>
  <c r="T833" i="3" l="1"/>
  <c r="L832" i="3"/>
  <c r="AH833" i="3" l="1"/>
  <c r="AG833" i="3"/>
  <c r="U832" i="3"/>
  <c r="E833" i="3" s="1"/>
  <c r="H833" i="3" s="1"/>
  <c r="Y831" i="3"/>
  <c r="D833" i="3" l="1"/>
  <c r="F833" i="3" s="1"/>
  <c r="K833" i="3"/>
  <c r="AE833" i="3" s="1"/>
  <c r="G833" i="3" l="1"/>
  <c r="I833" i="3" s="1"/>
  <c r="V833" i="3"/>
  <c r="A834" i="3"/>
  <c r="B834" i="3" s="1"/>
  <c r="M833" i="3" l="1"/>
  <c r="N833" i="3" s="1"/>
  <c r="J833" i="3"/>
  <c r="L833" i="3" s="1"/>
  <c r="W833" i="3"/>
  <c r="AA834" i="3"/>
  <c r="P834" i="3"/>
  <c r="Q834" i="3" s="1"/>
  <c r="R834" i="3" s="1"/>
  <c r="S834" i="3" s="1"/>
  <c r="Z834" i="3"/>
  <c r="AC834" i="3"/>
  <c r="U833" i="3" l="1"/>
  <c r="Y832" i="3"/>
  <c r="T834" i="3"/>
  <c r="AG834" i="3" s="1"/>
  <c r="E834" i="3" l="1"/>
  <c r="H834" i="3" s="1"/>
  <c r="K834" i="3" s="1"/>
  <c r="AE834" i="3" s="1"/>
  <c r="AH834" i="3"/>
  <c r="D834" i="3"/>
  <c r="F834" i="3" l="1"/>
  <c r="G834" i="3"/>
  <c r="I834" i="3" s="1"/>
  <c r="V834" i="3"/>
  <c r="A835" i="3"/>
  <c r="B835" i="3" s="1"/>
  <c r="M834" i="3" l="1"/>
  <c r="N834" i="3" s="1"/>
  <c r="W834" i="3"/>
  <c r="J834" i="3"/>
  <c r="AD834" i="3" s="1"/>
  <c r="AC835" i="3"/>
  <c r="Z835" i="3"/>
  <c r="AA835" i="3"/>
  <c r="P835" i="3"/>
  <c r="Q835" i="3" s="1"/>
  <c r="R835" i="3" s="1"/>
  <c r="S835" i="3" s="1"/>
  <c r="L834" i="3" l="1"/>
  <c r="U834" i="3" s="1"/>
  <c r="T835" i="3"/>
  <c r="Y833" i="3" l="1"/>
  <c r="AG835" i="3"/>
  <c r="AH835" i="3"/>
  <c r="D835" i="3"/>
  <c r="G835" i="3" s="1"/>
  <c r="E835" i="3"/>
  <c r="H835" i="3" s="1"/>
  <c r="K835" i="3" s="1"/>
  <c r="AE835" i="3" s="1"/>
  <c r="F835" i="3" l="1"/>
  <c r="I835" i="3"/>
  <c r="J835" i="3"/>
  <c r="AD835" i="3" s="1"/>
  <c r="M835" i="3"/>
  <c r="N835" i="3" s="1"/>
  <c r="V835" i="3"/>
  <c r="W835" i="3" s="1"/>
  <c r="A836" i="3"/>
  <c r="B836" i="3" s="1"/>
  <c r="AA836" i="3" l="1"/>
  <c r="Z836" i="3"/>
  <c r="AC836" i="3"/>
  <c r="P836" i="3"/>
  <c r="Q836" i="3" s="1"/>
  <c r="R836" i="3" s="1"/>
  <c r="S836" i="3" s="1"/>
  <c r="L835" i="3"/>
  <c r="T836" i="3" l="1"/>
  <c r="AH836" i="3" s="1"/>
  <c r="U835" i="3"/>
  <c r="Y834" i="3"/>
  <c r="E836" i="3" l="1"/>
  <c r="H836" i="3" s="1"/>
  <c r="K836" i="3" s="1"/>
  <c r="AE836" i="3" s="1"/>
  <c r="AG836" i="3"/>
  <c r="D836" i="3"/>
  <c r="F836" i="3" l="1"/>
  <c r="G836" i="3"/>
  <c r="I836" i="3" s="1"/>
  <c r="V836" i="3"/>
  <c r="A837" i="3"/>
  <c r="B837" i="3" s="1"/>
  <c r="M836" i="3" l="1"/>
  <c r="N836" i="3" s="1"/>
  <c r="J836" i="3"/>
  <c r="W836" i="3"/>
  <c r="P837" i="3"/>
  <c r="Q837" i="3" s="1"/>
  <c r="R837" i="3" s="1"/>
  <c r="S837" i="3" s="1"/>
  <c r="Z837" i="3"/>
  <c r="AA837" i="3"/>
  <c r="AC837" i="3"/>
  <c r="L836" i="3" l="1"/>
  <c r="Y835" i="3" s="1"/>
  <c r="AD836" i="3"/>
  <c r="T837" i="3"/>
  <c r="U836" i="3" l="1"/>
  <c r="E837" i="3" s="1"/>
  <c r="H837" i="3" s="1"/>
  <c r="K837" i="3" s="1"/>
  <c r="AE837" i="3" s="1"/>
  <c r="AG837" i="3"/>
  <c r="AH837" i="3"/>
  <c r="D837" i="3" l="1"/>
  <c r="F837" i="3" s="1"/>
  <c r="V837" i="3"/>
  <c r="A838" i="3"/>
  <c r="B838" i="3" s="1"/>
  <c r="G837" i="3" l="1"/>
  <c r="M837" i="3" s="1"/>
  <c r="N837" i="3" s="1"/>
  <c r="Z838" i="3"/>
  <c r="P838" i="3"/>
  <c r="Q838" i="3" s="1"/>
  <c r="R838" i="3" s="1"/>
  <c r="S838" i="3" s="1"/>
  <c r="AC838" i="3"/>
  <c r="AA838" i="3"/>
  <c r="J837" i="3" l="1"/>
  <c r="AD837" i="3" s="1"/>
  <c r="I837" i="3"/>
  <c r="W837" i="3" s="1"/>
  <c r="T838" i="3"/>
  <c r="L837" i="3" l="1"/>
  <c r="AH838" i="3" s="1"/>
  <c r="Y836" i="3" l="1"/>
  <c r="AG838" i="3"/>
  <c r="U837" i="3"/>
  <c r="E838" i="3" s="1"/>
  <c r="H838" i="3" s="1"/>
  <c r="K838" i="3" s="1"/>
  <c r="AE838" i="3" s="1"/>
  <c r="D838" i="3" l="1"/>
  <c r="F838" i="3" s="1"/>
  <c r="V838" i="3"/>
  <c r="A839" i="3"/>
  <c r="B839" i="3" s="1"/>
  <c r="G838" i="3" l="1"/>
  <c r="I838" i="3" s="1"/>
  <c r="W838" i="3" s="1"/>
  <c r="P839" i="3"/>
  <c r="Q839" i="3" s="1"/>
  <c r="R839" i="3" s="1"/>
  <c r="S839" i="3" s="1"/>
  <c r="AA839" i="3"/>
  <c r="Z839" i="3"/>
  <c r="AC839" i="3"/>
  <c r="J838" i="3" l="1"/>
  <c r="L838" i="3" s="1"/>
  <c r="U838" i="3" s="1"/>
  <c r="M838" i="3"/>
  <c r="N838" i="3" s="1"/>
  <c r="AD838" i="3"/>
  <c r="T839" i="3"/>
  <c r="Y837" i="3" l="1"/>
  <c r="D839" i="3"/>
  <c r="G839" i="3" s="1"/>
  <c r="AG839" i="3"/>
  <c r="E839" i="3"/>
  <c r="H839" i="3" s="1"/>
  <c r="K839" i="3" s="1"/>
  <c r="AE839" i="3" s="1"/>
  <c r="AH839" i="3"/>
  <c r="F839" i="3" l="1"/>
  <c r="V839" i="3"/>
  <c r="A840" i="3"/>
  <c r="B840" i="3" s="1"/>
  <c r="I839" i="3"/>
  <c r="J839" i="3"/>
  <c r="AD839" i="3" s="1"/>
  <c r="M839" i="3"/>
  <c r="N839" i="3" s="1"/>
  <c r="L839" i="3" l="1"/>
  <c r="Z840" i="3"/>
  <c r="P840" i="3"/>
  <c r="Q840" i="3" s="1"/>
  <c r="R840" i="3" s="1"/>
  <c r="S840" i="3" s="1"/>
  <c r="AC840" i="3"/>
  <c r="AA840" i="3"/>
  <c r="W839" i="3"/>
  <c r="T840" i="3" l="1"/>
  <c r="AG840" i="3" s="1"/>
  <c r="U839" i="3"/>
  <c r="Y838" i="3"/>
  <c r="E840" i="3" l="1"/>
  <c r="H840" i="3" s="1"/>
  <c r="K840" i="3" s="1"/>
  <c r="AE840" i="3" s="1"/>
  <c r="AH840" i="3"/>
  <c r="D840" i="3"/>
  <c r="F840" i="3" l="1"/>
  <c r="G840" i="3"/>
  <c r="I840" i="3" s="1"/>
  <c r="V840" i="3"/>
  <c r="A841" i="3"/>
  <c r="B841" i="3" s="1"/>
  <c r="M840" i="3" l="1"/>
  <c r="N840" i="3" s="1"/>
  <c r="J840" i="3"/>
  <c r="AD840" i="3" s="1"/>
  <c r="P841" i="3"/>
  <c r="Q841" i="3" s="1"/>
  <c r="R841" i="3" s="1"/>
  <c r="S841" i="3" s="1"/>
  <c r="Z841" i="3"/>
  <c r="AC841" i="3"/>
  <c r="AA841" i="3"/>
  <c r="W840" i="3"/>
  <c r="L840" i="3" l="1"/>
  <c r="U840" i="3" s="1"/>
  <c r="T841" i="3"/>
  <c r="Y839" i="3" l="1"/>
  <c r="AG841" i="3"/>
  <c r="AH841" i="3"/>
  <c r="E841" i="3"/>
  <c r="H841" i="3" s="1"/>
  <c r="K841" i="3" s="1"/>
  <c r="AE841" i="3" s="1"/>
  <c r="D841" i="3"/>
  <c r="G841" i="3" s="1"/>
  <c r="F841" i="3" l="1"/>
  <c r="V841" i="3"/>
  <c r="A842" i="3"/>
  <c r="B842" i="3" s="1"/>
  <c r="I841" i="3"/>
  <c r="J841" i="3"/>
  <c r="AD841" i="3" s="1"/>
  <c r="M841" i="3"/>
  <c r="N841" i="3" s="1"/>
  <c r="L841" i="3" l="1"/>
  <c r="AA842" i="3"/>
  <c r="P842" i="3"/>
  <c r="Q842" i="3" s="1"/>
  <c r="R842" i="3" s="1"/>
  <c r="S842" i="3" s="1"/>
  <c r="Z842" i="3"/>
  <c r="AC842" i="3"/>
  <c r="W841" i="3"/>
  <c r="T842" i="3" l="1"/>
  <c r="AG842" i="3" s="1"/>
  <c r="U841" i="3"/>
  <c r="Y840" i="3"/>
  <c r="D842" i="3" l="1"/>
  <c r="G842" i="3" s="1"/>
  <c r="AH842" i="3"/>
  <c r="E842" i="3"/>
  <c r="H842" i="3" s="1"/>
  <c r="K842" i="3" s="1"/>
  <c r="AE842" i="3" s="1"/>
  <c r="F842" i="3" l="1"/>
  <c r="V842" i="3"/>
  <c r="A843" i="3"/>
  <c r="B843" i="3" s="1"/>
  <c r="I842" i="3"/>
  <c r="J842" i="3"/>
  <c r="AD842" i="3" s="1"/>
  <c r="M842" i="3"/>
  <c r="N842" i="3" s="1"/>
  <c r="L842" i="3" l="1"/>
  <c r="W842" i="3"/>
  <c r="AA843" i="3"/>
  <c r="AC843" i="3"/>
  <c r="Z843" i="3"/>
  <c r="P843" i="3"/>
  <c r="Q843" i="3" s="1"/>
  <c r="R843" i="3" s="1"/>
  <c r="S843" i="3" s="1"/>
  <c r="T843" i="3" l="1"/>
  <c r="AH843" i="3" s="1"/>
  <c r="U842" i="3"/>
  <c r="Y841" i="3"/>
  <c r="D843" i="3" l="1"/>
  <c r="G843" i="3" s="1"/>
  <c r="AG843" i="3"/>
  <c r="E843" i="3"/>
  <c r="H843" i="3" s="1"/>
  <c r="K843" i="3" l="1"/>
  <c r="AE843" i="3" s="1"/>
  <c r="I843" i="3"/>
  <c r="J843" i="3"/>
  <c r="AD843" i="3" s="1"/>
  <c r="M843" i="3"/>
  <c r="N843" i="3" s="1"/>
  <c r="F843" i="3"/>
  <c r="L843" i="3" l="1"/>
  <c r="V843" i="3"/>
  <c r="W843" i="3" s="1"/>
  <c r="A844" i="3"/>
  <c r="B844" i="3" s="1"/>
  <c r="P844" i="3" l="1"/>
  <c r="Q844" i="3" s="1"/>
  <c r="R844" i="3" s="1"/>
  <c r="S844" i="3" s="1"/>
  <c r="Z844" i="3"/>
  <c r="AA844" i="3"/>
  <c r="AC844" i="3"/>
  <c r="U843" i="3"/>
  <c r="Y842" i="3"/>
  <c r="T844" i="3" l="1"/>
  <c r="E844" i="3" l="1"/>
  <c r="H844" i="3" s="1"/>
  <c r="AH844" i="3"/>
  <c r="AG844" i="3"/>
  <c r="D844" i="3"/>
  <c r="F844" i="3" l="1"/>
  <c r="G844" i="3"/>
  <c r="K844" i="3"/>
  <c r="AE844" i="3" s="1"/>
  <c r="V844" i="3" l="1"/>
  <c r="A845" i="3"/>
  <c r="B845" i="3" s="1"/>
  <c r="I844" i="3"/>
  <c r="J844" i="3"/>
  <c r="AD844" i="3" s="1"/>
  <c r="M844" i="3"/>
  <c r="N844" i="3" s="1"/>
  <c r="L844" i="3" l="1"/>
  <c r="AA845" i="3"/>
  <c r="Z845" i="3"/>
  <c r="P845" i="3"/>
  <c r="Q845" i="3" s="1"/>
  <c r="R845" i="3" s="1"/>
  <c r="S845" i="3" s="1"/>
  <c r="AC845" i="3"/>
  <c r="W844" i="3"/>
  <c r="T845" i="3" l="1"/>
  <c r="AG845" i="3" s="1"/>
  <c r="U844" i="3"/>
  <c r="Y843" i="3"/>
  <c r="D845" i="3" l="1"/>
  <c r="G845" i="3" s="1"/>
  <c r="E845" i="3"/>
  <c r="H845" i="3" s="1"/>
  <c r="K845" i="3" s="1"/>
  <c r="AE845" i="3" s="1"/>
  <c r="AH845" i="3"/>
  <c r="F845" i="3" l="1"/>
  <c r="I845" i="3"/>
  <c r="J845" i="3"/>
  <c r="AD845" i="3" s="1"/>
  <c r="M845" i="3"/>
  <c r="N845" i="3" s="1"/>
  <c r="V845" i="3"/>
  <c r="A846" i="3"/>
  <c r="B846" i="3" s="1"/>
  <c r="W845" i="3" l="1"/>
  <c r="AC846" i="3"/>
  <c r="AA846" i="3"/>
  <c r="P846" i="3"/>
  <c r="Q846" i="3" s="1"/>
  <c r="R846" i="3" s="1"/>
  <c r="S846" i="3" s="1"/>
  <c r="Z846" i="3"/>
  <c r="L845" i="3"/>
  <c r="T846" i="3" l="1"/>
  <c r="AG846" i="3" s="1"/>
  <c r="U845" i="3"/>
  <c r="Y844" i="3"/>
  <c r="AH846" i="3" l="1"/>
  <c r="E846" i="3"/>
  <c r="H846" i="3" s="1"/>
  <c r="K846" i="3" s="1"/>
  <c r="AE846" i="3" s="1"/>
  <c r="D846" i="3"/>
  <c r="F846" i="3" l="1"/>
  <c r="G846" i="3"/>
  <c r="I846" i="3" s="1"/>
  <c r="V846" i="3"/>
  <c r="A847" i="3"/>
  <c r="B847" i="3" s="1"/>
  <c r="M846" i="3" l="1"/>
  <c r="N846" i="3" s="1"/>
  <c r="J846" i="3"/>
  <c r="P847" i="3"/>
  <c r="Q847" i="3" s="1"/>
  <c r="R847" i="3" s="1"/>
  <c r="S847" i="3" s="1"/>
  <c r="Z847" i="3"/>
  <c r="AC847" i="3"/>
  <c r="AA847" i="3"/>
  <c r="W846" i="3"/>
  <c r="L846" i="3" l="1"/>
  <c r="U846" i="3" s="1"/>
  <c r="AD846" i="3"/>
  <c r="T847" i="3"/>
  <c r="Y845" i="3" l="1"/>
  <c r="AG847" i="3"/>
  <c r="D847" i="3"/>
  <c r="G847" i="3" s="1"/>
  <c r="AH847" i="3"/>
  <c r="E847" i="3"/>
  <c r="H847" i="3" s="1"/>
  <c r="K847" i="3" s="1"/>
  <c r="AE847" i="3" s="1"/>
  <c r="F847" i="3" l="1"/>
  <c r="I847" i="3"/>
  <c r="J847" i="3"/>
  <c r="AD847" i="3" s="1"/>
  <c r="M847" i="3"/>
  <c r="N847" i="3" s="1"/>
  <c r="V847" i="3"/>
  <c r="A848" i="3"/>
  <c r="B848" i="3" s="1"/>
  <c r="W847" i="3" l="1"/>
  <c r="AC848" i="3"/>
  <c r="AA848" i="3"/>
  <c r="P848" i="3"/>
  <c r="Q848" i="3" s="1"/>
  <c r="R848" i="3" s="1"/>
  <c r="S848" i="3" s="1"/>
  <c r="Z848" i="3"/>
  <c r="L847" i="3"/>
  <c r="T848" i="3" l="1"/>
  <c r="AG848" i="3" s="1"/>
  <c r="U847" i="3"/>
  <c r="Y846" i="3"/>
  <c r="D848" i="3" l="1"/>
  <c r="G848" i="3" s="1"/>
  <c r="AH848" i="3"/>
  <c r="E848" i="3"/>
  <c r="H848" i="3" s="1"/>
  <c r="K848" i="3" s="1"/>
  <c r="AE848" i="3" s="1"/>
  <c r="F848" i="3" l="1"/>
  <c r="V848" i="3"/>
  <c r="A849" i="3"/>
  <c r="B849" i="3" s="1"/>
  <c r="I848" i="3"/>
  <c r="J848" i="3"/>
  <c r="AD848" i="3" s="1"/>
  <c r="M848" i="3"/>
  <c r="N848" i="3" s="1"/>
  <c r="Z849" i="3" l="1"/>
  <c r="AA849" i="3"/>
  <c r="AC849" i="3"/>
  <c r="P849" i="3"/>
  <c r="Q849" i="3" s="1"/>
  <c r="R849" i="3" s="1"/>
  <c r="S849" i="3" s="1"/>
  <c r="L848" i="3"/>
  <c r="W848" i="3"/>
  <c r="U848" i="3" l="1"/>
  <c r="Y847" i="3"/>
  <c r="T849" i="3"/>
  <c r="AH849" i="3" s="1"/>
  <c r="E849" i="3" l="1"/>
  <c r="H849" i="3" s="1"/>
  <c r="AG849" i="3"/>
  <c r="D849" i="3"/>
  <c r="F849" i="3" l="1"/>
  <c r="G849" i="3"/>
  <c r="K849" i="3"/>
  <c r="AE849" i="3" s="1"/>
  <c r="V849" i="3" l="1"/>
  <c r="A850" i="3"/>
  <c r="B850" i="3" s="1"/>
  <c r="I849" i="3"/>
  <c r="J849" i="3"/>
  <c r="AD849" i="3" s="1"/>
  <c r="M849" i="3"/>
  <c r="N849" i="3" s="1"/>
  <c r="L849" i="3" l="1"/>
  <c r="P850" i="3"/>
  <c r="Q850" i="3" s="1"/>
  <c r="R850" i="3" s="1"/>
  <c r="S850" i="3" s="1"/>
  <c r="AC850" i="3"/>
  <c r="Z850" i="3"/>
  <c r="AA850" i="3"/>
  <c r="W849" i="3"/>
  <c r="T850" i="3" l="1"/>
  <c r="AH850" i="3" s="1"/>
  <c r="U849" i="3"/>
  <c r="Y848" i="3"/>
  <c r="E850" i="3" l="1"/>
  <c r="H850" i="3" s="1"/>
  <c r="K850" i="3" s="1"/>
  <c r="AE850" i="3" s="1"/>
  <c r="AG850" i="3"/>
  <c r="D850" i="3"/>
  <c r="V850" i="3" l="1"/>
  <c r="A851" i="3"/>
  <c r="B851" i="3" s="1"/>
  <c r="F850" i="3"/>
  <c r="G850" i="3"/>
  <c r="I850" i="3" l="1"/>
  <c r="W850" i="3" s="1"/>
  <c r="J850" i="3"/>
  <c r="AD850" i="3" s="1"/>
  <c r="M850" i="3"/>
  <c r="N850" i="3" s="1"/>
  <c r="AC851" i="3"/>
  <c r="AA851" i="3"/>
  <c r="P851" i="3"/>
  <c r="Q851" i="3" s="1"/>
  <c r="R851" i="3" s="1"/>
  <c r="S851" i="3" s="1"/>
  <c r="Z851" i="3"/>
  <c r="L850" i="3" l="1"/>
  <c r="T851" i="3"/>
  <c r="AG851" i="3" l="1"/>
  <c r="AH851" i="3"/>
  <c r="U850" i="3"/>
  <c r="E851" i="3" s="1"/>
  <c r="H851" i="3" s="1"/>
  <c r="Y849" i="3"/>
  <c r="D851" i="3" l="1"/>
  <c r="F851" i="3" s="1"/>
  <c r="K851" i="3"/>
  <c r="AE851" i="3" s="1"/>
  <c r="G851" i="3" l="1"/>
  <c r="I851" i="3" s="1"/>
  <c r="V851" i="3"/>
  <c r="A852" i="3"/>
  <c r="B852" i="3" s="1"/>
  <c r="M851" i="3" l="1"/>
  <c r="N851" i="3" s="1"/>
  <c r="J851" i="3"/>
  <c r="W851" i="3"/>
  <c r="AC852" i="3"/>
  <c r="P852" i="3"/>
  <c r="Q852" i="3" s="1"/>
  <c r="R852" i="3" s="1"/>
  <c r="S852" i="3" s="1"/>
  <c r="Z852" i="3"/>
  <c r="AA852" i="3"/>
  <c r="L851" i="3" l="1"/>
  <c r="U851" i="3" s="1"/>
  <c r="AD851" i="3"/>
  <c r="T852" i="3"/>
  <c r="Y850" i="3" l="1"/>
  <c r="AH852" i="3"/>
  <c r="AG852" i="3"/>
  <c r="E852" i="3"/>
  <c r="H852" i="3" s="1"/>
  <c r="K852" i="3" s="1"/>
  <c r="AE852" i="3" s="1"/>
  <c r="D852" i="3"/>
  <c r="F852" i="3" l="1"/>
  <c r="G852" i="3"/>
  <c r="I852" i="3" s="1"/>
  <c r="V852" i="3"/>
  <c r="A853" i="3"/>
  <c r="B853" i="3" s="1"/>
  <c r="M852" i="3" l="1"/>
  <c r="N852" i="3" s="1"/>
  <c r="J852" i="3"/>
  <c r="W852" i="3"/>
  <c r="AC853" i="3"/>
  <c r="Z853" i="3"/>
  <c r="P853" i="3"/>
  <c r="Q853" i="3" s="1"/>
  <c r="R853" i="3" s="1"/>
  <c r="S853" i="3" s="1"/>
  <c r="AA853" i="3"/>
  <c r="L852" i="3" l="1"/>
  <c r="U852" i="3" s="1"/>
  <c r="AD852" i="3"/>
  <c r="T853" i="3"/>
  <c r="Y851" i="3" l="1"/>
  <c r="AH853" i="3"/>
  <c r="AG853" i="3"/>
  <c r="E853" i="3"/>
  <c r="H853" i="3" s="1"/>
  <c r="K853" i="3" s="1"/>
  <c r="AE853" i="3" s="1"/>
  <c r="D853" i="3"/>
  <c r="F853" i="3" l="1"/>
  <c r="G853" i="3"/>
  <c r="I853" i="3" s="1"/>
  <c r="V853" i="3"/>
  <c r="A854" i="3"/>
  <c r="B854" i="3" s="1"/>
  <c r="M853" i="3" l="1"/>
  <c r="N853" i="3" s="1"/>
  <c r="J853" i="3"/>
  <c r="W853" i="3"/>
  <c r="Z854" i="3"/>
  <c r="P854" i="3"/>
  <c r="Q854" i="3" s="1"/>
  <c r="R854" i="3" s="1"/>
  <c r="S854" i="3" s="1"/>
  <c r="AA854" i="3"/>
  <c r="AC854" i="3"/>
  <c r="L853" i="3" l="1"/>
  <c r="U853" i="3" s="1"/>
  <c r="AD853" i="3"/>
  <c r="T854" i="3"/>
  <c r="Y852" i="3" l="1"/>
  <c r="AG854" i="3"/>
  <c r="AH854" i="3"/>
  <c r="D854" i="3"/>
  <c r="G854" i="3" s="1"/>
  <c r="E854" i="3"/>
  <c r="H854" i="3" s="1"/>
  <c r="K854" i="3" s="1"/>
  <c r="AE854" i="3" s="1"/>
  <c r="F854" i="3" l="1"/>
  <c r="I854" i="3"/>
  <c r="J854" i="3"/>
  <c r="AD854" i="3" s="1"/>
  <c r="M854" i="3"/>
  <c r="N854" i="3" s="1"/>
  <c r="V854" i="3"/>
  <c r="A855" i="3"/>
  <c r="B855" i="3" s="1"/>
  <c r="W854" i="3" l="1"/>
  <c r="P855" i="3"/>
  <c r="Q855" i="3" s="1"/>
  <c r="R855" i="3" s="1"/>
  <c r="S855" i="3" s="1"/>
  <c r="AA855" i="3"/>
  <c r="AC855" i="3"/>
  <c r="Z855" i="3"/>
  <c r="L854" i="3"/>
  <c r="U854" i="3" l="1"/>
  <c r="Y853" i="3"/>
  <c r="T855" i="3"/>
  <c r="AH855" i="3" s="1"/>
  <c r="AG855" i="3" l="1"/>
  <c r="D855" i="3"/>
  <c r="E855" i="3"/>
  <c r="H855" i="3" s="1"/>
  <c r="F855" i="3" l="1"/>
  <c r="G855" i="3"/>
  <c r="K855" i="3"/>
  <c r="AE855" i="3" s="1"/>
  <c r="V855" i="3" l="1"/>
  <c r="A856" i="3"/>
  <c r="B856" i="3" s="1"/>
  <c r="I855" i="3"/>
  <c r="J855" i="3"/>
  <c r="AD855" i="3" s="1"/>
  <c r="M855" i="3"/>
  <c r="N855" i="3" s="1"/>
  <c r="L855" i="3" l="1"/>
  <c r="AA856" i="3"/>
  <c r="Z856" i="3"/>
  <c r="AC856" i="3"/>
  <c r="P856" i="3"/>
  <c r="Q856" i="3" s="1"/>
  <c r="R856" i="3" s="1"/>
  <c r="S856" i="3" s="1"/>
  <c r="W855" i="3"/>
  <c r="T856" i="3" l="1"/>
  <c r="AG856" i="3" s="1"/>
  <c r="U855" i="3"/>
  <c r="Y854" i="3"/>
  <c r="E856" i="3" l="1"/>
  <c r="H856" i="3" s="1"/>
  <c r="K856" i="3" s="1"/>
  <c r="AE856" i="3" s="1"/>
  <c r="AH856" i="3"/>
  <c r="D856" i="3"/>
  <c r="F856" i="3" l="1"/>
  <c r="G856" i="3"/>
  <c r="V856" i="3"/>
  <c r="A857" i="3"/>
  <c r="B857" i="3" s="1"/>
  <c r="AC857" i="3" l="1"/>
  <c r="Z857" i="3"/>
  <c r="AA857" i="3"/>
  <c r="P857" i="3"/>
  <c r="Q857" i="3" s="1"/>
  <c r="R857" i="3" s="1"/>
  <c r="S857" i="3" s="1"/>
  <c r="I856" i="3"/>
  <c r="W856" i="3" s="1"/>
  <c r="J856" i="3"/>
  <c r="AD856" i="3" s="1"/>
  <c r="M856" i="3"/>
  <c r="N856" i="3" s="1"/>
  <c r="T857" i="3" l="1"/>
  <c r="L856" i="3"/>
  <c r="U856" i="3" l="1"/>
  <c r="E857" i="3" s="1"/>
  <c r="H857" i="3" s="1"/>
  <c r="AH857" i="3"/>
  <c r="AG857" i="3"/>
  <c r="Y855" i="3"/>
  <c r="D857" i="3" l="1"/>
  <c r="F857" i="3" s="1"/>
  <c r="K857" i="3"/>
  <c r="AE857" i="3" s="1"/>
  <c r="G857" i="3" l="1"/>
  <c r="M857" i="3" s="1"/>
  <c r="N857" i="3" s="1"/>
  <c r="V857" i="3"/>
  <c r="A858" i="3"/>
  <c r="B858" i="3" s="1"/>
  <c r="J857" i="3" l="1"/>
  <c r="I857" i="3"/>
  <c r="W857" i="3" s="1"/>
  <c r="Z858" i="3"/>
  <c r="AA858" i="3"/>
  <c r="P858" i="3"/>
  <c r="Q858" i="3" s="1"/>
  <c r="R858" i="3" s="1"/>
  <c r="S858" i="3" s="1"/>
  <c r="AC858" i="3"/>
  <c r="L857" i="3" l="1"/>
  <c r="U857" i="3" s="1"/>
  <c r="AD857" i="3"/>
  <c r="T858" i="3"/>
  <c r="AG858" i="3" l="1"/>
  <c r="Y856" i="3"/>
  <c r="D858" i="3"/>
  <c r="G858" i="3" s="1"/>
  <c r="AH858" i="3"/>
  <c r="E858" i="3"/>
  <c r="H858" i="3" s="1"/>
  <c r="K858" i="3" s="1"/>
  <c r="AE858" i="3" s="1"/>
  <c r="F858" i="3" l="1"/>
  <c r="I858" i="3"/>
  <c r="J858" i="3"/>
  <c r="AD858" i="3" s="1"/>
  <c r="M858" i="3"/>
  <c r="N858" i="3" s="1"/>
  <c r="V858" i="3"/>
  <c r="A859" i="3"/>
  <c r="B859" i="3" s="1"/>
  <c r="W858" i="3" l="1"/>
  <c r="Z859" i="3"/>
  <c r="AC859" i="3"/>
  <c r="P859" i="3"/>
  <c r="Q859" i="3" s="1"/>
  <c r="R859" i="3" s="1"/>
  <c r="S859" i="3" s="1"/>
  <c r="AA859" i="3"/>
  <c r="L858" i="3"/>
  <c r="T859" i="3" l="1"/>
  <c r="AG859" i="3" s="1"/>
  <c r="U858" i="3"/>
  <c r="Y857" i="3"/>
  <c r="D859" i="3" l="1"/>
  <c r="G859" i="3" s="1"/>
  <c r="AH859" i="3"/>
  <c r="E859" i="3"/>
  <c r="H859" i="3" s="1"/>
  <c r="K859" i="3" s="1"/>
  <c r="AE859" i="3" s="1"/>
  <c r="F859" i="3" l="1"/>
  <c r="V859" i="3"/>
  <c r="A860" i="3"/>
  <c r="B860" i="3" s="1"/>
  <c r="I859" i="3"/>
  <c r="J859" i="3"/>
  <c r="AD859" i="3" s="1"/>
  <c r="M859" i="3"/>
  <c r="N859" i="3" s="1"/>
  <c r="P860" i="3" l="1"/>
  <c r="Q860" i="3" s="1"/>
  <c r="R860" i="3" s="1"/>
  <c r="S860" i="3" s="1"/>
  <c r="Z860" i="3"/>
  <c r="AA860" i="3"/>
  <c r="AC860" i="3"/>
  <c r="L859" i="3"/>
  <c r="W859" i="3"/>
  <c r="U859" i="3" l="1"/>
  <c r="Y858" i="3"/>
  <c r="T860" i="3"/>
  <c r="AH860" i="3" s="1"/>
  <c r="D860" i="3" l="1"/>
  <c r="E860" i="3"/>
  <c r="H860" i="3" s="1"/>
  <c r="AG860" i="3"/>
  <c r="K860" i="3" l="1"/>
  <c r="AE860" i="3" s="1"/>
  <c r="F860" i="3"/>
  <c r="G860" i="3"/>
  <c r="I860" i="3" l="1"/>
  <c r="J860" i="3"/>
  <c r="AD860" i="3" s="1"/>
  <c r="M860" i="3"/>
  <c r="N860" i="3" s="1"/>
  <c r="V860" i="3"/>
  <c r="A861" i="3"/>
  <c r="B861" i="3" s="1"/>
  <c r="W860" i="3" l="1"/>
  <c r="AA861" i="3"/>
  <c r="Z861" i="3"/>
  <c r="AC861" i="3"/>
  <c r="P861" i="3"/>
  <c r="Q861" i="3" s="1"/>
  <c r="R861" i="3" s="1"/>
  <c r="S861" i="3" s="1"/>
  <c r="L860" i="3"/>
  <c r="T861" i="3" l="1"/>
  <c r="AG861" i="3" s="1"/>
  <c r="U860" i="3"/>
  <c r="Y859" i="3"/>
  <c r="D861" i="3" l="1"/>
  <c r="G861" i="3" s="1"/>
  <c r="E861" i="3"/>
  <c r="H861" i="3" s="1"/>
  <c r="K861" i="3" s="1"/>
  <c r="AE861" i="3" s="1"/>
  <c r="AH861" i="3"/>
  <c r="F861" i="3" l="1"/>
  <c r="I861" i="3"/>
  <c r="J861" i="3"/>
  <c r="AD861" i="3" s="1"/>
  <c r="M861" i="3"/>
  <c r="N861" i="3" s="1"/>
  <c r="V861" i="3"/>
  <c r="A862" i="3"/>
  <c r="B862" i="3" s="1"/>
  <c r="W861" i="3" l="1"/>
  <c r="Z862" i="3"/>
  <c r="AC862" i="3"/>
  <c r="AA862" i="3"/>
  <c r="P862" i="3"/>
  <c r="Q862" i="3" s="1"/>
  <c r="R862" i="3" s="1"/>
  <c r="S862" i="3" s="1"/>
  <c r="L861" i="3"/>
  <c r="T862" i="3" l="1"/>
  <c r="AG862" i="3" s="1"/>
  <c r="U861" i="3"/>
  <c r="Y860" i="3"/>
  <c r="AH862" i="3" l="1"/>
  <c r="D862" i="3"/>
  <c r="E862" i="3"/>
  <c r="H862" i="3" s="1"/>
  <c r="K862" i="3" s="1"/>
  <c r="AE862" i="3" s="1"/>
  <c r="F862" i="3" l="1"/>
  <c r="G862" i="3"/>
  <c r="I862" i="3" s="1"/>
  <c r="V862" i="3"/>
  <c r="A863" i="3"/>
  <c r="B863" i="3" s="1"/>
  <c r="W862" i="3" l="1"/>
  <c r="M862" i="3"/>
  <c r="N862" i="3" s="1"/>
  <c r="J862" i="3"/>
  <c r="AC863" i="3"/>
  <c r="Z863" i="3"/>
  <c r="P863" i="3"/>
  <c r="Q863" i="3" s="1"/>
  <c r="R863" i="3" s="1"/>
  <c r="S863" i="3" s="1"/>
  <c r="AA863" i="3"/>
  <c r="L862" i="3" l="1"/>
  <c r="U862" i="3" s="1"/>
  <c r="AD862" i="3"/>
  <c r="T863" i="3"/>
  <c r="AG863" i="3" l="1"/>
  <c r="Y861" i="3"/>
  <c r="AH863" i="3"/>
  <c r="E863" i="3"/>
  <c r="H863" i="3" s="1"/>
  <c r="K863" i="3" s="1"/>
  <c r="AE863" i="3" s="1"/>
  <c r="D863" i="3"/>
  <c r="F863" i="3" l="1"/>
  <c r="G863" i="3"/>
  <c r="I863" i="3" s="1"/>
  <c r="V863" i="3"/>
  <c r="A864" i="3"/>
  <c r="B864" i="3" s="1"/>
  <c r="M863" i="3" l="1"/>
  <c r="N863" i="3" s="1"/>
  <c r="J863" i="3"/>
  <c r="W863" i="3"/>
  <c r="AC864" i="3"/>
  <c r="AA864" i="3"/>
  <c r="Z864" i="3"/>
  <c r="P864" i="3"/>
  <c r="Q864" i="3" s="1"/>
  <c r="R864" i="3" s="1"/>
  <c r="S864" i="3" s="1"/>
  <c r="L863" i="3" l="1"/>
  <c r="U863" i="3" s="1"/>
  <c r="AD863" i="3"/>
  <c r="T864" i="3"/>
  <c r="AH864" i="3" l="1"/>
  <c r="Y862" i="3"/>
  <c r="AG864" i="3"/>
  <c r="E864" i="3"/>
  <c r="H864" i="3" s="1"/>
  <c r="K864" i="3" s="1"/>
  <c r="AE864" i="3" s="1"/>
  <c r="D864" i="3"/>
  <c r="F864" i="3" l="1"/>
  <c r="G864" i="3"/>
  <c r="I864" i="3" s="1"/>
  <c r="V864" i="3"/>
  <c r="A865" i="3"/>
  <c r="B865" i="3" s="1"/>
  <c r="M864" i="3" l="1"/>
  <c r="N864" i="3" s="1"/>
  <c r="J864" i="3"/>
  <c r="AC865" i="3"/>
  <c r="Z865" i="3"/>
  <c r="AA865" i="3"/>
  <c r="P865" i="3"/>
  <c r="Q865" i="3" s="1"/>
  <c r="R865" i="3" s="1"/>
  <c r="S865" i="3" s="1"/>
  <c r="W864" i="3"/>
  <c r="L864" i="3" l="1"/>
  <c r="U864" i="3" s="1"/>
  <c r="AD864" i="3"/>
  <c r="T865" i="3"/>
  <c r="Y863" i="3" l="1"/>
  <c r="AG865" i="3"/>
  <c r="D865" i="3"/>
  <c r="G865" i="3" s="1"/>
  <c r="AH865" i="3"/>
  <c r="E865" i="3"/>
  <c r="H865" i="3" s="1"/>
  <c r="K865" i="3" s="1"/>
  <c r="AE865" i="3" s="1"/>
  <c r="F865" i="3" l="1"/>
  <c r="V865" i="3"/>
  <c r="A866" i="3"/>
  <c r="B866" i="3" s="1"/>
  <c r="I865" i="3"/>
  <c r="J865" i="3"/>
  <c r="AD865" i="3" s="1"/>
  <c r="M865" i="3"/>
  <c r="N865" i="3" s="1"/>
  <c r="L865" i="3" l="1"/>
  <c r="AC866" i="3"/>
  <c r="P866" i="3"/>
  <c r="Q866" i="3" s="1"/>
  <c r="R866" i="3" s="1"/>
  <c r="S866" i="3" s="1"/>
  <c r="AA866" i="3"/>
  <c r="Z866" i="3"/>
  <c r="W865" i="3"/>
  <c r="T866" i="3" l="1"/>
  <c r="AG866" i="3" s="1"/>
  <c r="U865" i="3"/>
  <c r="Y864" i="3"/>
  <c r="E866" i="3" l="1"/>
  <c r="H866" i="3" s="1"/>
  <c r="K866" i="3" s="1"/>
  <c r="AE866" i="3" s="1"/>
  <c r="AH866" i="3"/>
  <c r="D866" i="3"/>
  <c r="F866" i="3" l="1"/>
  <c r="G866" i="3"/>
  <c r="I866" i="3" s="1"/>
  <c r="V866" i="3"/>
  <c r="A867" i="3"/>
  <c r="B867" i="3" s="1"/>
  <c r="M866" i="3" l="1"/>
  <c r="N866" i="3" s="1"/>
  <c r="J866" i="3"/>
  <c r="W866" i="3"/>
  <c r="AC867" i="3"/>
  <c r="AA867" i="3"/>
  <c r="P867" i="3"/>
  <c r="Q867" i="3" s="1"/>
  <c r="R867" i="3" s="1"/>
  <c r="S867" i="3" s="1"/>
  <c r="Z867" i="3"/>
  <c r="L866" i="3" l="1"/>
  <c r="U866" i="3" s="1"/>
  <c r="AD866" i="3"/>
  <c r="T867" i="3"/>
  <c r="Y865" i="3" l="1"/>
  <c r="AG867" i="3"/>
  <c r="AH867" i="3"/>
  <c r="D867" i="3"/>
  <c r="G867" i="3" s="1"/>
  <c r="E867" i="3"/>
  <c r="H867" i="3" s="1"/>
  <c r="K867" i="3" s="1"/>
  <c r="AE867" i="3" s="1"/>
  <c r="F867" i="3" l="1"/>
  <c r="V867" i="3"/>
  <c r="A868" i="3"/>
  <c r="B868" i="3" s="1"/>
  <c r="I867" i="3"/>
  <c r="J867" i="3"/>
  <c r="AD867" i="3" s="1"/>
  <c r="M867" i="3"/>
  <c r="N867" i="3" s="1"/>
  <c r="P868" i="3" l="1"/>
  <c r="Q868" i="3" s="1"/>
  <c r="R868" i="3" s="1"/>
  <c r="S868" i="3" s="1"/>
  <c r="AA868" i="3"/>
  <c r="Z868" i="3"/>
  <c r="AC868" i="3"/>
  <c r="L867" i="3"/>
  <c r="W867" i="3"/>
  <c r="U867" i="3" l="1"/>
  <c r="Y866" i="3"/>
  <c r="T868" i="3"/>
  <c r="D868" i="3" l="1"/>
  <c r="G868" i="3" s="1"/>
  <c r="AH868" i="3"/>
  <c r="AG868" i="3"/>
  <c r="E868" i="3"/>
  <c r="H868" i="3" s="1"/>
  <c r="K868" i="3" s="1"/>
  <c r="AE868" i="3" s="1"/>
  <c r="F868" i="3" l="1"/>
  <c r="V868" i="3"/>
  <c r="A869" i="3"/>
  <c r="B869" i="3" s="1"/>
  <c r="I868" i="3"/>
  <c r="J868" i="3"/>
  <c r="AD868" i="3" s="1"/>
  <c r="M868" i="3"/>
  <c r="N868" i="3" s="1"/>
  <c r="L868" i="3" l="1"/>
  <c r="Z869" i="3"/>
  <c r="P869" i="3"/>
  <c r="Q869" i="3" s="1"/>
  <c r="R869" i="3" s="1"/>
  <c r="S869" i="3" s="1"/>
  <c r="AC869" i="3"/>
  <c r="AA869" i="3"/>
  <c r="W868" i="3"/>
  <c r="T869" i="3" l="1"/>
  <c r="AH869" i="3" s="1"/>
  <c r="U868" i="3"/>
  <c r="Y867" i="3"/>
  <c r="AG869" i="3" l="1"/>
  <c r="E869" i="3"/>
  <c r="H869" i="3" s="1"/>
  <c r="K869" i="3" s="1"/>
  <c r="AE869" i="3" s="1"/>
  <c r="D869" i="3"/>
  <c r="F869" i="3" l="1"/>
  <c r="G869" i="3"/>
  <c r="I869" i="3" s="1"/>
  <c r="V869" i="3"/>
  <c r="A870" i="3"/>
  <c r="B870" i="3" s="1"/>
  <c r="W869" i="3" l="1"/>
  <c r="M869" i="3"/>
  <c r="N869" i="3" s="1"/>
  <c r="J869" i="3"/>
  <c r="Z870" i="3"/>
  <c r="AA870" i="3"/>
  <c r="AC870" i="3"/>
  <c r="P870" i="3"/>
  <c r="Q870" i="3" s="1"/>
  <c r="R870" i="3" s="1"/>
  <c r="S870" i="3" s="1"/>
  <c r="L869" i="3" l="1"/>
  <c r="U869" i="3" s="1"/>
  <c r="AD869" i="3"/>
  <c r="T870" i="3"/>
  <c r="Y868" i="3" l="1"/>
  <c r="AG870" i="3"/>
  <c r="D870" i="3"/>
  <c r="G870" i="3" s="1"/>
  <c r="AH870" i="3"/>
  <c r="E870" i="3"/>
  <c r="H870" i="3" s="1"/>
  <c r="K870" i="3" s="1"/>
  <c r="AE870" i="3" s="1"/>
  <c r="F870" i="3" l="1"/>
  <c r="I870" i="3"/>
  <c r="J870" i="3"/>
  <c r="AD870" i="3" s="1"/>
  <c r="M870" i="3"/>
  <c r="N870" i="3" s="1"/>
  <c r="V870" i="3"/>
  <c r="A871" i="3"/>
  <c r="B871" i="3" s="1"/>
  <c r="W870" i="3" l="1"/>
  <c r="P871" i="3"/>
  <c r="Q871" i="3" s="1"/>
  <c r="R871" i="3" s="1"/>
  <c r="S871" i="3" s="1"/>
  <c r="AA871" i="3"/>
  <c r="AC871" i="3"/>
  <c r="Z871" i="3"/>
  <c r="L870" i="3"/>
  <c r="T871" i="3" l="1"/>
  <c r="AH871" i="3" s="1"/>
  <c r="U870" i="3"/>
  <c r="Y869" i="3"/>
  <c r="AG871" i="3" l="1"/>
  <c r="E871" i="3"/>
  <c r="H871" i="3" s="1"/>
  <c r="K871" i="3" s="1"/>
  <c r="AE871" i="3" s="1"/>
  <c r="D871" i="3"/>
  <c r="F871" i="3" l="1"/>
  <c r="G871" i="3"/>
  <c r="J871" i="3" s="1"/>
  <c r="AD871" i="3" s="1"/>
  <c r="V871" i="3"/>
  <c r="A872" i="3"/>
  <c r="B872" i="3" s="1"/>
  <c r="I871" i="3" l="1"/>
  <c r="W871" i="3" s="1"/>
  <c r="M871" i="3"/>
  <c r="N871" i="3" s="1"/>
  <c r="Z872" i="3"/>
  <c r="AC872" i="3"/>
  <c r="AA872" i="3"/>
  <c r="P872" i="3"/>
  <c r="Q872" i="3" s="1"/>
  <c r="R872" i="3" s="1"/>
  <c r="S872" i="3" s="1"/>
  <c r="L871" i="3"/>
  <c r="T872" i="3" l="1"/>
  <c r="AG872" i="3" s="1"/>
  <c r="U871" i="3"/>
  <c r="Y870" i="3"/>
  <c r="E872" i="3" l="1"/>
  <c r="H872" i="3" s="1"/>
  <c r="K872" i="3" s="1"/>
  <c r="AE872" i="3" s="1"/>
  <c r="AH872" i="3"/>
  <c r="D872" i="3"/>
  <c r="F872" i="3" l="1"/>
  <c r="G872" i="3"/>
  <c r="I872" i="3" s="1"/>
  <c r="V872" i="3"/>
  <c r="A873" i="3"/>
  <c r="B873" i="3" s="1"/>
  <c r="J872" i="3" l="1"/>
  <c r="M872" i="3"/>
  <c r="N872" i="3" s="1"/>
  <c r="W872" i="3"/>
  <c r="Z873" i="3"/>
  <c r="AA873" i="3"/>
  <c r="P873" i="3"/>
  <c r="Q873" i="3" s="1"/>
  <c r="R873" i="3" s="1"/>
  <c r="S873" i="3" s="1"/>
  <c r="AC873" i="3"/>
  <c r="L872" i="3" l="1"/>
  <c r="U872" i="3" s="1"/>
  <c r="AD872" i="3"/>
  <c r="T873" i="3"/>
  <c r="Y871" i="3" l="1"/>
  <c r="AG873" i="3"/>
  <c r="D873" i="3"/>
  <c r="G873" i="3" s="1"/>
  <c r="AH873" i="3"/>
  <c r="E873" i="3"/>
  <c r="H873" i="3" s="1"/>
  <c r="K873" i="3" s="1"/>
  <c r="AE873" i="3" s="1"/>
  <c r="F873" i="3" l="1"/>
  <c r="V873" i="3"/>
  <c r="A874" i="3"/>
  <c r="B874" i="3" s="1"/>
  <c r="I873" i="3"/>
  <c r="J873" i="3"/>
  <c r="AD873" i="3" s="1"/>
  <c r="M873" i="3"/>
  <c r="N873" i="3" s="1"/>
  <c r="Z874" i="3" l="1"/>
  <c r="P874" i="3"/>
  <c r="Q874" i="3" s="1"/>
  <c r="R874" i="3" s="1"/>
  <c r="S874" i="3" s="1"/>
  <c r="AA874" i="3"/>
  <c r="AC874" i="3"/>
  <c r="L873" i="3"/>
  <c r="W873" i="3"/>
  <c r="U873" i="3" l="1"/>
  <c r="Y872" i="3"/>
  <c r="T874" i="3"/>
  <c r="D874" i="3" l="1"/>
  <c r="G874" i="3" s="1"/>
  <c r="AG874" i="3"/>
  <c r="AH874" i="3"/>
  <c r="E874" i="3"/>
  <c r="H874" i="3" s="1"/>
  <c r="K874" i="3" l="1"/>
  <c r="AE874" i="3" s="1"/>
  <c r="I874" i="3"/>
  <c r="J874" i="3"/>
  <c r="AD874" i="3" s="1"/>
  <c r="M874" i="3"/>
  <c r="N874" i="3" s="1"/>
  <c r="F874" i="3"/>
  <c r="L874" i="3" l="1"/>
  <c r="V874" i="3"/>
  <c r="W874" i="3" s="1"/>
  <c r="A875" i="3"/>
  <c r="B875" i="3" s="1"/>
  <c r="AC875" i="3" l="1"/>
  <c r="Z875" i="3"/>
  <c r="P875" i="3"/>
  <c r="Q875" i="3" s="1"/>
  <c r="R875" i="3" s="1"/>
  <c r="S875" i="3" s="1"/>
  <c r="AA875" i="3"/>
  <c r="U874" i="3"/>
  <c r="Y873" i="3"/>
  <c r="T875" i="3" l="1"/>
  <c r="AH875" i="3" s="1"/>
  <c r="AG875" i="3" l="1"/>
  <c r="E875" i="3"/>
  <c r="H875" i="3" s="1"/>
  <c r="K875" i="3" s="1"/>
  <c r="AE875" i="3" s="1"/>
  <c r="D875" i="3"/>
  <c r="F875" i="3" l="1"/>
  <c r="G875" i="3"/>
  <c r="I875" i="3" s="1"/>
  <c r="V875" i="3"/>
  <c r="A876" i="3"/>
  <c r="B876" i="3" s="1"/>
  <c r="M875" i="3" l="1"/>
  <c r="N875" i="3" s="1"/>
  <c r="J875" i="3"/>
  <c r="W875" i="3"/>
  <c r="AC876" i="3"/>
  <c r="Z876" i="3"/>
  <c r="AA876" i="3"/>
  <c r="P876" i="3"/>
  <c r="Q876" i="3" s="1"/>
  <c r="R876" i="3" s="1"/>
  <c r="S876" i="3" s="1"/>
  <c r="L875" i="3" l="1"/>
  <c r="U875" i="3" s="1"/>
  <c r="AD875" i="3"/>
  <c r="T876" i="3"/>
  <c r="Y874" i="3" l="1"/>
  <c r="AH876" i="3"/>
  <c r="E876" i="3"/>
  <c r="H876" i="3" s="1"/>
  <c r="K876" i="3" s="1"/>
  <c r="AE876" i="3" s="1"/>
  <c r="AG876" i="3"/>
  <c r="D876" i="3"/>
  <c r="F876" i="3" l="1"/>
  <c r="G876" i="3"/>
  <c r="I876" i="3" s="1"/>
  <c r="V876" i="3"/>
  <c r="A877" i="3"/>
  <c r="B877" i="3" s="1"/>
  <c r="W876" i="3" l="1"/>
  <c r="M876" i="3"/>
  <c r="N876" i="3" s="1"/>
  <c r="J876" i="3"/>
  <c r="AA877" i="3"/>
  <c r="P877" i="3"/>
  <c r="Q877" i="3" s="1"/>
  <c r="R877" i="3" s="1"/>
  <c r="S877" i="3" s="1"/>
  <c r="AC877" i="3"/>
  <c r="Z877" i="3"/>
  <c r="L876" i="3" l="1"/>
  <c r="U876" i="3" s="1"/>
  <c r="AD876" i="3"/>
  <c r="T877" i="3"/>
  <c r="AG877" i="3" l="1"/>
  <c r="Y875" i="3"/>
  <c r="E877" i="3"/>
  <c r="H877" i="3" s="1"/>
  <c r="K877" i="3" s="1"/>
  <c r="AE877" i="3" s="1"/>
  <c r="AH877" i="3"/>
  <c r="D877" i="3"/>
  <c r="F877" i="3" l="1"/>
  <c r="G877" i="3"/>
  <c r="V877" i="3"/>
  <c r="A878" i="3"/>
  <c r="B878" i="3" s="1"/>
  <c r="Z878" i="3" l="1"/>
  <c r="AC878" i="3"/>
  <c r="P878" i="3"/>
  <c r="Q878" i="3" s="1"/>
  <c r="R878" i="3" s="1"/>
  <c r="S878" i="3" s="1"/>
  <c r="AA878" i="3"/>
  <c r="I877" i="3"/>
  <c r="W877" i="3" s="1"/>
  <c r="J877" i="3"/>
  <c r="AD877" i="3" s="1"/>
  <c r="M877" i="3"/>
  <c r="N877" i="3" s="1"/>
  <c r="T878" i="3" l="1"/>
  <c r="L877" i="3"/>
  <c r="U877" i="3" l="1"/>
  <c r="E878" i="3" s="1"/>
  <c r="H878" i="3" s="1"/>
  <c r="AH878" i="3"/>
  <c r="AG878" i="3"/>
  <c r="Y876" i="3"/>
  <c r="D878" i="3" l="1"/>
  <c r="F878" i="3" s="1"/>
  <c r="K878" i="3"/>
  <c r="AE878" i="3" s="1"/>
  <c r="G878" i="3" l="1"/>
  <c r="I878" i="3" s="1"/>
  <c r="V878" i="3"/>
  <c r="A879" i="3"/>
  <c r="B879" i="3" s="1"/>
  <c r="M878" i="3" l="1"/>
  <c r="N878" i="3" s="1"/>
  <c r="J878" i="3"/>
  <c r="W878" i="3"/>
  <c r="AA879" i="3"/>
  <c r="Z879" i="3"/>
  <c r="P879" i="3"/>
  <c r="Q879" i="3" s="1"/>
  <c r="R879" i="3" s="1"/>
  <c r="S879" i="3" s="1"/>
  <c r="AC879" i="3"/>
  <c r="L878" i="3" l="1"/>
  <c r="U878" i="3" s="1"/>
  <c r="AD878" i="3"/>
  <c r="T879" i="3"/>
  <c r="Y877" i="3" l="1"/>
  <c r="AG879" i="3"/>
  <c r="D879" i="3"/>
  <c r="G879" i="3" s="1"/>
  <c r="AH879" i="3"/>
  <c r="E879" i="3"/>
  <c r="H879" i="3" s="1"/>
  <c r="K879" i="3" s="1"/>
  <c r="AE879" i="3" s="1"/>
  <c r="F879" i="3" l="1"/>
  <c r="I879" i="3"/>
  <c r="J879" i="3"/>
  <c r="AD879" i="3" s="1"/>
  <c r="M879" i="3"/>
  <c r="N879" i="3" s="1"/>
  <c r="V879" i="3"/>
  <c r="A880" i="3"/>
  <c r="B880" i="3" s="1"/>
  <c r="W879" i="3" l="1"/>
  <c r="P880" i="3"/>
  <c r="Q880" i="3" s="1"/>
  <c r="R880" i="3" s="1"/>
  <c r="S880" i="3" s="1"/>
  <c r="Z880" i="3"/>
  <c r="AC880" i="3"/>
  <c r="AA880" i="3"/>
  <c r="L879" i="3"/>
  <c r="U879" i="3" l="1"/>
  <c r="Y878" i="3"/>
  <c r="T880" i="3"/>
  <c r="E880" i="3" l="1"/>
  <c r="H880" i="3" s="1"/>
  <c r="K880" i="3" s="1"/>
  <c r="AE880" i="3" s="1"/>
  <c r="AH880" i="3"/>
  <c r="D880" i="3"/>
  <c r="AG880" i="3"/>
  <c r="F880" i="3" l="1"/>
  <c r="G880" i="3"/>
  <c r="V880" i="3"/>
  <c r="A881" i="3"/>
  <c r="B881" i="3" s="1"/>
  <c r="P881" i="3" l="1"/>
  <c r="Q881" i="3" s="1"/>
  <c r="R881" i="3" s="1"/>
  <c r="S881" i="3" s="1"/>
  <c r="AA881" i="3"/>
  <c r="Z881" i="3"/>
  <c r="AC881" i="3"/>
  <c r="I880" i="3"/>
  <c r="W880" i="3" s="1"/>
  <c r="J880" i="3"/>
  <c r="AD880" i="3" s="1"/>
  <c r="M880" i="3"/>
  <c r="N880" i="3" s="1"/>
  <c r="L880" i="3" l="1"/>
  <c r="T881" i="3"/>
  <c r="AG881" i="3" l="1"/>
  <c r="U880" i="3"/>
  <c r="E881" i="3" s="1"/>
  <c r="H881" i="3" s="1"/>
  <c r="AH881" i="3"/>
  <c r="Y879" i="3"/>
  <c r="D881" i="3" l="1"/>
  <c r="F881" i="3" s="1"/>
  <c r="K881" i="3"/>
  <c r="AE881" i="3" s="1"/>
  <c r="G881" i="3" l="1"/>
  <c r="I881" i="3" s="1"/>
  <c r="V881" i="3"/>
  <c r="A882" i="3"/>
  <c r="B882" i="3" s="1"/>
  <c r="M881" i="3" l="1"/>
  <c r="N881" i="3" s="1"/>
  <c r="J881" i="3"/>
  <c r="W881" i="3"/>
  <c r="Z882" i="3"/>
  <c r="P882" i="3"/>
  <c r="Q882" i="3" s="1"/>
  <c r="R882" i="3" s="1"/>
  <c r="S882" i="3" s="1"/>
  <c r="AC882" i="3"/>
  <c r="AA882" i="3"/>
  <c r="L881" i="3" l="1"/>
  <c r="U881" i="3" s="1"/>
  <c r="AD881" i="3"/>
  <c r="T882" i="3"/>
  <c r="Y880" i="3" l="1"/>
  <c r="AG882" i="3"/>
  <c r="E882" i="3"/>
  <c r="H882" i="3" s="1"/>
  <c r="K882" i="3" s="1"/>
  <c r="AE882" i="3" s="1"/>
  <c r="AH882" i="3"/>
  <c r="D882" i="3"/>
  <c r="F882" i="3" l="1"/>
  <c r="G882" i="3"/>
  <c r="I882" i="3" s="1"/>
  <c r="V882" i="3"/>
  <c r="A883" i="3"/>
  <c r="B883" i="3" s="1"/>
  <c r="M882" i="3" l="1"/>
  <c r="N882" i="3" s="1"/>
  <c r="J882" i="3"/>
  <c r="W882" i="3"/>
  <c r="P883" i="3"/>
  <c r="Q883" i="3" s="1"/>
  <c r="R883" i="3" s="1"/>
  <c r="S883" i="3" s="1"/>
  <c r="AC883" i="3"/>
  <c r="AA883" i="3"/>
  <c r="Z883" i="3"/>
  <c r="L882" i="3" l="1"/>
  <c r="U882" i="3" s="1"/>
  <c r="AD882" i="3"/>
  <c r="T883" i="3"/>
  <c r="Y881" i="3" l="1"/>
  <c r="AG883" i="3"/>
  <c r="D883" i="3"/>
  <c r="G883" i="3" s="1"/>
  <c r="AH883" i="3"/>
  <c r="E883" i="3"/>
  <c r="H883" i="3" s="1"/>
  <c r="K883" i="3" l="1"/>
  <c r="AE883" i="3" s="1"/>
  <c r="I883" i="3"/>
  <c r="J883" i="3"/>
  <c r="AD883" i="3" s="1"/>
  <c r="M883" i="3"/>
  <c r="N883" i="3" s="1"/>
  <c r="F883" i="3"/>
  <c r="L883" i="3" l="1"/>
  <c r="V883" i="3"/>
  <c r="W883" i="3" s="1"/>
  <c r="A884" i="3"/>
  <c r="B884" i="3" s="1"/>
  <c r="P884" i="3" l="1"/>
  <c r="Q884" i="3" s="1"/>
  <c r="R884" i="3" s="1"/>
  <c r="S884" i="3" s="1"/>
  <c r="Z884" i="3"/>
  <c r="AC884" i="3"/>
  <c r="AA884" i="3"/>
  <c r="U883" i="3"/>
  <c r="Y882" i="3"/>
  <c r="T884" i="3" l="1"/>
  <c r="AH884" i="3" l="1"/>
  <c r="AG884" i="3"/>
  <c r="E884" i="3"/>
  <c r="H884" i="3" s="1"/>
  <c r="D884" i="3"/>
  <c r="F884" i="3" l="1"/>
  <c r="G884" i="3"/>
  <c r="K884" i="3"/>
  <c r="AE884" i="3" s="1"/>
  <c r="V884" i="3" l="1"/>
  <c r="A885" i="3"/>
  <c r="B885" i="3" s="1"/>
  <c r="I884" i="3"/>
  <c r="J884" i="3"/>
  <c r="AD884" i="3" s="1"/>
  <c r="M884" i="3"/>
  <c r="N884" i="3" s="1"/>
  <c r="AA885" i="3" l="1"/>
  <c r="P885" i="3"/>
  <c r="Q885" i="3" s="1"/>
  <c r="R885" i="3" s="1"/>
  <c r="S885" i="3" s="1"/>
  <c r="Z885" i="3"/>
  <c r="AC885" i="3"/>
  <c r="L884" i="3"/>
  <c r="W884" i="3"/>
  <c r="U884" i="3" l="1"/>
  <c r="Y883" i="3"/>
  <c r="T885" i="3"/>
  <c r="AG885" i="3" s="1"/>
  <c r="E885" i="3" l="1"/>
  <c r="H885" i="3" s="1"/>
  <c r="D885" i="3"/>
  <c r="AH885" i="3"/>
  <c r="F885" i="3" l="1"/>
  <c r="G885" i="3"/>
  <c r="K885" i="3"/>
  <c r="AE885" i="3" s="1"/>
  <c r="V885" i="3" l="1"/>
  <c r="A886" i="3"/>
  <c r="B886" i="3" s="1"/>
  <c r="I885" i="3"/>
  <c r="J885" i="3"/>
  <c r="AD885" i="3" s="1"/>
  <c r="M885" i="3"/>
  <c r="N885" i="3" s="1"/>
  <c r="L885" i="3" l="1"/>
  <c r="AC886" i="3"/>
  <c r="Z886" i="3"/>
  <c r="AA886" i="3"/>
  <c r="P886" i="3"/>
  <c r="Q886" i="3" s="1"/>
  <c r="R886" i="3" s="1"/>
  <c r="S886" i="3" s="1"/>
  <c r="W885" i="3"/>
  <c r="T886" i="3" l="1"/>
  <c r="AG886" i="3" s="1"/>
  <c r="U885" i="3"/>
  <c r="Y884" i="3"/>
  <c r="D886" i="3" l="1"/>
  <c r="G886" i="3" s="1"/>
  <c r="AH886" i="3"/>
  <c r="E886" i="3"/>
  <c r="H886" i="3" s="1"/>
  <c r="K886" i="3" s="1"/>
  <c r="AE886" i="3" s="1"/>
  <c r="F886" i="3" l="1"/>
  <c r="V886" i="3"/>
  <c r="A887" i="3"/>
  <c r="B887" i="3" s="1"/>
  <c r="I886" i="3"/>
  <c r="J886" i="3"/>
  <c r="AD886" i="3" s="1"/>
  <c r="M886" i="3"/>
  <c r="N886" i="3" s="1"/>
  <c r="L886" i="3" l="1"/>
  <c r="P887" i="3"/>
  <c r="Q887" i="3" s="1"/>
  <c r="R887" i="3" s="1"/>
  <c r="S887" i="3" s="1"/>
  <c r="AA887" i="3"/>
  <c r="AC887" i="3"/>
  <c r="Z887" i="3"/>
  <c r="W886" i="3"/>
  <c r="T887" i="3" l="1"/>
  <c r="AH887" i="3" s="1"/>
  <c r="U886" i="3"/>
  <c r="Y885" i="3"/>
  <c r="AG887" i="3" l="1"/>
  <c r="D887" i="3"/>
  <c r="G887" i="3" s="1"/>
  <c r="E887" i="3"/>
  <c r="H887" i="3" s="1"/>
  <c r="K887" i="3" s="1"/>
  <c r="AE887" i="3" s="1"/>
  <c r="F887" i="3" l="1"/>
  <c r="V887" i="3"/>
  <c r="A888" i="3"/>
  <c r="B888" i="3" s="1"/>
  <c r="I887" i="3"/>
  <c r="J887" i="3"/>
  <c r="AD887" i="3" s="1"/>
  <c r="M887" i="3"/>
  <c r="N887" i="3" s="1"/>
  <c r="P888" i="3" l="1"/>
  <c r="Q888" i="3" s="1"/>
  <c r="R888" i="3" s="1"/>
  <c r="S888" i="3" s="1"/>
  <c r="Z888" i="3"/>
  <c r="AC888" i="3"/>
  <c r="AA888" i="3"/>
  <c r="L887" i="3"/>
  <c r="W887" i="3"/>
  <c r="T888" i="3" l="1"/>
  <c r="AG888" i="3" s="1"/>
  <c r="U887" i="3"/>
  <c r="Y886" i="3"/>
  <c r="E888" i="3" l="1"/>
  <c r="H888" i="3" s="1"/>
  <c r="K888" i="3" s="1"/>
  <c r="AE888" i="3" s="1"/>
  <c r="AH888" i="3"/>
  <c r="D888" i="3"/>
  <c r="F888" i="3" l="1"/>
  <c r="G888" i="3"/>
  <c r="I888" i="3" s="1"/>
  <c r="V888" i="3"/>
  <c r="A889" i="3"/>
  <c r="B889" i="3" s="1"/>
  <c r="M888" i="3" l="1"/>
  <c r="N888" i="3" s="1"/>
  <c r="J888" i="3"/>
  <c r="Z889" i="3"/>
  <c r="P889" i="3"/>
  <c r="Q889" i="3" s="1"/>
  <c r="R889" i="3" s="1"/>
  <c r="S889" i="3" s="1"/>
  <c r="AC889" i="3"/>
  <c r="AA889" i="3"/>
  <c r="W888" i="3"/>
  <c r="L888" i="3" l="1"/>
  <c r="U888" i="3" s="1"/>
  <c r="AD888" i="3"/>
  <c r="T889" i="3"/>
  <c r="Y887" i="3" l="1"/>
  <c r="AH889" i="3"/>
  <c r="E889" i="3"/>
  <c r="H889" i="3" s="1"/>
  <c r="K889" i="3" s="1"/>
  <c r="AE889" i="3" s="1"/>
  <c r="D889" i="3"/>
  <c r="G889" i="3" s="1"/>
  <c r="AG889" i="3"/>
  <c r="F889" i="3" l="1"/>
  <c r="I889" i="3"/>
  <c r="J889" i="3"/>
  <c r="AD889" i="3" s="1"/>
  <c r="M889" i="3"/>
  <c r="N889" i="3" s="1"/>
  <c r="V889" i="3"/>
  <c r="A890" i="3"/>
  <c r="B890" i="3" s="1"/>
  <c r="W889" i="3" l="1"/>
  <c r="L889" i="3"/>
  <c r="AA890" i="3"/>
  <c r="P890" i="3"/>
  <c r="Q890" i="3" s="1"/>
  <c r="R890" i="3" s="1"/>
  <c r="S890" i="3" s="1"/>
  <c r="Z890" i="3"/>
  <c r="AC890" i="3"/>
  <c r="T890" i="3" l="1"/>
  <c r="AH890" i="3" s="1"/>
  <c r="U889" i="3"/>
  <c r="Y888" i="3"/>
  <c r="D890" i="3" l="1"/>
  <c r="G890" i="3" s="1"/>
  <c r="AG890" i="3"/>
  <c r="E890" i="3"/>
  <c r="H890" i="3" s="1"/>
  <c r="K890" i="3" s="1"/>
  <c r="AE890" i="3" s="1"/>
  <c r="F890" i="3" l="1"/>
  <c r="V890" i="3"/>
  <c r="A891" i="3"/>
  <c r="B891" i="3" s="1"/>
  <c r="I890" i="3"/>
  <c r="J890" i="3"/>
  <c r="AD890" i="3" s="1"/>
  <c r="M890" i="3"/>
  <c r="N890" i="3" s="1"/>
  <c r="L890" i="3" l="1"/>
  <c r="AA891" i="3"/>
  <c r="P891" i="3"/>
  <c r="Q891" i="3" s="1"/>
  <c r="R891" i="3" s="1"/>
  <c r="S891" i="3" s="1"/>
  <c r="AC891" i="3"/>
  <c r="Z891" i="3"/>
  <c r="W890" i="3"/>
  <c r="T891" i="3" l="1"/>
  <c r="AH891" i="3" s="1"/>
  <c r="U890" i="3"/>
  <c r="Y889" i="3"/>
  <c r="AG891" i="3" l="1"/>
  <c r="E891" i="3"/>
  <c r="H891" i="3" s="1"/>
  <c r="K891" i="3" s="1"/>
  <c r="AE891" i="3" s="1"/>
  <c r="D891" i="3"/>
  <c r="F891" i="3" l="1"/>
  <c r="G891" i="3"/>
  <c r="I891" i="3" s="1"/>
  <c r="V891" i="3"/>
  <c r="A892" i="3"/>
  <c r="B892" i="3" s="1"/>
  <c r="M891" i="3" l="1"/>
  <c r="N891" i="3" s="1"/>
  <c r="J891" i="3"/>
  <c r="W891" i="3"/>
  <c r="AA892" i="3"/>
  <c r="Z892" i="3"/>
  <c r="AC892" i="3"/>
  <c r="P892" i="3"/>
  <c r="Q892" i="3" s="1"/>
  <c r="R892" i="3" s="1"/>
  <c r="S892" i="3" s="1"/>
  <c r="L891" i="3" l="1"/>
  <c r="U891" i="3" s="1"/>
  <c r="AD891" i="3"/>
  <c r="T892" i="3"/>
  <c r="Y890" i="3" l="1"/>
  <c r="AH892" i="3"/>
  <c r="AG892" i="3"/>
  <c r="D892" i="3"/>
  <c r="G892" i="3" s="1"/>
  <c r="E892" i="3"/>
  <c r="H892" i="3" s="1"/>
  <c r="K892" i="3" s="1"/>
  <c r="AE892" i="3" s="1"/>
  <c r="F892" i="3" l="1"/>
  <c r="V892" i="3"/>
  <c r="A893" i="3"/>
  <c r="B893" i="3" s="1"/>
  <c r="I892" i="3"/>
  <c r="J892" i="3"/>
  <c r="AD892" i="3" s="1"/>
  <c r="M892" i="3"/>
  <c r="N892" i="3" s="1"/>
  <c r="L892" i="3" l="1"/>
  <c r="Z893" i="3"/>
  <c r="AC893" i="3"/>
  <c r="P893" i="3"/>
  <c r="Q893" i="3" s="1"/>
  <c r="R893" i="3" s="1"/>
  <c r="S893" i="3" s="1"/>
  <c r="AA893" i="3"/>
  <c r="W892" i="3"/>
  <c r="U892" i="3" l="1"/>
  <c r="Y891" i="3"/>
  <c r="T893" i="3"/>
  <c r="AG893" i="3" s="1"/>
  <c r="E893" i="3" l="1"/>
  <c r="H893" i="3" s="1"/>
  <c r="AH893" i="3"/>
  <c r="D893" i="3"/>
  <c r="F893" i="3" l="1"/>
  <c r="G893" i="3"/>
  <c r="K893" i="3"/>
  <c r="AE893" i="3" s="1"/>
  <c r="V893" i="3" l="1"/>
  <c r="A894" i="3"/>
  <c r="B894" i="3" s="1"/>
  <c r="I893" i="3"/>
  <c r="J893" i="3"/>
  <c r="AD893" i="3" s="1"/>
  <c r="M893" i="3"/>
  <c r="N893" i="3" s="1"/>
  <c r="L893" i="3" l="1"/>
  <c r="P894" i="3"/>
  <c r="Q894" i="3" s="1"/>
  <c r="R894" i="3" s="1"/>
  <c r="S894" i="3" s="1"/>
  <c r="AC894" i="3"/>
  <c r="AA894" i="3"/>
  <c r="Z894" i="3"/>
  <c r="W893" i="3"/>
  <c r="T894" i="3" l="1"/>
  <c r="AH894" i="3" s="1"/>
  <c r="U893" i="3"/>
  <c r="Y892" i="3"/>
  <c r="D894" i="3" l="1"/>
  <c r="G894" i="3" s="1"/>
  <c r="E894" i="3"/>
  <c r="H894" i="3" s="1"/>
  <c r="K894" i="3" s="1"/>
  <c r="AE894" i="3" s="1"/>
  <c r="AG894" i="3"/>
  <c r="F894" i="3" l="1"/>
  <c r="V894" i="3"/>
  <c r="A895" i="3"/>
  <c r="B895" i="3" s="1"/>
  <c r="I894" i="3"/>
  <c r="J894" i="3"/>
  <c r="AD894" i="3" s="1"/>
  <c r="M894" i="3"/>
  <c r="N894" i="3" s="1"/>
  <c r="L894" i="3" l="1"/>
  <c r="AA895" i="3"/>
  <c r="P895" i="3"/>
  <c r="Q895" i="3" s="1"/>
  <c r="R895" i="3" s="1"/>
  <c r="S895" i="3" s="1"/>
  <c r="Z895" i="3"/>
  <c r="AC895" i="3"/>
  <c r="W894" i="3"/>
  <c r="U894" i="3" l="1"/>
  <c r="Y893" i="3"/>
  <c r="T895" i="3"/>
  <c r="E895" i="3" l="1"/>
  <c r="H895" i="3" s="1"/>
  <c r="K895" i="3" s="1"/>
  <c r="AE895" i="3" s="1"/>
  <c r="AG895" i="3"/>
  <c r="D895" i="3"/>
  <c r="AH895" i="3"/>
  <c r="F895" i="3" l="1"/>
  <c r="G895" i="3"/>
  <c r="V895" i="3"/>
  <c r="A896" i="3"/>
  <c r="B896" i="3" s="1"/>
  <c r="AA896" i="3" l="1"/>
  <c r="Z896" i="3"/>
  <c r="P896" i="3"/>
  <c r="Q896" i="3" s="1"/>
  <c r="R896" i="3" s="1"/>
  <c r="S896" i="3" s="1"/>
  <c r="AC896" i="3"/>
  <c r="I895" i="3"/>
  <c r="W895" i="3" s="1"/>
  <c r="J895" i="3"/>
  <c r="AD895" i="3" s="1"/>
  <c r="M895" i="3"/>
  <c r="N895" i="3" s="1"/>
  <c r="T896" i="3" l="1"/>
  <c r="L895" i="3"/>
  <c r="AG896" i="3" l="1"/>
  <c r="AH896" i="3"/>
  <c r="U895" i="3"/>
  <c r="D896" i="3" s="1"/>
  <c r="Y894" i="3"/>
  <c r="G896" i="3" l="1"/>
  <c r="E896" i="3"/>
  <c r="H896" i="3" s="1"/>
  <c r="K896" i="3" l="1"/>
  <c r="AE896" i="3" s="1"/>
  <c r="I896" i="3"/>
  <c r="J896" i="3"/>
  <c r="AD896" i="3" s="1"/>
  <c r="M896" i="3"/>
  <c r="N896" i="3" s="1"/>
  <c r="F896" i="3"/>
  <c r="L896" i="3" l="1"/>
  <c r="V896" i="3"/>
  <c r="W896" i="3" s="1"/>
  <c r="A897" i="3"/>
  <c r="B897" i="3" s="1"/>
  <c r="P897" i="3" l="1"/>
  <c r="Q897" i="3" s="1"/>
  <c r="R897" i="3" s="1"/>
  <c r="S897" i="3" s="1"/>
  <c r="AC897" i="3"/>
  <c r="AA897" i="3"/>
  <c r="Z897" i="3"/>
  <c r="U896" i="3"/>
  <c r="Y895" i="3"/>
  <c r="T897" i="3" l="1"/>
  <c r="AH897" i="3" s="1"/>
  <c r="AG897" i="3" l="1"/>
  <c r="E897" i="3"/>
  <c r="H897" i="3" s="1"/>
  <c r="D897" i="3"/>
  <c r="K897" i="3" l="1"/>
  <c r="AE897" i="3" s="1"/>
  <c r="F897" i="3"/>
  <c r="G897" i="3"/>
  <c r="I897" i="3" l="1"/>
  <c r="J897" i="3"/>
  <c r="AD897" i="3" s="1"/>
  <c r="M897" i="3"/>
  <c r="N897" i="3" s="1"/>
  <c r="V897" i="3"/>
  <c r="A898" i="3"/>
  <c r="B898" i="3" s="1"/>
  <c r="W897" i="3" l="1"/>
  <c r="P898" i="3"/>
  <c r="Q898" i="3" s="1"/>
  <c r="R898" i="3" s="1"/>
  <c r="S898" i="3" s="1"/>
  <c r="AA898" i="3"/>
  <c r="Z898" i="3"/>
  <c r="AC898" i="3"/>
  <c r="L897" i="3"/>
  <c r="U897" i="3" l="1"/>
  <c r="Y896" i="3"/>
  <c r="T898" i="3"/>
  <c r="AH898" i="3" s="1"/>
  <c r="E898" i="3" l="1"/>
  <c r="H898" i="3" s="1"/>
  <c r="K898" i="3" s="1"/>
  <c r="AE898" i="3" s="1"/>
  <c r="D898" i="3"/>
  <c r="AG898" i="3"/>
  <c r="V898" i="3" l="1"/>
  <c r="A899" i="3"/>
  <c r="B899" i="3" s="1"/>
  <c r="F898" i="3"/>
  <c r="G898" i="3"/>
  <c r="AC899" i="3" l="1"/>
  <c r="Z899" i="3"/>
  <c r="P899" i="3"/>
  <c r="Q899" i="3" s="1"/>
  <c r="R899" i="3" s="1"/>
  <c r="S899" i="3" s="1"/>
  <c r="AA899" i="3"/>
  <c r="I898" i="3"/>
  <c r="W898" i="3" s="1"/>
  <c r="J898" i="3"/>
  <c r="AD898" i="3" s="1"/>
  <c r="M898" i="3"/>
  <c r="N898" i="3" s="1"/>
  <c r="T899" i="3" l="1"/>
  <c r="L898" i="3"/>
  <c r="AH899" i="3" l="1"/>
  <c r="U898" i="3"/>
  <c r="D899" i="3" s="1"/>
  <c r="AG899" i="3"/>
  <c r="Y897" i="3"/>
  <c r="E899" i="3" l="1"/>
  <c r="H899" i="3" s="1"/>
  <c r="K899" i="3" s="1"/>
  <c r="AE899" i="3" s="1"/>
  <c r="G899" i="3"/>
  <c r="F899" i="3" l="1"/>
  <c r="V899" i="3"/>
  <c r="A900" i="3"/>
  <c r="B900" i="3" s="1"/>
  <c r="I899" i="3"/>
  <c r="J899" i="3"/>
  <c r="AD899" i="3" s="1"/>
  <c r="M899" i="3"/>
  <c r="N899" i="3" s="1"/>
  <c r="AC900" i="3" l="1"/>
  <c r="AA900" i="3"/>
  <c r="Z900" i="3"/>
  <c r="P900" i="3"/>
  <c r="Q900" i="3" s="1"/>
  <c r="R900" i="3" s="1"/>
  <c r="S900" i="3" s="1"/>
  <c r="L899" i="3"/>
  <c r="W899" i="3"/>
  <c r="T900" i="3" l="1"/>
  <c r="AG900" i="3" s="1"/>
  <c r="U899" i="3"/>
  <c r="Y898" i="3"/>
  <c r="D900" i="3" l="1"/>
  <c r="G900" i="3" s="1"/>
  <c r="E900" i="3"/>
  <c r="H900" i="3" s="1"/>
  <c r="K900" i="3" s="1"/>
  <c r="AE900" i="3" s="1"/>
  <c r="AH900" i="3"/>
  <c r="F900" i="3" l="1"/>
  <c r="V900" i="3"/>
  <c r="A901" i="3"/>
  <c r="B901" i="3" s="1"/>
  <c r="I900" i="3"/>
  <c r="J900" i="3"/>
  <c r="AD900" i="3" s="1"/>
  <c r="M900" i="3"/>
  <c r="N900" i="3" s="1"/>
  <c r="L900" i="3" l="1"/>
  <c r="AC901" i="3"/>
  <c r="Z901" i="3"/>
  <c r="P901" i="3"/>
  <c r="Q901" i="3" s="1"/>
  <c r="R901" i="3" s="1"/>
  <c r="S901" i="3" s="1"/>
  <c r="AA901" i="3"/>
  <c r="W900" i="3"/>
  <c r="T901" i="3" l="1"/>
  <c r="AH901" i="3" s="1"/>
  <c r="U900" i="3"/>
  <c r="Y899" i="3"/>
  <c r="D901" i="3" l="1"/>
  <c r="G901" i="3" s="1"/>
  <c r="AG901" i="3"/>
  <c r="E901" i="3"/>
  <c r="H901" i="3" s="1"/>
  <c r="K901" i="3" s="1"/>
  <c r="AE901" i="3" s="1"/>
  <c r="F901" i="3" l="1"/>
  <c r="V901" i="3"/>
  <c r="A902" i="3"/>
  <c r="B902" i="3" s="1"/>
  <c r="I901" i="3"/>
  <c r="J901" i="3"/>
  <c r="AD901" i="3" s="1"/>
  <c r="M901" i="3"/>
  <c r="N901" i="3" s="1"/>
  <c r="L901" i="3" l="1"/>
  <c r="AC902" i="3"/>
  <c r="P902" i="3"/>
  <c r="Q902" i="3" s="1"/>
  <c r="R902" i="3" s="1"/>
  <c r="S902" i="3" s="1"/>
  <c r="Z902" i="3"/>
  <c r="AA902" i="3"/>
  <c r="W901" i="3"/>
  <c r="T902" i="3" l="1"/>
  <c r="AG902" i="3" s="1"/>
  <c r="U901" i="3"/>
  <c r="Y900" i="3"/>
  <c r="E902" i="3" l="1"/>
  <c r="H902" i="3" s="1"/>
  <c r="K902" i="3" s="1"/>
  <c r="AE902" i="3" s="1"/>
  <c r="AH902" i="3"/>
  <c r="D902" i="3"/>
  <c r="F902" i="3" l="1"/>
  <c r="G902" i="3"/>
  <c r="V902" i="3"/>
  <c r="A903" i="3"/>
  <c r="B903" i="3" s="1"/>
  <c r="P903" i="3" l="1"/>
  <c r="Q903" i="3" s="1"/>
  <c r="R903" i="3" s="1"/>
  <c r="S903" i="3" s="1"/>
  <c r="AC903" i="3"/>
  <c r="Z903" i="3"/>
  <c r="AA903" i="3"/>
  <c r="I902" i="3"/>
  <c r="W902" i="3" s="1"/>
  <c r="J902" i="3"/>
  <c r="AD902" i="3" s="1"/>
  <c r="M902" i="3"/>
  <c r="N902" i="3" s="1"/>
  <c r="L902" i="3" l="1"/>
  <c r="T903" i="3"/>
  <c r="AH903" i="3" l="1"/>
  <c r="AG903" i="3"/>
  <c r="U902" i="3"/>
  <c r="D903" i="3" s="1"/>
  <c r="Y901" i="3"/>
  <c r="G903" i="3" l="1"/>
  <c r="E903" i="3"/>
  <c r="H903" i="3" s="1"/>
  <c r="I903" i="3" l="1"/>
  <c r="J903" i="3"/>
  <c r="AD903" i="3" s="1"/>
  <c r="M903" i="3"/>
  <c r="N903" i="3" s="1"/>
  <c r="K903" i="3"/>
  <c r="AE903" i="3" s="1"/>
  <c r="F903" i="3"/>
  <c r="V903" i="3" l="1"/>
  <c r="W903" i="3" s="1"/>
  <c r="A904" i="3"/>
  <c r="B904" i="3" s="1"/>
  <c r="L903" i="3"/>
  <c r="AC904" i="3" l="1"/>
  <c r="Z904" i="3"/>
  <c r="P904" i="3"/>
  <c r="Q904" i="3" s="1"/>
  <c r="R904" i="3" s="1"/>
  <c r="S904" i="3" s="1"/>
  <c r="AA904" i="3"/>
  <c r="U903" i="3"/>
  <c r="Y902" i="3"/>
  <c r="T904" i="3" l="1"/>
  <c r="AG904" i="3" s="1"/>
  <c r="AH904" i="3" l="1"/>
  <c r="E904" i="3"/>
  <c r="H904" i="3" s="1"/>
  <c r="K904" i="3" s="1"/>
  <c r="AE904" i="3" s="1"/>
  <c r="D904" i="3"/>
  <c r="F904" i="3" l="1"/>
  <c r="G904" i="3"/>
  <c r="I904" i="3" s="1"/>
  <c r="V904" i="3"/>
  <c r="A905" i="3"/>
  <c r="B905" i="3" s="1"/>
  <c r="M904" i="3" l="1"/>
  <c r="N904" i="3" s="1"/>
  <c r="J904" i="3"/>
  <c r="AA905" i="3"/>
  <c r="Z905" i="3"/>
  <c r="AC905" i="3"/>
  <c r="P905" i="3"/>
  <c r="Q905" i="3" s="1"/>
  <c r="R905" i="3" s="1"/>
  <c r="S905" i="3" s="1"/>
  <c r="W904" i="3"/>
  <c r="L904" i="3" l="1"/>
  <c r="U904" i="3" s="1"/>
  <c r="AD904" i="3"/>
  <c r="T905" i="3"/>
  <c r="AG905" i="3" l="1"/>
  <c r="Y903" i="3"/>
  <c r="AH905" i="3"/>
  <c r="D905" i="3"/>
  <c r="G905" i="3" s="1"/>
  <c r="E905" i="3"/>
  <c r="H905" i="3" s="1"/>
  <c r="K905" i="3" s="1"/>
  <c r="AE905" i="3" s="1"/>
  <c r="F905" i="3" l="1"/>
  <c r="V905" i="3"/>
  <c r="A906" i="3"/>
  <c r="B906" i="3" s="1"/>
  <c r="I905" i="3"/>
  <c r="J905" i="3"/>
  <c r="AD905" i="3" s="1"/>
  <c r="M905" i="3"/>
  <c r="N905" i="3" s="1"/>
  <c r="AA906" i="3" l="1"/>
  <c r="P906" i="3"/>
  <c r="Q906" i="3" s="1"/>
  <c r="R906" i="3" s="1"/>
  <c r="S906" i="3" s="1"/>
  <c r="Z906" i="3"/>
  <c r="AC906" i="3"/>
  <c r="L905" i="3"/>
  <c r="W905" i="3"/>
  <c r="T906" i="3" l="1"/>
  <c r="AG906" i="3" s="1"/>
  <c r="U905" i="3"/>
  <c r="Y904" i="3"/>
  <c r="AH906" i="3" l="1"/>
  <c r="E906" i="3"/>
  <c r="H906" i="3" s="1"/>
  <c r="K906" i="3" s="1"/>
  <c r="AE906" i="3" s="1"/>
  <c r="D906" i="3"/>
  <c r="F906" i="3" l="1"/>
  <c r="G906" i="3"/>
  <c r="I906" i="3" s="1"/>
  <c r="V906" i="3"/>
  <c r="A907" i="3"/>
  <c r="B907" i="3" s="1"/>
  <c r="M906" i="3" l="1"/>
  <c r="N906" i="3" s="1"/>
  <c r="J906" i="3"/>
  <c r="AD906" i="3" s="1"/>
  <c r="P907" i="3"/>
  <c r="Q907" i="3" s="1"/>
  <c r="R907" i="3" s="1"/>
  <c r="S907" i="3" s="1"/>
  <c r="Z907" i="3"/>
  <c r="AC907" i="3"/>
  <c r="AA907" i="3"/>
  <c r="W906" i="3"/>
  <c r="L906" i="3" l="1"/>
  <c r="U906" i="3" s="1"/>
  <c r="T907" i="3"/>
  <c r="Y905" i="3" l="1"/>
  <c r="AH907" i="3"/>
  <c r="D907" i="3"/>
  <c r="G907" i="3" s="1"/>
  <c r="AG907" i="3"/>
  <c r="E907" i="3"/>
  <c r="H907" i="3" s="1"/>
  <c r="K907" i="3" s="1"/>
  <c r="AE907" i="3" s="1"/>
  <c r="F907" i="3" l="1"/>
  <c r="V907" i="3"/>
  <c r="A908" i="3"/>
  <c r="B908" i="3" s="1"/>
  <c r="I907" i="3"/>
  <c r="J907" i="3"/>
  <c r="AD907" i="3" s="1"/>
  <c r="M907" i="3"/>
  <c r="N907" i="3" s="1"/>
  <c r="Z908" i="3" l="1"/>
  <c r="P908" i="3"/>
  <c r="Q908" i="3" s="1"/>
  <c r="R908" i="3" s="1"/>
  <c r="S908" i="3" s="1"/>
  <c r="AC908" i="3"/>
  <c r="AA908" i="3"/>
  <c r="L907" i="3"/>
  <c r="W907" i="3"/>
  <c r="T908" i="3" l="1"/>
  <c r="U907" i="3"/>
  <c r="Y906" i="3"/>
  <c r="D908" i="3" l="1"/>
  <c r="G908" i="3" s="1"/>
  <c r="E908" i="3"/>
  <c r="H908" i="3" s="1"/>
  <c r="K908" i="3" s="1"/>
  <c r="AE908" i="3" s="1"/>
  <c r="AG908" i="3"/>
  <c r="AH908" i="3"/>
  <c r="F908" i="3" l="1"/>
  <c r="V908" i="3"/>
  <c r="A909" i="3"/>
  <c r="B909" i="3" s="1"/>
  <c r="I908" i="3"/>
  <c r="J908" i="3"/>
  <c r="AD908" i="3" s="1"/>
  <c r="M908" i="3"/>
  <c r="N908" i="3" s="1"/>
  <c r="AC909" i="3" l="1"/>
  <c r="Z909" i="3"/>
  <c r="P909" i="3"/>
  <c r="Q909" i="3" s="1"/>
  <c r="R909" i="3" s="1"/>
  <c r="S909" i="3" s="1"/>
  <c r="AA909" i="3"/>
  <c r="L908" i="3"/>
  <c r="W908" i="3"/>
  <c r="T909" i="3" l="1"/>
  <c r="AH909" i="3" s="1"/>
  <c r="U908" i="3"/>
  <c r="Y907" i="3"/>
  <c r="E909" i="3" l="1"/>
  <c r="H909" i="3" s="1"/>
  <c r="K909" i="3" s="1"/>
  <c r="AE909" i="3" s="1"/>
  <c r="AG909" i="3"/>
  <c r="D909" i="3"/>
  <c r="F909" i="3" l="1"/>
  <c r="G909" i="3"/>
  <c r="I909" i="3" s="1"/>
  <c r="V909" i="3"/>
  <c r="A910" i="3"/>
  <c r="B910" i="3" s="1"/>
  <c r="J909" i="3" l="1"/>
  <c r="AD909" i="3" s="1"/>
  <c r="W909" i="3"/>
  <c r="M909" i="3"/>
  <c r="N909" i="3" s="1"/>
  <c r="Z910" i="3"/>
  <c r="AC910" i="3"/>
  <c r="P910" i="3"/>
  <c r="Q910" i="3" s="1"/>
  <c r="R910" i="3" s="1"/>
  <c r="S910" i="3" s="1"/>
  <c r="AA910" i="3"/>
  <c r="L909" i="3" l="1"/>
  <c r="U909" i="3" s="1"/>
  <c r="T910" i="3"/>
  <c r="Y908" i="3" l="1"/>
  <c r="AG910" i="3"/>
  <c r="D910" i="3"/>
  <c r="G910" i="3" s="1"/>
  <c r="E910" i="3"/>
  <c r="H910" i="3" s="1"/>
  <c r="K910" i="3" s="1"/>
  <c r="AE910" i="3" s="1"/>
  <c r="AH910" i="3"/>
  <c r="F910" i="3" l="1"/>
  <c r="V910" i="3"/>
  <c r="A911" i="3"/>
  <c r="B911" i="3" s="1"/>
  <c r="I910" i="3"/>
  <c r="J910" i="3"/>
  <c r="AD910" i="3" s="1"/>
  <c r="M910" i="3"/>
  <c r="N910" i="3" s="1"/>
  <c r="L910" i="3" l="1"/>
  <c r="P911" i="3"/>
  <c r="Q911" i="3" s="1"/>
  <c r="R911" i="3" s="1"/>
  <c r="S911" i="3" s="1"/>
  <c r="Z911" i="3"/>
  <c r="AA911" i="3"/>
  <c r="AC911" i="3"/>
  <c r="W910" i="3"/>
  <c r="T911" i="3" l="1"/>
  <c r="AG911" i="3" s="1"/>
  <c r="U910" i="3"/>
  <c r="Y909" i="3"/>
  <c r="AH911" i="3" l="1"/>
  <c r="D911" i="3"/>
  <c r="G911" i="3" s="1"/>
  <c r="E911" i="3"/>
  <c r="H911" i="3" s="1"/>
  <c r="K911" i="3" s="1"/>
  <c r="AE911" i="3" s="1"/>
  <c r="F911" i="3" l="1"/>
  <c r="V911" i="3"/>
  <c r="A912" i="3"/>
  <c r="B912" i="3" s="1"/>
  <c r="I911" i="3"/>
  <c r="J911" i="3"/>
  <c r="AD911" i="3" s="1"/>
  <c r="M911" i="3"/>
  <c r="N911" i="3" s="1"/>
  <c r="Z912" i="3" l="1"/>
  <c r="AA912" i="3"/>
  <c r="AC912" i="3"/>
  <c r="P912" i="3"/>
  <c r="Q912" i="3" s="1"/>
  <c r="R912" i="3" s="1"/>
  <c r="S912" i="3" s="1"/>
  <c r="L911" i="3"/>
  <c r="W911" i="3"/>
  <c r="T912" i="3" l="1"/>
  <c r="AH912" i="3" s="1"/>
  <c r="U911" i="3"/>
  <c r="Y910" i="3"/>
  <c r="AG912" i="3" l="1"/>
  <c r="D912" i="3"/>
  <c r="G912" i="3" s="1"/>
  <c r="E912" i="3"/>
  <c r="H912" i="3" s="1"/>
  <c r="K912" i="3" s="1"/>
  <c r="AE912" i="3" s="1"/>
  <c r="F912" i="3" l="1"/>
  <c r="V912" i="3"/>
  <c r="A913" i="3"/>
  <c r="B913" i="3" s="1"/>
  <c r="I912" i="3"/>
  <c r="J912" i="3"/>
  <c r="AD912" i="3" s="1"/>
  <c r="M912" i="3"/>
  <c r="N912" i="3" s="1"/>
  <c r="L912" i="3" l="1"/>
  <c r="P913" i="3"/>
  <c r="Q913" i="3" s="1"/>
  <c r="R913" i="3" s="1"/>
  <c r="S913" i="3" s="1"/>
  <c r="Z913" i="3"/>
  <c r="AA913" i="3"/>
  <c r="AC913" i="3"/>
  <c r="W912" i="3"/>
  <c r="T913" i="3" l="1"/>
  <c r="AG913" i="3" s="1"/>
  <c r="U912" i="3"/>
  <c r="Y911" i="3"/>
  <c r="E913" i="3" l="1"/>
  <c r="H913" i="3" s="1"/>
  <c r="K913" i="3" s="1"/>
  <c r="AE913" i="3" s="1"/>
  <c r="AH913" i="3"/>
  <c r="D913" i="3"/>
  <c r="F913" i="3" l="1"/>
  <c r="G913" i="3"/>
  <c r="I913" i="3" s="1"/>
  <c r="V913" i="3"/>
  <c r="A914" i="3"/>
  <c r="B914" i="3" s="1"/>
  <c r="M913" i="3" l="1"/>
  <c r="N913" i="3" s="1"/>
  <c r="J913" i="3"/>
  <c r="W913" i="3"/>
  <c r="AA914" i="3"/>
  <c r="Z914" i="3"/>
  <c r="P914" i="3"/>
  <c r="Q914" i="3" s="1"/>
  <c r="R914" i="3" s="1"/>
  <c r="S914" i="3" s="1"/>
  <c r="AC914" i="3"/>
  <c r="L913" i="3" l="1"/>
  <c r="U913" i="3" s="1"/>
  <c r="AD913" i="3"/>
  <c r="T914" i="3"/>
  <c r="Y912" i="3" l="1"/>
  <c r="AH914" i="3"/>
  <c r="AG914" i="3"/>
  <c r="D914" i="3"/>
  <c r="G914" i="3" s="1"/>
  <c r="E914" i="3"/>
  <c r="H914" i="3" s="1"/>
  <c r="K914" i="3" s="1"/>
  <c r="AE914" i="3" s="1"/>
  <c r="F914" i="3" l="1"/>
  <c r="V914" i="3"/>
  <c r="A915" i="3"/>
  <c r="B915" i="3" s="1"/>
  <c r="I914" i="3"/>
  <c r="J914" i="3"/>
  <c r="AD914" i="3" s="1"/>
  <c r="M914" i="3"/>
  <c r="N914" i="3" s="1"/>
  <c r="L914" i="3" l="1"/>
  <c r="AA915" i="3"/>
  <c r="AC915" i="3"/>
  <c r="P915" i="3"/>
  <c r="Q915" i="3" s="1"/>
  <c r="R915" i="3" s="1"/>
  <c r="S915" i="3" s="1"/>
  <c r="Z915" i="3"/>
  <c r="W914" i="3"/>
  <c r="T915" i="3" l="1"/>
  <c r="AG915" i="3" s="1"/>
  <c r="U914" i="3"/>
  <c r="Y913" i="3"/>
  <c r="E915" i="3" l="1"/>
  <c r="H915" i="3" s="1"/>
  <c r="K915" i="3" s="1"/>
  <c r="AE915" i="3" s="1"/>
  <c r="AH915" i="3"/>
  <c r="D915" i="3"/>
  <c r="F915" i="3" l="1"/>
  <c r="G915" i="3"/>
  <c r="I915" i="3" s="1"/>
  <c r="V915" i="3"/>
  <c r="A916" i="3"/>
  <c r="B916" i="3" s="1"/>
  <c r="M915" i="3" l="1"/>
  <c r="N915" i="3" s="1"/>
  <c r="J915" i="3"/>
  <c r="P916" i="3"/>
  <c r="Q916" i="3" s="1"/>
  <c r="R916" i="3" s="1"/>
  <c r="S916" i="3" s="1"/>
  <c r="AC916" i="3"/>
  <c r="AA916" i="3"/>
  <c r="Z916" i="3"/>
  <c r="W915" i="3"/>
  <c r="L915" i="3" l="1"/>
  <c r="U915" i="3" s="1"/>
  <c r="AD915" i="3"/>
  <c r="T916" i="3"/>
  <c r="Y914" i="3" l="1"/>
  <c r="D916" i="3"/>
  <c r="G916" i="3" s="1"/>
  <c r="E916" i="3"/>
  <c r="H916" i="3" s="1"/>
  <c r="K916" i="3" s="1"/>
  <c r="AE916" i="3" s="1"/>
  <c r="AG916" i="3"/>
  <c r="AH916" i="3"/>
  <c r="F916" i="3" l="1"/>
  <c r="I916" i="3"/>
  <c r="J916" i="3"/>
  <c r="AD916" i="3" s="1"/>
  <c r="M916" i="3"/>
  <c r="N916" i="3" s="1"/>
  <c r="V916" i="3"/>
  <c r="A917" i="3"/>
  <c r="B917" i="3" s="1"/>
  <c r="W916" i="3" l="1"/>
  <c r="AC917" i="3"/>
  <c r="AA917" i="3"/>
  <c r="Z917" i="3"/>
  <c r="P917" i="3"/>
  <c r="Q917" i="3" s="1"/>
  <c r="R917" i="3" s="1"/>
  <c r="S917" i="3" s="1"/>
  <c r="L916" i="3"/>
  <c r="T917" i="3" l="1"/>
  <c r="AH917" i="3" s="1"/>
  <c r="U916" i="3"/>
  <c r="Y915" i="3"/>
  <c r="AG917" i="3" l="1"/>
  <c r="D917" i="3"/>
  <c r="G917" i="3" s="1"/>
  <c r="E917" i="3"/>
  <c r="H917" i="3" s="1"/>
  <c r="K917" i="3" s="1"/>
  <c r="AE917" i="3" s="1"/>
  <c r="F917" i="3" l="1"/>
  <c r="I917" i="3"/>
  <c r="J917" i="3"/>
  <c r="AD917" i="3" s="1"/>
  <c r="M917" i="3"/>
  <c r="N917" i="3" s="1"/>
  <c r="V917" i="3"/>
  <c r="W917" i="3" s="1"/>
  <c r="A918" i="3"/>
  <c r="B918" i="3" s="1"/>
  <c r="AA918" i="3" l="1"/>
  <c r="AC918" i="3"/>
  <c r="P918" i="3"/>
  <c r="Q918" i="3" s="1"/>
  <c r="R918" i="3" s="1"/>
  <c r="S918" i="3" s="1"/>
  <c r="Z918" i="3"/>
  <c r="L917" i="3"/>
  <c r="T918" i="3" l="1"/>
  <c r="AG918" i="3" s="1"/>
  <c r="U917" i="3"/>
  <c r="Y916" i="3"/>
  <c r="E918" i="3" l="1"/>
  <c r="H918" i="3" s="1"/>
  <c r="K918" i="3" s="1"/>
  <c r="AE918" i="3" s="1"/>
  <c r="AH918" i="3"/>
  <c r="D918" i="3"/>
  <c r="F918" i="3" l="1"/>
  <c r="G918" i="3"/>
  <c r="I918" i="3" s="1"/>
  <c r="V918" i="3"/>
  <c r="A919" i="3"/>
  <c r="B919" i="3" s="1"/>
  <c r="M918" i="3" l="1"/>
  <c r="N918" i="3" s="1"/>
  <c r="J918" i="3"/>
  <c r="AA919" i="3"/>
  <c r="AC919" i="3"/>
  <c r="P919" i="3"/>
  <c r="Q919" i="3" s="1"/>
  <c r="R919" i="3" s="1"/>
  <c r="S919" i="3" s="1"/>
  <c r="Z919" i="3"/>
  <c r="W918" i="3"/>
  <c r="L918" i="3" l="1"/>
  <c r="U918" i="3" s="1"/>
  <c r="AD918" i="3"/>
  <c r="T919" i="3"/>
  <c r="Y917" i="3" l="1"/>
  <c r="AG919" i="3"/>
  <c r="AH919" i="3"/>
  <c r="E919" i="3"/>
  <c r="H919" i="3" s="1"/>
  <c r="K919" i="3" s="1"/>
  <c r="AE919" i="3" s="1"/>
  <c r="D919" i="3"/>
  <c r="G919" i="3" s="1"/>
  <c r="F919" i="3" l="1"/>
  <c r="I919" i="3"/>
  <c r="J919" i="3"/>
  <c r="AD919" i="3" s="1"/>
  <c r="M919" i="3"/>
  <c r="N919" i="3" s="1"/>
  <c r="V919" i="3"/>
  <c r="A920" i="3"/>
  <c r="B920" i="3" s="1"/>
  <c r="W919" i="3" l="1"/>
  <c r="AA920" i="3"/>
  <c r="P920" i="3"/>
  <c r="Q920" i="3" s="1"/>
  <c r="R920" i="3" s="1"/>
  <c r="S920" i="3" s="1"/>
  <c r="Z920" i="3"/>
  <c r="AC920" i="3"/>
  <c r="L919" i="3"/>
  <c r="T920" i="3" l="1"/>
  <c r="AH920" i="3" s="1"/>
  <c r="U919" i="3"/>
  <c r="Y918" i="3"/>
  <c r="AG920" i="3" l="1"/>
  <c r="E920" i="3"/>
  <c r="H920" i="3" s="1"/>
  <c r="K920" i="3" s="1"/>
  <c r="AE920" i="3" s="1"/>
  <c r="D920" i="3"/>
  <c r="F920" i="3" l="1"/>
  <c r="G920" i="3"/>
  <c r="V920" i="3"/>
  <c r="A921" i="3"/>
  <c r="B921" i="3" s="1"/>
  <c r="P921" i="3" l="1"/>
  <c r="Q921" i="3" s="1"/>
  <c r="R921" i="3" s="1"/>
  <c r="S921" i="3" s="1"/>
  <c r="AA921" i="3"/>
  <c r="AC921" i="3"/>
  <c r="Z921" i="3"/>
  <c r="I920" i="3"/>
  <c r="W920" i="3" s="1"/>
  <c r="J920" i="3"/>
  <c r="AD920" i="3" s="1"/>
  <c r="M920" i="3"/>
  <c r="N920" i="3" s="1"/>
  <c r="L920" i="3" l="1"/>
  <c r="T921" i="3"/>
  <c r="AH921" i="3" l="1"/>
  <c r="U920" i="3"/>
  <c r="E921" i="3" s="1"/>
  <c r="H921" i="3" s="1"/>
  <c r="AG921" i="3"/>
  <c r="Y919" i="3"/>
  <c r="D921" i="3" l="1"/>
  <c r="F921" i="3" s="1"/>
  <c r="K921" i="3"/>
  <c r="AE921" i="3" s="1"/>
  <c r="G921" i="3" l="1"/>
  <c r="I921" i="3" s="1"/>
  <c r="V921" i="3"/>
  <c r="A922" i="3"/>
  <c r="B922" i="3" s="1"/>
  <c r="M921" i="3" l="1"/>
  <c r="N921" i="3" s="1"/>
  <c r="J921" i="3"/>
  <c r="W921" i="3"/>
  <c r="P922" i="3"/>
  <c r="Q922" i="3" s="1"/>
  <c r="R922" i="3" s="1"/>
  <c r="S922" i="3" s="1"/>
  <c r="AA922" i="3"/>
  <c r="Z922" i="3"/>
  <c r="AC922" i="3"/>
  <c r="L921" i="3" l="1"/>
  <c r="U921" i="3" s="1"/>
  <c r="AD921" i="3"/>
  <c r="T922" i="3"/>
  <c r="Y920" i="3" l="1"/>
  <c r="E922" i="3"/>
  <c r="H922" i="3" s="1"/>
  <c r="K922" i="3" s="1"/>
  <c r="AE922" i="3" s="1"/>
  <c r="AG922" i="3"/>
  <c r="AH922" i="3"/>
  <c r="D922" i="3"/>
  <c r="F922" i="3" l="1"/>
  <c r="G922" i="3"/>
  <c r="V922" i="3"/>
  <c r="A923" i="3"/>
  <c r="B923" i="3" s="1"/>
  <c r="P923" i="3" l="1"/>
  <c r="Q923" i="3" s="1"/>
  <c r="R923" i="3" s="1"/>
  <c r="S923" i="3" s="1"/>
  <c r="AA923" i="3"/>
  <c r="Z923" i="3"/>
  <c r="AC923" i="3"/>
  <c r="I922" i="3"/>
  <c r="W922" i="3" s="1"/>
  <c r="J922" i="3"/>
  <c r="AD922" i="3" s="1"/>
  <c r="M922" i="3"/>
  <c r="N922" i="3" s="1"/>
  <c r="L922" i="3" l="1"/>
  <c r="T923" i="3"/>
  <c r="U922" i="3" l="1"/>
  <c r="D923" i="3" s="1"/>
  <c r="AH923" i="3"/>
  <c r="AG923" i="3"/>
  <c r="Y921" i="3"/>
  <c r="E923" i="3" l="1"/>
  <c r="H923" i="3" s="1"/>
  <c r="K923" i="3" s="1"/>
  <c r="AE923" i="3" s="1"/>
  <c r="G923" i="3"/>
  <c r="F923" i="3" l="1"/>
  <c r="V923" i="3"/>
  <c r="A924" i="3"/>
  <c r="B924" i="3" s="1"/>
  <c r="I923" i="3"/>
  <c r="J923" i="3"/>
  <c r="AD923" i="3" s="1"/>
  <c r="M923" i="3"/>
  <c r="N923" i="3" s="1"/>
  <c r="W923" i="3" l="1"/>
  <c r="L923" i="3"/>
  <c r="AC924" i="3"/>
  <c r="P924" i="3"/>
  <c r="Q924" i="3" s="1"/>
  <c r="R924" i="3" s="1"/>
  <c r="S924" i="3" s="1"/>
  <c r="AA924" i="3"/>
  <c r="Z924" i="3"/>
  <c r="T924" i="3" l="1"/>
  <c r="U923" i="3"/>
  <c r="Y922" i="3"/>
  <c r="E924" i="3" l="1"/>
  <c r="H924" i="3" s="1"/>
  <c r="K924" i="3" s="1"/>
  <c r="AE924" i="3" s="1"/>
  <c r="AG924" i="3"/>
  <c r="D924" i="3"/>
  <c r="AH924" i="3"/>
  <c r="F924" i="3" l="1"/>
  <c r="G924" i="3"/>
  <c r="J924" i="3" s="1"/>
  <c r="AD924" i="3" s="1"/>
  <c r="V924" i="3"/>
  <c r="A925" i="3"/>
  <c r="B925" i="3" s="1"/>
  <c r="M924" i="3" l="1"/>
  <c r="N924" i="3" s="1"/>
  <c r="I924" i="3"/>
  <c r="W924" i="3" s="1"/>
  <c r="Z925" i="3"/>
  <c r="AC925" i="3"/>
  <c r="P925" i="3"/>
  <c r="Q925" i="3" s="1"/>
  <c r="R925" i="3" s="1"/>
  <c r="S925" i="3" s="1"/>
  <c r="AA925" i="3"/>
  <c r="L924" i="3"/>
  <c r="T925" i="3" l="1"/>
  <c r="AG925" i="3" s="1"/>
  <c r="U924" i="3"/>
  <c r="Y923" i="3"/>
  <c r="E925" i="3" l="1"/>
  <c r="H925" i="3" s="1"/>
  <c r="K925" i="3" s="1"/>
  <c r="AE925" i="3" s="1"/>
  <c r="AH925" i="3"/>
  <c r="D925" i="3"/>
  <c r="F925" i="3" l="1"/>
  <c r="G925" i="3"/>
  <c r="I925" i="3" s="1"/>
  <c r="V925" i="3"/>
  <c r="A926" i="3"/>
  <c r="B926" i="3" s="1"/>
  <c r="W925" i="3" l="1"/>
  <c r="J925" i="3"/>
  <c r="M925" i="3"/>
  <c r="N925" i="3" s="1"/>
  <c r="P926" i="3"/>
  <c r="Q926" i="3" s="1"/>
  <c r="R926" i="3" s="1"/>
  <c r="S926" i="3" s="1"/>
  <c r="AC926" i="3"/>
  <c r="Z926" i="3"/>
  <c r="AA926" i="3"/>
  <c r="L925" i="3" l="1"/>
  <c r="U925" i="3" s="1"/>
  <c r="AD925" i="3"/>
  <c r="T926" i="3"/>
  <c r="Y924" i="3" l="1"/>
  <c r="AH926" i="3"/>
  <c r="E926" i="3"/>
  <c r="H926" i="3" s="1"/>
  <c r="K926" i="3" s="1"/>
  <c r="AE926" i="3" s="1"/>
  <c r="AG926" i="3"/>
  <c r="D926" i="3"/>
  <c r="G926" i="3" s="1"/>
  <c r="F926" i="3" l="1"/>
  <c r="I926" i="3"/>
  <c r="J926" i="3"/>
  <c r="AD926" i="3" s="1"/>
  <c r="M926" i="3"/>
  <c r="N926" i="3" s="1"/>
  <c r="V926" i="3"/>
  <c r="A927" i="3"/>
  <c r="B927" i="3" s="1"/>
  <c r="W926" i="3" l="1"/>
  <c r="AA927" i="3"/>
  <c r="AC927" i="3"/>
  <c r="Z927" i="3"/>
  <c r="P927" i="3"/>
  <c r="Q927" i="3" s="1"/>
  <c r="R927" i="3" s="1"/>
  <c r="S927" i="3" s="1"/>
  <c r="L926" i="3"/>
  <c r="T927" i="3" l="1"/>
  <c r="AG927" i="3" s="1"/>
  <c r="U926" i="3"/>
  <c r="Y925" i="3"/>
  <c r="E927" i="3" l="1"/>
  <c r="H927" i="3" s="1"/>
  <c r="K927" i="3" s="1"/>
  <c r="AE927" i="3" s="1"/>
  <c r="AH927" i="3"/>
  <c r="D927" i="3"/>
  <c r="F927" i="3" l="1"/>
  <c r="G927" i="3"/>
  <c r="J927" i="3" s="1"/>
  <c r="AD927" i="3" s="1"/>
  <c r="V927" i="3"/>
  <c r="A928" i="3"/>
  <c r="B928" i="3" s="1"/>
  <c r="M927" i="3" l="1"/>
  <c r="N927" i="3" s="1"/>
  <c r="I927" i="3"/>
  <c r="W927" i="3" s="1"/>
  <c r="L927" i="3"/>
  <c r="AC928" i="3"/>
  <c r="P928" i="3"/>
  <c r="Q928" i="3" s="1"/>
  <c r="R928" i="3" s="1"/>
  <c r="S928" i="3" s="1"/>
  <c r="AA928" i="3"/>
  <c r="Z928" i="3"/>
  <c r="T928" i="3" l="1"/>
  <c r="AH928" i="3" s="1"/>
  <c r="U927" i="3"/>
  <c r="Y926" i="3"/>
  <c r="E928" i="3" l="1"/>
  <c r="H928" i="3" s="1"/>
  <c r="K928" i="3" s="1"/>
  <c r="AE928" i="3" s="1"/>
  <c r="AG928" i="3"/>
  <c r="D928" i="3"/>
  <c r="F928" i="3" l="1"/>
  <c r="G928" i="3"/>
  <c r="J928" i="3" s="1"/>
  <c r="AD928" i="3" s="1"/>
  <c r="V928" i="3"/>
  <c r="A929" i="3"/>
  <c r="B929" i="3" s="1"/>
  <c r="M928" i="3" l="1"/>
  <c r="N928" i="3" s="1"/>
  <c r="I928" i="3"/>
  <c r="W928" i="3" s="1"/>
  <c r="AC929" i="3"/>
  <c r="Z929" i="3"/>
  <c r="P929" i="3"/>
  <c r="Q929" i="3" s="1"/>
  <c r="R929" i="3" s="1"/>
  <c r="S929" i="3" s="1"/>
  <c r="AA929" i="3"/>
  <c r="L928" i="3"/>
  <c r="T929" i="3" l="1"/>
  <c r="AH929" i="3" s="1"/>
  <c r="U928" i="3"/>
  <c r="Y927" i="3"/>
  <c r="E929" i="3" l="1"/>
  <c r="H929" i="3" s="1"/>
  <c r="K929" i="3" s="1"/>
  <c r="AE929" i="3" s="1"/>
  <c r="D929" i="3"/>
  <c r="AG929" i="3"/>
  <c r="F929" i="3" l="1"/>
  <c r="G929" i="3"/>
  <c r="I929" i="3" s="1"/>
  <c r="V929" i="3"/>
  <c r="A930" i="3"/>
  <c r="B930" i="3" s="1"/>
  <c r="M929" i="3" l="1"/>
  <c r="N929" i="3" s="1"/>
  <c r="J929" i="3"/>
  <c r="W929" i="3"/>
  <c r="AA930" i="3"/>
  <c r="P930" i="3"/>
  <c r="Q930" i="3" s="1"/>
  <c r="R930" i="3" s="1"/>
  <c r="S930" i="3" s="1"/>
  <c r="Z930" i="3"/>
  <c r="AC930" i="3"/>
  <c r="L929" i="3" l="1"/>
  <c r="U929" i="3" s="1"/>
  <c r="AD929" i="3"/>
  <c r="T930" i="3"/>
  <c r="AH930" i="3" l="1"/>
  <c r="Y928" i="3"/>
  <c r="AG930" i="3"/>
  <c r="D930" i="3"/>
  <c r="E930" i="3"/>
  <c r="H930" i="3" s="1"/>
  <c r="K930" i="3" s="1"/>
  <c r="AE930" i="3" s="1"/>
  <c r="F930" i="3" l="1"/>
  <c r="G930" i="3"/>
  <c r="M930" i="3" s="1"/>
  <c r="N930" i="3" s="1"/>
  <c r="V930" i="3"/>
  <c r="A931" i="3"/>
  <c r="B931" i="3" s="1"/>
  <c r="J930" i="3" l="1"/>
  <c r="AD930" i="3" s="1"/>
  <c r="I930" i="3"/>
  <c r="W930" i="3" s="1"/>
  <c r="AC931" i="3"/>
  <c r="AA931" i="3"/>
  <c r="Z931" i="3"/>
  <c r="P931" i="3"/>
  <c r="Q931" i="3" s="1"/>
  <c r="R931" i="3" s="1"/>
  <c r="S931" i="3" s="1"/>
  <c r="L930" i="3" l="1"/>
  <c r="U930" i="3" s="1"/>
  <c r="T931" i="3"/>
  <c r="Y929" i="3" l="1"/>
  <c r="AH931" i="3"/>
  <c r="AG931" i="3"/>
  <c r="E931" i="3"/>
  <c r="H931" i="3" s="1"/>
  <c r="K931" i="3" s="1"/>
  <c r="AE931" i="3" s="1"/>
  <c r="D931" i="3"/>
  <c r="F931" i="3" l="1"/>
  <c r="G931" i="3"/>
  <c r="I931" i="3" s="1"/>
  <c r="V931" i="3"/>
  <c r="A932" i="3"/>
  <c r="B932" i="3" s="1"/>
  <c r="M931" i="3" l="1"/>
  <c r="N931" i="3" s="1"/>
  <c r="J931" i="3"/>
  <c r="AC932" i="3"/>
  <c r="P932" i="3"/>
  <c r="Q932" i="3" s="1"/>
  <c r="R932" i="3" s="1"/>
  <c r="S932" i="3" s="1"/>
  <c r="AA932" i="3"/>
  <c r="Z932" i="3"/>
  <c r="W931" i="3"/>
  <c r="L931" i="3" l="1"/>
  <c r="U931" i="3" s="1"/>
  <c r="AD931" i="3"/>
  <c r="T932" i="3"/>
  <c r="Y930" i="3" l="1"/>
  <c r="AG932" i="3"/>
  <c r="AH932" i="3"/>
  <c r="E932" i="3"/>
  <c r="H932" i="3" s="1"/>
  <c r="K932" i="3" s="1"/>
  <c r="AE932" i="3" s="1"/>
  <c r="D932" i="3"/>
  <c r="F932" i="3" l="1"/>
  <c r="G932" i="3"/>
  <c r="I932" i="3" s="1"/>
  <c r="V932" i="3"/>
  <c r="A933" i="3"/>
  <c r="B933" i="3" s="1"/>
  <c r="M932" i="3" l="1"/>
  <c r="N932" i="3" s="1"/>
  <c r="J932" i="3"/>
  <c r="W932" i="3"/>
  <c r="P933" i="3"/>
  <c r="Q933" i="3" s="1"/>
  <c r="R933" i="3" s="1"/>
  <c r="S933" i="3" s="1"/>
  <c r="AC933" i="3"/>
  <c r="AA933" i="3"/>
  <c r="Z933" i="3"/>
  <c r="L932" i="3" l="1"/>
  <c r="U932" i="3" s="1"/>
  <c r="AD932" i="3"/>
  <c r="T933" i="3"/>
  <c r="AG933" i="3" l="1"/>
  <c r="Y931" i="3"/>
  <c r="D933" i="3"/>
  <c r="G933" i="3" s="1"/>
  <c r="AH933" i="3"/>
  <c r="E933" i="3"/>
  <c r="H933" i="3" s="1"/>
  <c r="K933" i="3" s="1"/>
  <c r="AE933" i="3" s="1"/>
  <c r="F933" i="3" l="1"/>
  <c r="I933" i="3"/>
  <c r="J933" i="3"/>
  <c r="AD933" i="3" s="1"/>
  <c r="M933" i="3"/>
  <c r="N933" i="3" s="1"/>
  <c r="V933" i="3"/>
  <c r="A934" i="3"/>
  <c r="B934" i="3" s="1"/>
  <c r="W933" i="3" l="1"/>
  <c r="Z934" i="3"/>
  <c r="AA934" i="3"/>
  <c r="P934" i="3"/>
  <c r="Q934" i="3" s="1"/>
  <c r="R934" i="3" s="1"/>
  <c r="S934" i="3" s="1"/>
  <c r="AC934" i="3"/>
  <c r="L933" i="3"/>
  <c r="T934" i="3" l="1"/>
  <c r="AH934" i="3" s="1"/>
  <c r="U933" i="3"/>
  <c r="Y932" i="3"/>
  <c r="AG934" i="3" l="1"/>
  <c r="D934" i="3"/>
  <c r="E934" i="3"/>
  <c r="H934" i="3" s="1"/>
  <c r="K934" i="3" s="1"/>
  <c r="AE934" i="3" s="1"/>
  <c r="F934" i="3" l="1"/>
  <c r="G934" i="3"/>
  <c r="I934" i="3" s="1"/>
  <c r="V934" i="3"/>
  <c r="A935" i="3"/>
  <c r="B935" i="3" s="1"/>
  <c r="M934" i="3" l="1"/>
  <c r="N934" i="3" s="1"/>
  <c r="J934" i="3"/>
  <c r="AC935" i="3"/>
  <c r="P935" i="3"/>
  <c r="Q935" i="3" s="1"/>
  <c r="R935" i="3" s="1"/>
  <c r="S935" i="3" s="1"/>
  <c r="AA935" i="3"/>
  <c r="Z935" i="3"/>
  <c r="W934" i="3"/>
  <c r="L934" i="3" l="1"/>
  <c r="U934" i="3" s="1"/>
  <c r="AD934" i="3"/>
  <c r="T935" i="3"/>
  <c r="Y933" i="3" l="1"/>
  <c r="AG935" i="3"/>
  <c r="D935" i="3"/>
  <c r="G935" i="3" s="1"/>
  <c r="AH935" i="3"/>
  <c r="E935" i="3"/>
  <c r="H935" i="3" s="1"/>
  <c r="K935" i="3" s="1"/>
  <c r="AE935" i="3" s="1"/>
  <c r="F935" i="3" l="1"/>
  <c r="I935" i="3"/>
  <c r="J935" i="3"/>
  <c r="AD935" i="3" s="1"/>
  <c r="M935" i="3"/>
  <c r="N935" i="3" s="1"/>
  <c r="V935" i="3"/>
  <c r="A936" i="3"/>
  <c r="B936" i="3" s="1"/>
  <c r="W935" i="3" l="1"/>
  <c r="AA936" i="3"/>
  <c r="AC936" i="3"/>
  <c r="Z936" i="3"/>
  <c r="P936" i="3"/>
  <c r="Q936" i="3" s="1"/>
  <c r="R936" i="3" s="1"/>
  <c r="S936" i="3" s="1"/>
  <c r="L935" i="3"/>
  <c r="T936" i="3" l="1"/>
  <c r="AH936" i="3" s="1"/>
  <c r="U935" i="3"/>
  <c r="Y934" i="3"/>
  <c r="AG936" i="3" l="1"/>
  <c r="E936" i="3"/>
  <c r="H936" i="3" s="1"/>
  <c r="K936" i="3" s="1"/>
  <c r="AE936" i="3" s="1"/>
  <c r="D936" i="3"/>
  <c r="F936" i="3" l="1"/>
  <c r="G936" i="3"/>
  <c r="I936" i="3" s="1"/>
  <c r="V936" i="3"/>
  <c r="A937" i="3"/>
  <c r="B937" i="3" s="1"/>
  <c r="J936" i="3" l="1"/>
  <c r="M936" i="3"/>
  <c r="N936" i="3" s="1"/>
  <c r="W936" i="3"/>
  <c r="AC937" i="3"/>
  <c r="P937" i="3"/>
  <c r="Q937" i="3" s="1"/>
  <c r="R937" i="3" s="1"/>
  <c r="S937" i="3" s="1"/>
  <c r="AA937" i="3"/>
  <c r="Z937" i="3"/>
  <c r="L936" i="3" l="1"/>
  <c r="U936" i="3" s="1"/>
  <c r="AD936" i="3"/>
  <c r="T937" i="3"/>
  <c r="Y935" i="3" l="1"/>
  <c r="AH937" i="3"/>
  <c r="AG937" i="3"/>
  <c r="D937" i="3"/>
  <c r="G937" i="3" s="1"/>
  <c r="E937" i="3"/>
  <c r="H937" i="3" s="1"/>
  <c r="K937" i="3" l="1"/>
  <c r="AE937" i="3" s="1"/>
  <c r="I937" i="3"/>
  <c r="J937" i="3"/>
  <c r="AD937" i="3" s="1"/>
  <c r="M937" i="3"/>
  <c r="N937" i="3" s="1"/>
  <c r="F937" i="3"/>
  <c r="L937" i="3" l="1"/>
  <c r="V937" i="3"/>
  <c r="W937" i="3" s="1"/>
  <c r="A938" i="3"/>
  <c r="B938" i="3" s="1"/>
  <c r="AA938" i="3" l="1"/>
  <c r="AC938" i="3"/>
  <c r="Z938" i="3"/>
  <c r="P938" i="3"/>
  <c r="Q938" i="3" s="1"/>
  <c r="R938" i="3" s="1"/>
  <c r="S938" i="3" s="1"/>
  <c r="U937" i="3"/>
  <c r="Y936" i="3"/>
  <c r="T938" i="3" l="1"/>
  <c r="D938" i="3" s="1"/>
  <c r="E938" i="3" l="1"/>
  <c r="H938" i="3" s="1"/>
  <c r="K938" i="3" s="1"/>
  <c r="AE938" i="3" s="1"/>
  <c r="AH938" i="3"/>
  <c r="AG938" i="3"/>
  <c r="G938" i="3"/>
  <c r="F938" i="3" l="1"/>
  <c r="V938" i="3"/>
  <c r="A939" i="3"/>
  <c r="B939" i="3" s="1"/>
  <c r="I938" i="3"/>
  <c r="J938" i="3"/>
  <c r="AD938" i="3" s="1"/>
  <c r="M938" i="3"/>
  <c r="N938" i="3" s="1"/>
  <c r="L938" i="3" l="1"/>
  <c r="P939" i="3"/>
  <c r="Q939" i="3" s="1"/>
  <c r="R939" i="3" s="1"/>
  <c r="S939" i="3" s="1"/>
  <c r="AC939" i="3"/>
  <c r="AA939" i="3"/>
  <c r="Z939" i="3"/>
  <c r="W938" i="3"/>
  <c r="T939" i="3" l="1"/>
  <c r="U938" i="3"/>
  <c r="Y937" i="3"/>
  <c r="D939" i="3" l="1"/>
  <c r="G939" i="3" s="1"/>
  <c r="AG939" i="3"/>
  <c r="AH939" i="3"/>
  <c r="E939" i="3"/>
  <c r="H939" i="3" s="1"/>
  <c r="K939" i="3" s="1"/>
  <c r="AE939" i="3" s="1"/>
  <c r="F939" i="3" l="1"/>
  <c r="V939" i="3"/>
  <c r="A940" i="3"/>
  <c r="B940" i="3" s="1"/>
  <c r="I939" i="3"/>
  <c r="J939" i="3"/>
  <c r="AD939" i="3" s="1"/>
  <c r="M939" i="3"/>
  <c r="N939" i="3" s="1"/>
  <c r="Z940" i="3" l="1"/>
  <c r="P940" i="3"/>
  <c r="Q940" i="3" s="1"/>
  <c r="R940" i="3" s="1"/>
  <c r="S940" i="3" s="1"/>
  <c r="AA940" i="3"/>
  <c r="AC940" i="3"/>
  <c r="L939" i="3"/>
  <c r="W939" i="3"/>
  <c r="T940" i="3" l="1"/>
  <c r="AH940" i="3" s="1"/>
  <c r="U939" i="3"/>
  <c r="Y938" i="3"/>
  <c r="D940" i="3" l="1"/>
  <c r="G940" i="3" s="1"/>
  <c r="E940" i="3"/>
  <c r="H940" i="3" s="1"/>
  <c r="K940" i="3" s="1"/>
  <c r="AE940" i="3" s="1"/>
  <c r="AG940" i="3"/>
  <c r="F940" i="3" l="1"/>
  <c r="V940" i="3"/>
  <c r="A941" i="3"/>
  <c r="B941" i="3" s="1"/>
  <c r="I940" i="3"/>
  <c r="J940" i="3"/>
  <c r="AD940" i="3" s="1"/>
  <c r="M940" i="3"/>
  <c r="N940" i="3" s="1"/>
  <c r="AC941" i="3" l="1"/>
  <c r="P941" i="3"/>
  <c r="Q941" i="3" s="1"/>
  <c r="R941" i="3" s="1"/>
  <c r="S941" i="3" s="1"/>
  <c r="AA941" i="3"/>
  <c r="Z941" i="3"/>
  <c r="L940" i="3"/>
  <c r="W940" i="3"/>
  <c r="T941" i="3" l="1"/>
  <c r="AH941" i="3" s="1"/>
  <c r="U940" i="3"/>
  <c r="Y939" i="3"/>
  <c r="AG941" i="3" l="1"/>
  <c r="D941" i="3"/>
  <c r="G941" i="3" s="1"/>
  <c r="E941" i="3"/>
  <c r="H941" i="3" s="1"/>
  <c r="K941" i="3" s="1"/>
  <c r="AE941" i="3" s="1"/>
  <c r="F941" i="3" l="1"/>
  <c r="V941" i="3"/>
  <c r="A942" i="3"/>
  <c r="B942" i="3" s="1"/>
  <c r="I941" i="3"/>
  <c r="J941" i="3"/>
  <c r="AD941" i="3" s="1"/>
  <c r="M941" i="3"/>
  <c r="N941" i="3" s="1"/>
  <c r="L941" i="3" l="1"/>
  <c r="AA942" i="3"/>
  <c r="Z942" i="3"/>
  <c r="AC942" i="3"/>
  <c r="P942" i="3"/>
  <c r="Q942" i="3" s="1"/>
  <c r="R942" i="3" s="1"/>
  <c r="S942" i="3" s="1"/>
  <c r="W941" i="3"/>
  <c r="T942" i="3" l="1"/>
  <c r="AG942" i="3" s="1"/>
  <c r="U941" i="3"/>
  <c r="Y940" i="3"/>
  <c r="AH942" i="3" l="1"/>
  <c r="E942" i="3"/>
  <c r="H942" i="3" s="1"/>
  <c r="K942" i="3" s="1"/>
  <c r="AE942" i="3" s="1"/>
  <c r="D942" i="3"/>
  <c r="F942" i="3" l="1"/>
  <c r="G942" i="3"/>
  <c r="I942" i="3" s="1"/>
  <c r="V942" i="3"/>
  <c r="A943" i="3"/>
  <c r="B943" i="3" s="1"/>
  <c r="J942" i="3" l="1"/>
  <c r="M942" i="3"/>
  <c r="N942" i="3" s="1"/>
  <c r="AC943" i="3"/>
  <c r="P943" i="3"/>
  <c r="Q943" i="3" s="1"/>
  <c r="R943" i="3" s="1"/>
  <c r="S943" i="3" s="1"/>
  <c r="Z943" i="3"/>
  <c r="AA943" i="3"/>
  <c r="W942" i="3"/>
  <c r="L942" i="3" l="1"/>
  <c r="U942" i="3" s="1"/>
  <c r="AD942" i="3"/>
  <c r="T943" i="3"/>
  <c r="Y941" i="3" l="1"/>
  <c r="E943" i="3"/>
  <c r="H943" i="3" s="1"/>
  <c r="K943" i="3" s="1"/>
  <c r="AE943" i="3" s="1"/>
  <c r="AG943" i="3"/>
  <c r="D943" i="3"/>
  <c r="AH943" i="3"/>
  <c r="F943" i="3" l="1"/>
  <c r="G943" i="3"/>
  <c r="I943" i="3" s="1"/>
  <c r="V943" i="3"/>
  <c r="A944" i="3"/>
  <c r="B944" i="3" s="1"/>
  <c r="M943" i="3" l="1"/>
  <c r="N943" i="3" s="1"/>
  <c r="J943" i="3"/>
  <c r="Z944" i="3"/>
  <c r="P944" i="3"/>
  <c r="Q944" i="3" s="1"/>
  <c r="R944" i="3" s="1"/>
  <c r="S944" i="3" s="1"/>
  <c r="AC944" i="3"/>
  <c r="AA944" i="3"/>
  <c r="W943" i="3"/>
  <c r="L943" i="3" l="1"/>
  <c r="U943" i="3" s="1"/>
  <c r="AD943" i="3"/>
  <c r="T944" i="3"/>
  <c r="Y942" i="3" l="1"/>
  <c r="AH944" i="3"/>
  <c r="AG944" i="3"/>
  <c r="D944" i="3"/>
  <c r="G944" i="3" s="1"/>
  <c r="E944" i="3"/>
  <c r="H944" i="3" s="1"/>
  <c r="K944" i="3" s="1"/>
  <c r="AE944" i="3" s="1"/>
  <c r="F944" i="3" l="1"/>
  <c r="V944" i="3"/>
  <c r="A945" i="3"/>
  <c r="B945" i="3" s="1"/>
  <c r="I944" i="3"/>
  <c r="J944" i="3"/>
  <c r="AD944" i="3" s="1"/>
  <c r="M944" i="3"/>
  <c r="N944" i="3" s="1"/>
  <c r="Z945" i="3" l="1"/>
  <c r="AC945" i="3"/>
  <c r="P945" i="3"/>
  <c r="Q945" i="3" s="1"/>
  <c r="R945" i="3" s="1"/>
  <c r="S945" i="3" s="1"/>
  <c r="AA945" i="3"/>
  <c r="L944" i="3"/>
  <c r="W944" i="3"/>
  <c r="T945" i="3" l="1"/>
  <c r="U944" i="3"/>
  <c r="Y943" i="3"/>
  <c r="D945" i="3" l="1"/>
  <c r="G945" i="3" s="1"/>
  <c r="E945" i="3"/>
  <c r="H945" i="3" s="1"/>
  <c r="K945" i="3" s="1"/>
  <c r="AE945" i="3" s="1"/>
  <c r="AH945" i="3"/>
  <c r="AG945" i="3"/>
  <c r="F945" i="3" l="1"/>
  <c r="I945" i="3"/>
  <c r="J945" i="3"/>
  <c r="AD945" i="3" s="1"/>
  <c r="M945" i="3"/>
  <c r="N945" i="3" s="1"/>
  <c r="V945" i="3"/>
  <c r="A946" i="3"/>
  <c r="B946" i="3" s="1"/>
  <c r="W945" i="3" l="1"/>
  <c r="Z946" i="3"/>
  <c r="AC946" i="3"/>
  <c r="AA946" i="3"/>
  <c r="P946" i="3"/>
  <c r="Q946" i="3" s="1"/>
  <c r="R946" i="3" s="1"/>
  <c r="S946" i="3" s="1"/>
  <c r="L945" i="3"/>
  <c r="T946" i="3" l="1"/>
  <c r="AH946" i="3" s="1"/>
  <c r="U945" i="3"/>
  <c r="Y944" i="3"/>
  <c r="D946" i="3" l="1"/>
  <c r="G946" i="3" s="1"/>
  <c r="AG946" i="3"/>
  <c r="E946" i="3"/>
  <c r="H946" i="3" s="1"/>
  <c r="K946" i="3" s="1"/>
  <c r="AE946" i="3" s="1"/>
  <c r="F946" i="3" l="1"/>
  <c r="I946" i="3"/>
  <c r="J946" i="3"/>
  <c r="AD946" i="3" s="1"/>
  <c r="M946" i="3"/>
  <c r="N946" i="3" s="1"/>
  <c r="V946" i="3"/>
  <c r="A947" i="3"/>
  <c r="B947" i="3" s="1"/>
  <c r="W946" i="3" l="1"/>
  <c r="Z947" i="3"/>
  <c r="P947" i="3"/>
  <c r="Q947" i="3" s="1"/>
  <c r="R947" i="3" s="1"/>
  <c r="S947" i="3" s="1"/>
  <c r="AC947" i="3"/>
  <c r="AA947" i="3"/>
  <c r="L946" i="3"/>
  <c r="T947" i="3" l="1"/>
  <c r="AG947" i="3" s="1"/>
  <c r="U946" i="3"/>
  <c r="Y945" i="3"/>
  <c r="AH947" i="3" l="1"/>
  <c r="E947" i="3"/>
  <c r="H947" i="3" s="1"/>
  <c r="K947" i="3" s="1"/>
  <c r="AE947" i="3" s="1"/>
  <c r="D947" i="3"/>
  <c r="F947" i="3" l="1"/>
  <c r="G947" i="3"/>
  <c r="I947" i="3" s="1"/>
  <c r="V947" i="3"/>
  <c r="A948" i="3"/>
  <c r="B948" i="3" s="1"/>
  <c r="M947" i="3" l="1"/>
  <c r="N947" i="3" s="1"/>
  <c r="J947" i="3"/>
  <c r="AA948" i="3"/>
  <c r="Z948" i="3"/>
  <c r="AC948" i="3"/>
  <c r="P948" i="3"/>
  <c r="Q948" i="3" s="1"/>
  <c r="R948" i="3" s="1"/>
  <c r="S948" i="3" s="1"/>
  <c r="W947" i="3"/>
  <c r="L947" i="3" l="1"/>
  <c r="U947" i="3" s="1"/>
  <c r="AD947" i="3"/>
  <c r="T948" i="3"/>
  <c r="Y946" i="3" l="1"/>
  <c r="AH948" i="3"/>
  <c r="AG948" i="3"/>
  <c r="D948" i="3"/>
  <c r="G948" i="3" s="1"/>
  <c r="E948" i="3"/>
  <c r="H948" i="3" s="1"/>
  <c r="K948" i="3" s="1"/>
  <c r="AE948" i="3" s="1"/>
  <c r="F948" i="3" l="1"/>
  <c r="V948" i="3"/>
  <c r="A949" i="3"/>
  <c r="B949" i="3" s="1"/>
  <c r="I948" i="3"/>
  <c r="J948" i="3"/>
  <c r="AD948" i="3" s="1"/>
  <c r="M948" i="3"/>
  <c r="N948" i="3" s="1"/>
  <c r="W948" i="3" l="1"/>
  <c r="L948" i="3"/>
  <c r="AA949" i="3"/>
  <c r="Z949" i="3"/>
  <c r="P949" i="3"/>
  <c r="Q949" i="3" s="1"/>
  <c r="R949" i="3" s="1"/>
  <c r="S949" i="3" s="1"/>
  <c r="AC949" i="3"/>
  <c r="U948" i="3" l="1"/>
  <c r="Y947" i="3"/>
  <c r="T949" i="3"/>
  <c r="E949" i="3" l="1"/>
  <c r="H949" i="3" s="1"/>
  <c r="K949" i="3" s="1"/>
  <c r="AE949" i="3" s="1"/>
  <c r="AH949" i="3"/>
  <c r="D949" i="3"/>
  <c r="AG949" i="3"/>
  <c r="F949" i="3" l="1"/>
  <c r="G949" i="3"/>
  <c r="I949" i="3" s="1"/>
  <c r="V949" i="3"/>
  <c r="A950" i="3"/>
  <c r="B950" i="3" s="1"/>
  <c r="M949" i="3" l="1"/>
  <c r="N949" i="3" s="1"/>
  <c r="J949" i="3"/>
  <c r="W949" i="3"/>
  <c r="AC950" i="3"/>
  <c r="Z950" i="3"/>
  <c r="AA950" i="3"/>
  <c r="P950" i="3"/>
  <c r="Q950" i="3" s="1"/>
  <c r="R950" i="3" s="1"/>
  <c r="S950" i="3" s="1"/>
  <c r="L949" i="3" l="1"/>
  <c r="U949" i="3" s="1"/>
  <c r="AD949" i="3"/>
  <c r="T950" i="3"/>
  <c r="Y948" i="3" l="1"/>
  <c r="AH950" i="3"/>
  <c r="E950" i="3"/>
  <c r="H950" i="3" s="1"/>
  <c r="K950" i="3" s="1"/>
  <c r="AE950" i="3" s="1"/>
  <c r="AG950" i="3"/>
  <c r="D950" i="3"/>
  <c r="F950" i="3" l="1"/>
  <c r="G950" i="3"/>
  <c r="V950" i="3"/>
  <c r="A951" i="3"/>
  <c r="B951" i="3" s="1"/>
  <c r="AC951" i="3" l="1"/>
  <c r="AA951" i="3"/>
  <c r="Z951" i="3"/>
  <c r="P951" i="3"/>
  <c r="Q951" i="3" s="1"/>
  <c r="R951" i="3" s="1"/>
  <c r="S951" i="3" s="1"/>
  <c r="I950" i="3"/>
  <c r="W950" i="3" s="1"/>
  <c r="J950" i="3"/>
  <c r="AD950" i="3" s="1"/>
  <c r="M950" i="3"/>
  <c r="N950" i="3" s="1"/>
  <c r="T951" i="3" l="1"/>
  <c r="L950" i="3"/>
  <c r="AH951" i="3" l="1"/>
  <c r="U950" i="3"/>
  <c r="E951" i="3" s="1"/>
  <c r="H951" i="3" s="1"/>
  <c r="AG951" i="3"/>
  <c r="Y949" i="3"/>
  <c r="D951" i="3" l="1"/>
  <c r="F951" i="3" s="1"/>
  <c r="K951" i="3"/>
  <c r="AE951" i="3" s="1"/>
  <c r="G951" i="3" l="1"/>
  <c r="I951" i="3" s="1"/>
  <c r="V951" i="3"/>
  <c r="A952" i="3"/>
  <c r="B952" i="3" s="1"/>
  <c r="M951" i="3" l="1"/>
  <c r="N951" i="3" s="1"/>
  <c r="J951" i="3"/>
  <c r="AC952" i="3"/>
  <c r="Z952" i="3"/>
  <c r="AA952" i="3"/>
  <c r="P952" i="3"/>
  <c r="Q952" i="3" s="1"/>
  <c r="R952" i="3" s="1"/>
  <c r="S952" i="3" s="1"/>
  <c r="W951" i="3"/>
  <c r="L951" i="3" l="1"/>
  <c r="U951" i="3" s="1"/>
  <c r="AD951" i="3"/>
  <c r="T952" i="3"/>
  <c r="Y950" i="3" l="1"/>
  <c r="AH952" i="3"/>
  <c r="E952" i="3"/>
  <c r="H952" i="3" s="1"/>
  <c r="K952" i="3" s="1"/>
  <c r="AE952" i="3" s="1"/>
  <c r="D952" i="3"/>
  <c r="AG952" i="3"/>
  <c r="F952" i="3" l="1"/>
  <c r="G952" i="3"/>
  <c r="I952" i="3" s="1"/>
  <c r="V952" i="3"/>
  <c r="A953" i="3"/>
  <c r="B953" i="3" s="1"/>
  <c r="M952" i="3" l="1"/>
  <c r="N952" i="3" s="1"/>
  <c r="J952" i="3"/>
  <c r="W952" i="3"/>
  <c r="AC953" i="3"/>
  <c r="AA953" i="3"/>
  <c r="Z953" i="3"/>
  <c r="P953" i="3"/>
  <c r="Q953" i="3" s="1"/>
  <c r="R953" i="3" s="1"/>
  <c r="S953" i="3" s="1"/>
  <c r="L952" i="3" l="1"/>
  <c r="U952" i="3" s="1"/>
  <c r="AD952" i="3"/>
  <c r="T953" i="3"/>
  <c r="Y951" i="3" l="1"/>
  <c r="AH953" i="3"/>
  <c r="D953" i="3"/>
  <c r="G953" i="3" s="1"/>
  <c r="AG953" i="3"/>
  <c r="E953" i="3"/>
  <c r="H953" i="3" s="1"/>
  <c r="K953" i="3" s="1"/>
  <c r="AE953" i="3" s="1"/>
  <c r="F953" i="3" l="1"/>
  <c r="I953" i="3"/>
  <c r="J953" i="3"/>
  <c r="AD953" i="3" s="1"/>
  <c r="M953" i="3"/>
  <c r="N953" i="3" s="1"/>
  <c r="V953" i="3"/>
  <c r="A954" i="3"/>
  <c r="B954" i="3" s="1"/>
  <c r="W953" i="3" l="1"/>
  <c r="AC954" i="3"/>
  <c r="Z954" i="3"/>
  <c r="AA954" i="3"/>
  <c r="P954" i="3"/>
  <c r="Q954" i="3" s="1"/>
  <c r="R954" i="3" s="1"/>
  <c r="S954" i="3" s="1"/>
  <c r="L953" i="3"/>
  <c r="T954" i="3" l="1"/>
  <c r="AH954" i="3" s="1"/>
  <c r="U953" i="3"/>
  <c r="Y952" i="3"/>
  <c r="D954" i="3" l="1"/>
  <c r="G954" i="3" s="1"/>
  <c r="AG954" i="3"/>
  <c r="E954" i="3"/>
  <c r="H954" i="3" s="1"/>
  <c r="K954" i="3" l="1"/>
  <c r="AE954" i="3" s="1"/>
  <c r="I954" i="3"/>
  <c r="J954" i="3"/>
  <c r="AD954" i="3" s="1"/>
  <c r="M954" i="3"/>
  <c r="N954" i="3" s="1"/>
  <c r="F954" i="3"/>
  <c r="L954" i="3" l="1"/>
  <c r="V954" i="3"/>
  <c r="W954" i="3" s="1"/>
  <c r="A955" i="3"/>
  <c r="B955" i="3" s="1"/>
  <c r="Z955" i="3" l="1"/>
  <c r="AA955" i="3"/>
  <c r="P955" i="3"/>
  <c r="Q955" i="3" s="1"/>
  <c r="R955" i="3" s="1"/>
  <c r="S955" i="3" s="1"/>
  <c r="AC955" i="3"/>
  <c r="U954" i="3"/>
  <c r="Y953" i="3"/>
  <c r="T955" i="3" l="1"/>
  <c r="AG955" i="3" s="1"/>
  <c r="E955" i="3" l="1"/>
  <c r="H955" i="3" s="1"/>
  <c r="K955" i="3" s="1"/>
  <c r="AE955" i="3" s="1"/>
  <c r="D955" i="3"/>
  <c r="AH955" i="3"/>
  <c r="F955" i="3" l="1"/>
  <c r="G955" i="3"/>
  <c r="I955" i="3" s="1"/>
  <c r="V955" i="3"/>
  <c r="A956" i="3"/>
  <c r="B956" i="3" s="1"/>
  <c r="M955" i="3" l="1"/>
  <c r="N955" i="3" s="1"/>
  <c r="J955" i="3"/>
  <c r="AA956" i="3"/>
  <c r="Z956" i="3"/>
  <c r="P956" i="3"/>
  <c r="Q956" i="3" s="1"/>
  <c r="R956" i="3" s="1"/>
  <c r="S956" i="3" s="1"/>
  <c r="AC956" i="3"/>
  <c r="W955" i="3"/>
  <c r="L955" i="3" l="1"/>
  <c r="U955" i="3" s="1"/>
  <c r="AD955" i="3"/>
  <c r="T956" i="3"/>
  <c r="Y954" i="3" l="1"/>
  <c r="AH956" i="3"/>
  <c r="D956" i="3"/>
  <c r="G956" i="3" s="1"/>
  <c r="AG956" i="3"/>
  <c r="E956" i="3"/>
  <c r="H956" i="3" s="1"/>
  <c r="K956" i="3" s="1"/>
  <c r="AE956" i="3" s="1"/>
  <c r="F956" i="3" l="1"/>
  <c r="V956" i="3"/>
  <c r="A957" i="3"/>
  <c r="B957" i="3" s="1"/>
  <c r="I956" i="3"/>
  <c r="J956" i="3"/>
  <c r="AD956" i="3" s="1"/>
  <c r="M956" i="3"/>
  <c r="N956" i="3" s="1"/>
  <c r="L956" i="3" l="1"/>
  <c r="Z957" i="3"/>
  <c r="AA957" i="3"/>
  <c r="P957" i="3"/>
  <c r="Q957" i="3" s="1"/>
  <c r="R957" i="3" s="1"/>
  <c r="S957" i="3" s="1"/>
  <c r="AC957" i="3"/>
  <c r="W956" i="3"/>
  <c r="T957" i="3" l="1"/>
  <c r="AG957" i="3" s="1"/>
  <c r="U956" i="3"/>
  <c r="Y955" i="3"/>
  <c r="AH957" i="3" l="1"/>
  <c r="E957" i="3"/>
  <c r="H957" i="3" s="1"/>
  <c r="K957" i="3" s="1"/>
  <c r="AE957" i="3" s="1"/>
  <c r="D957" i="3"/>
  <c r="F957" i="3" l="1"/>
  <c r="G957" i="3"/>
  <c r="V957" i="3"/>
  <c r="A958" i="3"/>
  <c r="B958" i="3" s="1"/>
  <c r="P958" i="3" l="1"/>
  <c r="Q958" i="3" s="1"/>
  <c r="R958" i="3" s="1"/>
  <c r="S958" i="3" s="1"/>
  <c r="AA958" i="3"/>
  <c r="Z958" i="3"/>
  <c r="AC958" i="3"/>
  <c r="I957" i="3"/>
  <c r="W957" i="3" s="1"/>
  <c r="J957" i="3"/>
  <c r="AD957" i="3" s="1"/>
  <c r="M957" i="3"/>
  <c r="N957" i="3" s="1"/>
  <c r="L957" i="3" l="1"/>
  <c r="T958" i="3"/>
  <c r="U957" i="3" l="1"/>
  <c r="E958" i="3" s="1"/>
  <c r="H958" i="3" s="1"/>
  <c r="AG958" i="3"/>
  <c r="AH958" i="3"/>
  <c r="Y956" i="3"/>
  <c r="D958" i="3" l="1"/>
  <c r="F958" i="3" s="1"/>
  <c r="K958" i="3"/>
  <c r="AE958" i="3" s="1"/>
  <c r="G958" i="3" l="1"/>
  <c r="I958" i="3" s="1"/>
  <c r="V958" i="3"/>
  <c r="A959" i="3"/>
  <c r="B959" i="3" s="1"/>
  <c r="M958" i="3" l="1"/>
  <c r="N958" i="3" s="1"/>
  <c r="J958" i="3"/>
  <c r="AD958" i="3" s="1"/>
  <c r="P959" i="3"/>
  <c r="Q959" i="3" s="1"/>
  <c r="R959" i="3" s="1"/>
  <c r="S959" i="3" s="1"/>
  <c r="Z959" i="3"/>
  <c r="AA959" i="3"/>
  <c r="AC959" i="3"/>
  <c r="W958" i="3"/>
  <c r="L958" i="3" l="1"/>
  <c r="U958" i="3" s="1"/>
  <c r="T959" i="3"/>
  <c r="AH959" i="3" l="1"/>
  <c r="Y957" i="3"/>
  <c r="D959" i="3"/>
  <c r="E959" i="3"/>
  <c r="H959" i="3" s="1"/>
  <c r="AG959" i="3"/>
  <c r="K959" i="3" l="1"/>
  <c r="AE959" i="3" s="1"/>
  <c r="F959" i="3"/>
  <c r="G959" i="3"/>
  <c r="I959" i="3" l="1"/>
  <c r="J959" i="3"/>
  <c r="AD959" i="3" s="1"/>
  <c r="M959" i="3"/>
  <c r="N959" i="3" s="1"/>
  <c r="V959" i="3"/>
  <c r="A960" i="3"/>
  <c r="B960" i="3" s="1"/>
  <c r="W959" i="3" l="1"/>
  <c r="AC960" i="3"/>
  <c r="Z960" i="3"/>
  <c r="AA960" i="3"/>
  <c r="P960" i="3"/>
  <c r="Q960" i="3" s="1"/>
  <c r="R960" i="3" s="1"/>
  <c r="S960" i="3" s="1"/>
  <c r="L959" i="3"/>
  <c r="T960" i="3" l="1"/>
  <c r="AH960" i="3" s="1"/>
  <c r="U959" i="3"/>
  <c r="Y958" i="3"/>
  <c r="D960" i="3" l="1"/>
  <c r="G960" i="3" s="1"/>
  <c r="E960" i="3"/>
  <c r="H960" i="3" s="1"/>
  <c r="K960" i="3" s="1"/>
  <c r="AE960" i="3" s="1"/>
  <c r="AG960" i="3"/>
  <c r="F960" i="3" l="1"/>
  <c r="I960" i="3"/>
  <c r="J960" i="3"/>
  <c r="AD960" i="3" s="1"/>
  <c r="M960" i="3"/>
  <c r="N960" i="3" s="1"/>
  <c r="V960" i="3"/>
  <c r="A961" i="3"/>
  <c r="B961" i="3" s="1"/>
  <c r="W960" i="3" l="1"/>
  <c r="AC961" i="3"/>
  <c r="AA961" i="3"/>
  <c r="Z961" i="3"/>
  <c r="P961" i="3"/>
  <c r="Q961" i="3" s="1"/>
  <c r="R961" i="3" s="1"/>
  <c r="S961" i="3" s="1"/>
  <c r="L960" i="3"/>
  <c r="T961" i="3" l="1"/>
  <c r="AG961" i="3" s="1"/>
  <c r="U960" i="3"/>
  <c r="Y959" i="3"/>
  <c r="D961" i="3" l="1"/>
  <c r="G961" i="3" s="1"/>
  <c r="AH961" i="3"/>
  <c r="E961" i="3"/>
  <c r="H961" i="3" s="1"/>
  <c r="K961" i="3" s="1"/>
  <c r="AE961" i="3" s="1"/>
  <c r="F961" i="3" l="1"/>
  <c r="I961" i="3"/>
  <c r="J961" i="3"/>
  <c r="AD961" i="3" s="1"/>
  <c r="M961" i="3"/>
  <c r="N961" i="3" s="1"/>
  <c r="V961" i="3"/>
  <c r="A962" i="3"/>
  <c r="B962" i="3" s="1"/>
  <c r="W961" i="3" l="1"/>
  <c r="P962" i="3"/>
  <c r="Q962" i="3" s="1"/>
  <c r="R962" i="3" s="1"/>
  <c r="S962" i="3" s="1"/>
  <c r="AC962" i="3"/>
  <c r="AA962" i="3"/>
  <c r="Z962" i="3"/>
  <c r="L961" i="3"/>
  <c r="T962" i="3" l="1"/>
  <c r="AH962" i="3" s="1"/>
  <c r="U961" i="3"/>
  <c r="Y960" i="3"/>
  <c r="AG962" i="3" l="1"/>
  <c r="D962" i="3"/>
  <c r="G962" i="3" s="1"/>
  <c r="E962" i="3"/>
  <c r="H962" i="3" s="1"/>
  <c r="K962" i="3" s="1"/>
  <c r="AE962" i="3" s="1"/>
  <c r="F962" i="3" l="1"/>
  <c r="V962" i="3"/>
  <c r="A963" i="3"/>
  <c r="B963" i="3" s="1"/>
  <c r="I962" i="3"/>
  <c r="J962" i="3"/>
  <c r="AD962" i="3" s="1"/>
  <c r="M962" i="3"/>
  <c r="N962" i="3" s="1"/>
  <c r="L962" i="3" l="1"/>
  <c r="P963" i="3"/>
  <c r="Q963" i="3" s="1"/>
  <c r="R963" i="3" s="1"/>
  <c r="S963" i="3" s="1"/>
  <c r="AC963" i="3"/>
  <c r="AA963" i="3"/>
  <c r="Z963" i="3"/>
  <c r="W962" i="3"/>
  <c r="T963" i="3" l="1"/>
  <c r="AH963" i="3" s="1"/>
  <c r="U962" i="3"/>
  <c r="Y961" i="3"/>
  <c r="D963" i="3" l="1"/>
  <c r="G963" i="3" s="1"/>
  <c r="AG963" i="3"/>
  <c r="E963" i="3"/>
  <c r="H963" i="3" s="1"/>
  <c r="K963" i="3" s="1"/>
  <c r="AE963" i="3" s="1"/>
  <c r="F963" i="3" l="1"/>
  <c r="V963" i="3"/>
  <c r="A964" i="3"/>
  <c r="B964" i="3" s="1"/>
  <c r="I963" i="3"/>
  <c r="J963" i="3"/>
  <c r="AD963" i="3" s="1"/>
  <c r="M963" i="3"/>
  <c r="N963" i="3" s="1"/>
  <c r="L963" i="3" l="1"/>
  <c r="P964" i="3"/>
  <c r="Q964" i="3" s="1"/>
  <c r="R964" i="3" s="1"/>
  <c r="S964" i="3" s="1"/>
  <c r="AA964" i="3"/>
  <c r="Z964" i="3"/>
  <c r="AC964" i="3"/>
  <c r="W963" i="3"/>
  <c r="T964" i="3" l="1"/>
  <c r="AG964" i="3" s="1"/>
  <c r="U963" i="3"/>
  <c r="Y962" i="3"/>
  <c r="AH964" i="3" l="1"/>
  <c r="E964" i="3"/>
  <c r="H964" i="3" s="1"/>
  <c r="K964" i="3" s="1"/>
  <c r="AE964" i="3" s="1"/>
  <c r="D964" i="3"/>
  <c r="F964" i="3" l="1"/>
  <c r="G964" i="3"/>
  <c r="I964" i="3" s="1"/>
  <c r="V964" i="3"/>
  <c r="A965" i="3"/>
  <c r="B965" i="3" s="1"/>
  <c r="M964" i="3" l="1"/>
  <c r="N964" i="3" s="1"/>
  <c r="J964" i="3"/>
  <c r="Z965" i="3"/>
  <c r="AC965" i="3"/>
  <c r="P965" i="3"/>
  <c r="Q965" i="3" s="1"/>
  <c r="R965" i="3" s="1"/>
  <c r="S965" i="3" s="1"/>
  <c r="AA965" i="3"/>
  <c r="W964" i="3"/>
  <c r="L964" i="3" l="1"/>
  <c r="U964" i="3" s="1"/>
  <c r="AD964" i="3"/>
  <c r="T965" i="3"/>
  <c r="Y963" i="3" l="1"/>
  <c r="AH965" i="3"/>
  <c r="E965" i="3"/>
  <c r="H965" i="3" s="1"/>
  <c r="K965" i="3" s="1"/>
  <c r="AE965" i="3" s="1"/>
  <c r="AG965" i="3"/>
  <c r="D965" i="3"/>
  <c r="F965" i="3" l="1"/>
  <c r="G965" i="3"/>
  <c r="I965" i="3" s="1"/>
  <c r="V965" i="3"/>
  <c r="A966" i="3"/>
  <c r="B966" i="3" s="1"/>
  <c r="M965" i="3" l="1"/>
  <c r="N965" i="3" s="1"/>
  <c r="J965" i="3"/>
  <c r="W965" i="3"/>
  <c r="Z966" i="3"/>
  <c r="AC966" i="3"/>
  <c r="P966" i="3"/>
  <c r="Q966" i="3" s="1"/>
  <c r="R966" i="3" s="1"/>
  <c r="S966" i="3" s="1"/>
  <c r="AA966" i="3"/>
  <c r="L965" i="3" l="1"/>
  <c r="U965" i="3" s="1"/>
  <c r="AD965" i="3"/>
  <c r="T966" i="3"/>
  <c r="AH966" i="3" l="1"/>
  <c r="Y964" i="3"/>
  <c r="AG966" i="3"/>
  <c r="D966" i="3"/>
  <c r="G966" i="3" s="1"/>
  <c r="E966" i="3"/>
  <c r="H966" i="3" s="1"/>
  <c r="K966" i="3" s="1"/>
  <c r="AE966" i="3" s="1"/>
  <c r="F966" i="3" l="1"/>
  <c r="V966" i="3"/>
  <c r="A967" i="3"/>
  <c r="B967" i="3" s="1"/>
  <c r="I966" i="3"/>
  <c r="J966" i="3"/>
  <c r="AD966" i="3" s="1"/>
  <c r="M966" i="3"/>
  <c r="N966" i="3" s="1"/>
  <c r="L966" i="3" l="1"/>
  <c r="W966" i="3"/>
  <c r="P967" i="3"/>
  <c r="Q967" i="3" s="1"/>
  <c r="R967" i="3" s="1"/>
  <c r="S967" i="3" s="1"/>
  <c r="AA967" i="3"/>
  <c r="Z967" i="3"/>
  <c r="AC967" i="3"/>
  <c r="T967" i="3" l="1"/>
  <c r="AH967" i="3" s="1"/>
  <c r="U966" i="3"/>
  <c r="Y965" i="3"/>
  <c r="AG967" i="3" l="1"/>
  <c r="D967" i="3"/>
  <c r="G967" i="3" s="1"/>
  <c r="E967" i="3"/>
  <c r="H967" i="3" s="1"/>
  <c r="K967" i="3" s="1"/>
  <c r="AE967" i="3" s="1"/>
  <c r="F967" i="3" l="1"/>
  <c r="I967" i="3"/>
  <c r="J967" i="3"/>
  <c r="AD967" i="3" s="1"/>
  <c r="M967" i="3"/>
  <c r="N967" i="3" s="1"/>
  <c r="V967" i="3"/>
  <c r="A968" i="3"/>
  <c r="B968" i="3" s="1"/>
  <c r="W967" i="3" l="1"/>
  <c r="P968" i="3"/>
  <c r="Q968" i="3" s="1"/>
  <c r="R968" i="3" s="1"/>
  <c r="S968" i="3" s="1"/>
  <c r="Z968" i="3"/>
  <c r="AA968" i="3"/>
  <c r="AC968" i="3"/>
  <c r="L967" i="3"/>
  <c r="T968" i="3" l="1"/>
  <c r="AG968" i="3" s="1"/>
  <c r="U967" i="3"/>
  <c r="Y966" i="3"/>
  <c r="E968" i="3" l="1"/>
  <c r="H968" i="3" s="1"/>
  <c r="K968" i="3" s="1"/>
  <c r="AE968" i="3" s="1"/>
  <c r="AH968" i="3"/>
  <c r="D968" i="3"/>
  <c r="F968" i="3" l="1"/>
  <c r="G968" i="3"/>
  <c r="I968" i="3" s="1"/>
  <c r="V968" i="3"/>
  <c r="A969" i="3"/>
  <c r="B969" i="3" s="1"/>
  <c r="M968" i="3" l="1"/>
  <c r="N968" i="3" s="1"/>
  <c r="J968" i="3"/>
  <c r="AA969" i="3"/>
  <c r="P969" i="3"/>
  <c r="Q969" i="3" s="1"/>
  <c r="R969" i="3" s="1"/>
  <c r="S969" i="3" s="1"/>
  <c r="Z969" i="3"/>
  <c r="AC969" i="3"/>
  <c r="W968" i="3"/>
  <c r="L968" i="3" l="1"/>
  <c r="U968" i="3" s="1"/>
  <c r="AD968" i="3"/>
  <c r="T969" i="3"/>
  <c r="Y967" i="3" l="1"/>
  <c r="D969" i="3"/>
  <c r="G969" i="3" s="1"/>
  <c r="AH969" i="3"/>
  <c r="E969" i="3"/>
  <c r="H969" i="3" s="1"/>
  <c r="K969" i="3" s="1"/>
  <c r="AE969" i="3" s="1"/>
  <c r="AG969" i="3"/>
  <c r="F969" i="3" l="1"/>
  <c r="I969" i="3"/>
  <c r="J969" i="3"/>
  <c r="AD969" i="3" s="1"/>
  <c r="M969" i="3"/>
  <c r="N969" i="3" s="1"/>
  <c r="V969" i="3"/>
  <c r="A970" i="3"/>
  <c r="B970" i="3" s="1"/>
  <c r="W969" i="3" l="1"/>
  <c r="AC970" i="3"/>
  <c r="P970" i="3"/>
  <c r="Q970" i="3" s="1"/>
  <c r="R970" i="3" s="1"/>
  <c r="S970" i="3" s="1"/>
  <c r="AA970" i="3"/>
  <c r="Z970" i="3"/>
  <c r="L969" i="3"/>
  <c r="T970" i="3" l="1"/>
  <c r="AG970" i="3" s="1"/>
  <c r="U969" i="3"/>
  <c r="Y968" i="3"/>
  <c r="AH970" i="3" l="1"/>
  <c r="E970" i="3"/>
  <c r="H970" i="3" s="1"/>
  <c r="K970" i="3" s="1"/>
  <c r="AE970" i="3" s="1"/>
  <c r="D970" i="3"/>
  <c r="F970" i="3" l="1"/>
  <c r="G970" i="3"/>
  <c r="I970" i="3" s="1"/>
  <c r="V970" i="3"/>
  <c r="A971" i="3"/>
  <c r="B971" i="3" s="1"/>
  <c r="J970" i="3" l="1"/>
  <c r="W970" i="3"/>
  <c r="M970" i="3"/>
  <c r="N970" i="3" s="1"/>
  <c r="P971" i="3"/>
  <c r="Q971" i="3" s="1"/>
  <c r="R971" i="3" s="1"/>
  <c r="S971" i="3" s="1"/>
  <c r="Z971" i="3"/>
  <c r="AA971" i="3"/>
  <c r="AC971" i="3"/>
  <c r="L970" i="3" l="1"/>
  <c r="U970" i="3" s="1"/>
  <c r="AD970" i="3"/>
  <c r="T971" i="3"/>
  <c r="AH971" i="3" l="1"/>
  <c r="Y969" i="3"/>
  <c r="E971" i="3"/>
  <c r="H971" i="3" s="1"/>
  <c r="K971" i="3" s="1"/>
  <c r="AE971" i="3" s="1"/>
  <c r="AG971" i="3"/>
  <c r="D971" i="3"/>
  <c r="F971" i="3" l="1"/>
  <c r="G971" i="3"/>
  <c r="V971" i="3"/>
  <c r="A972" i="3"/>
  <c r="B972" i="3" s="1"/>
  <c r="P972" i="3" l="1"/>
  <c r="Q972" i="3" s="1"/>
  <c r="R972" i="3" s="1"/>
  <c r="S972" i="3" s="1"/>
  <c r="AC972" i="3"/>
  <c r="Z972" i="3"/>
  <c r="AA972" i="3"/>
  <c r="I971" i="3"/>
  <c r="W971" i="3" s="1"/>
  <c r="J971" i="3"/>
  <c r="AD971" i="3" s="1"/>
  <c r="M971" i="3"/>
  <c r="N971" i="3" s="1"/>
  <c r="L971" i="3" l="1"/>
  <c r="T972" i="3"/>
  <c r="AG972" i="3" l="1"/>
  <c r="AH972" i="3"/>
  <c r="U971" i="3"/>
  <c r="E972" i="3" s="1"/>
  <c r="H972" i="3" s="1"/>
  <c r="Y970" i="3"/>
  <c r="K972" i="3" l="1"/>
  <c r="AE972" i="3" s="1"/>
  <c r="D972" i="3"/>
  <c r="F972" i="3" l="1"/>
  <c r="G972" i="3"/>
  <c r="V972" i="3"/>
  <c r="A973" i="3"/>
  <c r="B973" i="3" s="1"/>
  <c r="AC973" i="3" l="1"/>
  <c r="Z973" i="3"/>
  <c r="P973" i="3"/>
  <c r="Q973" i="3" s="1"/>
  <c r="R973" i="3" s="1"/>
  <c r="S973" i="3" s="1"/>
  <c r="AA973" i="3"/>
  <c r="I972" i="3"/>
  <c r="W972" i="3" s="1"/>
  <c r="J972" i="3"/>
  <c r="AD972" i="3" s="1"/>
  <c r="M972" i="3"/>
  <c r="N972" i="3" s="1"/>
  <c r="L972" i="3" l="1"/>
  <c r="T973" i="3"/>
  <c r="AG973" i="3" l="1"/>
  <c r="U972" i="3"/>
  <c r="D973" i="3" s="1"/>
  <c r="AH973" i="3"/>
  <c r="Y971" i="3"/>
  <c r="E973" i="3" l="1"/>
  <c r="H973" i="3" s="1"/>
  <c r="K973" i="3" s="1"/>
  <c r="AE973" i="3" s="1"/>
  <c r="G973" i="3"/>
  <c r="F973" i="3" l="1"/>
  <c r="V973" i="3"/>
  <c r="A974" i="3"/>
  <c r="B974" i="3" s="1"/>
  <c r="I973" i="3"/>
  <c r="J973" i="3"/>
  <c r="AD973" i="3" s="1"/>
  <c r="M973" i="3"/>
  <c r="N973" i="3" s="1"/>
  <c r="P974" i="3" l="1"/>
  <c r="Q974" i="3" s="1"/>
  <c r="R974" i="3" s="1"/>
  <c r="S974" i="3" s="1"/>
  <c r="AA974" i="3"/>
  <c r="Z974" i="3"/>
  <c r="AC974" i="3"/>
  <c r="AD974" i="3"/>
  <c r="L973" i="3"/>
  <c r="W973" i="3"/>
  <c r="U973" i="3" l="1"/>
  <c r="Y972" i="3"/>
  <c r="T974" i="3"/>
  <c r="AG974" i="3" s="1"/>
  <c r="E974" i="3" l="1"/>
  <c r="H974" i="3" s="1"/>
  <c r="AH974" i="3"/>
  <c r="D974" i="3"/>
  <c r="F974" i="3" l="1"/>
  <c r="G974" i="3"/>
  <c r="K974" i="3"/>
  <c r="AE974" i="3" s="1"/>
  <c r="V974" i="3" l="1"/>
  <c r="A975" i="3"/>
  <c r="B975" i="3" s="1"/>
  <c r="I974" i="3"/>
  <c r="J974" i="3"/>
  <c r="M974" i="3"/>
  <c r="N974" i="3" s="1"/>
  <c r="AD975" i="3" l="1"/>
  <c r="P975" i="3"/>
  <c r="Q975" i="3" s="1"/>
  <c r="R975" i="3" s="1"/>
  <c r="S975" i="3" s="1"/>
  <c r="Z975" i="3"/>
  <c r="AC975" i="3"/>
  <c r="AA975" i="3"/>
  <c r="L974" i="3"/>
  <c r="W974" i="3"/>
  <c r="T975" i="3" l="1"/>
  <c r="AG975" i="3" s="1"/>
  <c r="U974" i="3"/>
  <c r="Y973" i="3"/>
  <c r="E975" i="3" l="1"/>
  <c r="H975" i="3" s="1"/>
  <c r="K975" i="3" s="1"/>
  <c r="AE975" i="3" s="1"/>
  <c r="AH975" i="3"/>
  <c r="D975" i="3"/>
  <c r="F975" i="3" l="1"/>
  <c r="G975" i="3"/>
  <c r="I975" i="3" s="1"/>
  <c r="V975" i="3"/>
  <c r="A976" i="3"/>
  <c r="B976" i="3" s="1"/>
  <c r="M975" i="3" l="1"/>
  <c r="N975" i="3" s="1"/>
  <c r="J975" i="3"/>
  <c r="L975" i="3" s="1"/>
  <c r="W975" i="3"/>
  <c r="AC976" i="3"/>
  <c r="AA976" i="3"/>
  <c r="AD976" i="3"/>
  <c r="Z976" i="3"/>
  <c r="P976" i="3"/>
  <c r="Q976" i="3" s="1"/>
  <c r="R976" i="3" s="1"/>
  <c r="S976" i="3" s="1"/>
  <c r="T976" i="3" l="1"/>
  <c r="AH976" i="3" s="1"/>
  <c r="U975" i="3"/>
  <c r="Y974" i="3"/>
  <c r="D976" i="3" l="1"/>
  <c r="G976" i="3" s="1"/>
  <c r="AG976" i="3"/>
  <c r="E976" i="3"/>
  <c r="H976" i="3" s="1"/>
  <c r="K976" i="3" s="1"/>
  <c r="AE976" i="3" s="1"/>
  <c r="F976" i="3" l="1"/>
  <c r="V976" i="3"/>
  <c r="A977" i="3"/>
  <c r="B977" i="3" s="1"/>
  <c r="I976" i="3"/>
  <c r="J976" i="3"/>
  <c r="M976" i="3"/>
  <c r="N976" i="3" s="1"/>
  <c r="Z977" i="3" l="1"/>
  <c r="P977" i="3"/>
  <c r="Q977" i="3" s="1"/>
  <c r="R977" i="3" s="1"/>
  <c r="S977" i="3" s="1"/>
  <c r="AD977" i="3"/>
  <c r="AC977" i="3"/>
  <c r="AA977" i="3"/>
  <c r="L976" i="3"/>
  <c r="W976" i="3"/>
  <c r="T977" i="3" l="1"/>
  <c r="AH977" i="3" s="1"/>
  <c r="U976" i="3"/>
  <c r="Y975" i="3"/>
  <c r="D977" i="3" l="1"/>
  <c r="G977" i="3" s="1"/>
  <c r="AG977" i="3"/>
  <c r="E977" i="3"/>
  <c r="H977" i="3" s="1"/>
  <c r="K977" i="3" s="1"/>
  <c r="AE977" i="3" s="1"/>
  <c r="F977" i="3" l="1"/>
  <c r="I977" i="3"/>
  <c r="J977" i="3"/>
  <c r="M977" i="3"/>
  <c r="N977" i="3" s="1"/>
  <c r="V977" i="3"/>
  <c r="A978" i="3"/>
  <c r="B978" i="3" s="1"/>
  <c r="W977" i="3" l="1"/>
  <c r="P978" i="3"/>
  <c r="Q978" i="3" s="1"/>
  <c r="R978" i="3" s="1"/>
  <c r="S978" i="3" s="1"/>
  <c r="Z978" i="3"/>
  <c r="AA978" i="3"/>
  <c r="AD978" i="3"/>
  <c r="AC978" i="3"/>
  <c r="L977" i="3"/>
  <c r="T978" i="3" l="1"/>
  <c r="AG978" i="3" s="1"/>
  <c r="U977" i="3"/>
  <c r="Y976" i="3"/>
  <c r="D978" i="3" l="1"/>
  <c r="G978" i="3" s="1"/>
  <c r="AH978" i="3"/>
  <c r="E978" i="3"/>
  <c r="H978" i="3" s="1"/>
  <c r="K978" i="3" l="1"/>
  <c r="AE978" i="3" s="1"/>
  <c r="I978" i="3"/>
  <c r="J978" i="3"/>
  <c r="M978" i="3"/>
  <c r="N978" i="3" s="1"/>
  <c r="F978" i="3"/>
  <c r="L978" i="3" l="1"/>
  <c r="V978" i="3"/>
  <c r="W978" i="3" s="1"/>
  <c r="A979" i="3"/>
  <c r="B979" i="3" s="1"/>
  <c r="AA979" i="3" l="1"/>
  <c r="Z979" i="3"/>
  <c r="P979" i="3"/>
  <c r="Q979" i="3" s="1"/>
  <c r="R979" i="3" s="1"/>
  <c r="S979" i="3" s="1"/>
  <c r="AD979" i="3"/>
  <c r="AC979" i="3"/>
  <c r="U978" i="3"/>
  <c r="Y977" i="3"/>
  <c r="T979" i="3" l="1"/>
  <c r="E979" i="3" s="1"/>
  <c r="H979" i="3" s="1"/>
  <c r="AH979" i="3" l="1"/>
  <c r="K979" i="3"/>
  <c r="AE979" i="3" s="1"/>
  <c r="D979" i="3"/>
  <c r="AG979" i="3"/>
  <c r="F979" i="3" l="1"/>
  <c r="G979" i="3"/>
  <c r="V979" i="3"/>
  <c r="A980" i="3"/>
  <c r="B980" i="3" s="1"/>
  <c r="AD980" i="3" l="1"/>
  <c r="Z980" i="3"/>
  <c r="AA980" i="3"/>
  <c r="P980" i="3"/>
  <c r="Q980" i="3" s="1"/>
  <c r="R980" i="3" s="1"/>
  <c r="S980" i="3" s="1"/>
  <c r="AC980" i="3"/>
  <c r="I979" i="3"/>
  <c r="W979" i="3" s="1"/>
  <c r="J979" i="3"/>
  <c r="M979" i="3"/>
  <c r="N979" i="3" s="1"/>
  <c r="T980" i="3" l="1"/>
  <c r="L979" i="3"/>
  <c r="U979" i="3" l="1"/>
  <c r="D980" i="3" s="1"/>
  <c r="AH980" i="3"/>
  <c r="AG980" i="3"/>
  <c r="Y978" i="3"/>
  <c r="E980" i="3" l="1"/>
  <c r="H980" i="3" s="1"/>
  <c r="K980" i="3" s="1"/>
  <c r="AE980" i="3" s="1"/>
  <c r="G980" i="3"/>
  <c r="F980" i="3" l="1"/>
  <c r="V980" i="3"/>
  <c r="A981" i="3"/>
  <c r="B981" i="3" s="1"/>
  <c r="I980" i="3"/>
  <c r="J980" i="3"/>
  <c r="M980" i="3"/>
  <c r="N980" i="3" s="1"/>
  <c r="L980" i="3" l="1"/>
  <c r="AD981" i="3"/>
  <c r="AA981" i="3"/>
  <c r="P981" i="3"/>
  <c r="Q981" i="3" s="1"/>
  <c r="R981" i="3" s="1"/>
  <c r="S981" i="3" s="1"/>
  <c r="AC981" i="3"/>
  <c r="Z981" i="3"/>
  <c r="W980" i="3"/>
  <c r="T981" i="3" l="1"/>
  <c r="AH981" i="3" s="1"/>
  <c r="U980" i="3"/>
  <c r="Y979" i="3"/>
  <c r="AG981" i="3" l="1"/>
  <c r="D981" i="3"/>
  <c r="G981" i="3" s="1"/>
  <c r="E981" i="3"/>
  <c r="H981" i="3" s="1"/>
  <c r="K981" i="3" s="1"/>
  <c r="AE981" i="3" s="1"/>
  <c r="F981" i="3" l="1"/>
  <c r="I981" i="3"/>
  <c r="J981" i="3"/>
  <c r="M981" i="3"/>
  <c r="N981" i="3" s="1"/>
  <c r="V981" i="3"/>
  <c r="A982" i="3"/>
  <c r="B982" i="3" s="1"/>
  <c r="W981" i="3" l="1"/>
  <c r="AC982" i="3"/>
  <c r="P982" i="3"/>
  <c r="Q982" i="3" s="1"/>
  <c r="R982" i="3" s="1"/>
  <c r="S982" i="3" s="1"/>
  <c r="AD982" i="3"/>
  <c r="Z982" i="3"/>
  <c r="AA982" i="3"/>
  <c r="L981" i="3"/>
  <c r="T982" i="3" l="1"/>
  <c r="AG982" i="3" s="1"/>
  <c r="U981" i="3"/>
  <c r="Y980" i="3"/>
  <c r="AH982" i="3" l="1"/>
  <c r="D982" i="3"/>
  <c r="G982" i="3" s="1"/>
  <c r="E982" i="3"/>
  <c r="H982" i="3" s="1"/>
  <c r="K982" i="3" s="1"/>
  <c r="AE982" i="3" s="1"/>
  <c r="F982" i="3" l="1"/>
  <c r="V982" i="3"/>
  <c r="A983" i="3"/>
  <c r="B983" i="3" s="1"/>
  <c r="I982" i="3"/>
  <c r="J982" i="3"/>
  <c r="M982" i="3"/>
  <c r="N982" i="3" s="1"/>
  <c r="L982" i="3" l="1"/>
  <c r="AC983" i="3"/>
  <c r="AD983" i="3"/>
  <c r="Z983" i="3"/>
  <c r="AA983" i="3"/>
  <c r="P983" i="3"/>
  <c r="Q983" i="3" s="1"/>
  <c r="R983" i="3" s="1"/>
  <c r="S983" i="3" s="1"/>
  <c r="W982" i="3"/>
  <c r="T983" i="3" l="1"/>
  <c r="U982" i="3"/>
  <c r="Y981" i="3"/>
  <c r="E983" i="3" l="1"/>
  <c r="H983" i="3" s="1"/>
  <c r="K983" i="3" s="1"/>
  <c r="AE983" i="3" s="1"/>
  <c r="D983" i="3"/>
  <c r="G983" i="3" s="1"/>
  <c r="AH983" i="3"/>
  <c r="AG983" i="3"/>
  <c r="F983" i="3" l="1"/>
  <c r="V983" i="3"/>
  <c r="A984" i="3"/>
  <c r="B984" i="3" s="1"/>
  <c r="I983" i="3"/>
  <c r="J983" i="3"/>
  <c r="M983" i="3"/>
  <c r="N983" i="3" s="1"/>
  <c r="AD984" i="3" l="1"/>
  <c r="P984" i="3"/>
  <c r="Q984" i="3" s="1"/>
  <c r="R984" i="3" s="1"/>
  <c r="S984" i="3" s="1"/>
  <c r="Z984" i="3"/>
  <c r="AA984" i="3"/>
  <c r="AC984" i="3"/>
  <c r="L983" i="3"/>
  <c r="W983" i="3"/>
  <c r="U983" i="3" l="1"/>
  <c r="Y982" i="3"/>
  <c r="T984" i="3"/>
  <c r="E984" i="3" l="1"/>
  <c r="H984" i="3" s="1"/>
  <c r="K984" i="3" s="1"/>
  <c r="AE984" i="3" s="1"/>
  <c r="AH984" i="3"/>
  <c r="AG984" i="3"/>
  <c r="D984" i="3"/>
  <c r="F984" i="3" l="1"/>
  <c r="G984" i="3"/>
  <c r="I984" i="3" s="1"/>
  <c r="V984" i="3"/>
  <c r="A985" i="3"/>
  <c r="B985" i="3" s="1"/>
  <c r="M984" i="3" l="1"/>
  <c r="N984" i="3" s="1"/>
  <c r="J984" i="3"/>
  <c r="L984" i="3" s="1"/>
  <c r="W984" i="3"/>
  <c r="Z985" i="3"/>
  <c r="P985" i="3"/>
  <c r="Q985" i="3" s="1"/>
  <c r="R985" i="3" s="1"/>
  <c r="S985" i="3" s="1"/>
  <c r="AA985" i="3"/>
  <c r="AD985" i="3"/>
  <c r="AC985" i="3"/>
  <c r="T985" i="3" l="1"/>
  <c r="AG985" i="3" s="1"/>
  <c r="U984" i="3"/>
  <c r="Y983" i="3"/>
  <c r="D985" i="3" l="1"/>
  <c r="G985" i="3" s="1"/>
  <c r="E985" i="3"/>
  <c r="H985" i="3" s="1"/>
  <c r="K985" i="3" s="1"/>
  <c r="AE985" i="3" s="1"/>
  <c r="AH985" i="3"/>
  <c r="F985" i="3" l="1"/>
  <c r="I985" i="3"/>
  <c r="J985" i="3"/>
  <c r="M985" i="3"/>
  <c r="N985" i="3" s="1"/>
  <c r="V985" i="3"/>
  <c r="A986" i="3"/>
  <c r="B986" i="3" s="1"/>
  <c r="W985" i="3" l="1"/>
  <c r="AC986" i="3"/>
  <c r="AA986" i="3"/>
  <c r="AD986" i="3"/>
  <c r="Z986" i="3"/>
  <c r="P986" i="3"/>
  <c r="Q986" i="3" s="1"/>
  <c r="R986" i="3" s="1"/>
  <c r="S986" i="3" s="1"/>
  <c r="L985" i="3"/>
  <c r="T986" i="3" l="1"/>
  <c r="AH986" i="3" s="1"/>
  <c r="U985" i="3"/>
  <c r="Y984" i="3"/>
  <c r="D986" i="3" l="1"/>
  <c r="G986" i="3" s="1"/>
  <c r="AG986" i="3"/>
  <c r="E986" i="3"/>
  <c r="H986" i="3" s="1"/>
  <c r="K986" i="3" s="1"/>
  <c r="AE986" i="3" s="1"/>
  <c r="F986" i="3" l="1"/>
  <c r="I986" i="3"/>
  <c r="J986" i="3"/>
  <c r="M986" i="3"/>
  <c r="N986" i="3" s="1"/>
  <c r="V986" i="3"/>
  <c r="A987" i="3"/>
  <c r="B987" i="3" s="1"/>
  <c r="W986" i="3" l="1"/>
  <c r="AD987" i="3"/>
  <c r="AA987" i="3"/>
  <c r="Z987" i="3"/>
  <c r="AC987" i="3"/>
  <c r="P987" i="3"/>
  <c r="Q987" i="3" s="1"/>
  <c r="R987" i="3" s="1"/>
  <c r="S987" i="3" s="1"/>
  <c r="L986" i="3"/>
  <c r="T987" i="3" l="1"/>
  <c r="AH987" i="3" s="1"/>
  <c r="U986" i="3"/>
  <c r="Y985" i="3"/>
  <c r="D987" i="3" l="1"/>
  <c r="G987" i="3" s="1"/>
  <c r="AG987" i="3"/>
  <c r="E987" i="3"/>
  <c r="H987" i="3" s="1"/>
  <c r="K987" i="3" s="1"/>
  <c r="AE987" i="3" s="1"/>
  <c r="F987" i="3" l="1"/>
  <c r="V987" i="3"/>
  <c r="A988" i="3"/>
  <c r="B988" i="3" s="1"/>
  <c r="I987" i="3"/>
  <c r="J987" i="3"/>
  <c r="M987" i="3"/>
  <c r="N987" i="3" s="1"/>
  <c r="L987" i="3" l="1"/>
  <c r="Z988" i="3"/>
  <c r="AD988" i="3"/>
  <c r="P988" i="3"/>
  <c r="Q988" i="3" s="1"/>
  <c r="R988" i="3" s="1"/>
  <c r="S988" i="3" s="1"/>
  <c r="AA988" i="3"/>
  <c r="AC988" i="3"/>
  <c r="W987" i="3"/>
  <c r="T988" i="3" l="1"/>
  <c r="AH988" i="3" s="1"/>
  <c r="U987" i="3"/>
  <c r="Y986" i="3"/>
  <c r="E988" i="3" l="1"/>
  <c r="H988" i="3" s="1"/>
  <c r="K988" i="3" s="1"/>
  <c r="AE988" i="3" s="1"/>
  <c r="AG988" i="3"/>
  <c r="D988" i="3"/>
  <c r="F988" i="3" l="1"/>
  <c r="G988" i="3"/>
  <c r="I988" i="3" s="1"/>
  <c r="V988" i="3"/>
  <c r="A989" i="3"/>
  <c r="B989" i="3" s="1"/>
  <c r="M988" i="3" l="1"/>
  <c r="N988" i="3" s="1"/>
  <c r="J988" i="3"/>
  <c r="L988" i="3" s="1"/>
  <c r="Z989" i="3"/>
  <c r="AA989" i="3"/>
  <c r="AD989" i="3"/>
  <c r="P989" i="3"/>
  <c r="Q989" i="3" s="1"/>
  <c r="R989" i="3" s="1"/>
  <c r="S989" i="3" s="1"/>
  <c r="AC989" i="3"/>
  <c r="W988" i="3"/>
  <c r="T989" i="3" l="1"/>
  <c r="AG989" i="3" s="1"/>
  <c r="U988" i="3"/>
  <c r="Y987" i="3"/>
  <c r="E989" i="3" l="1"/>
  <c r="H989" i="3" s="1"/>
  <c r="K989" i="3" s="1"/>
  <c r="AE989" i="3" s="1"/>
  <c r="AH989" i="3"/>
  <c r="D989" i="3"/>
  <c r="F989" i="3" l="1"/>
  <c r="G989" i="3"/>
  <c r="I989" i="3" s="1"/>
  <c r="V989" i="3"/>
  <c r="A990" i="3"/>
  <c r="B990" i="3" s="1"/>
  <c r="M989" i="3" l="1"/>
  <c r="N989" i="3" s="1"/>
  <c r="J989" i="3"/>
  <c r="L989" i="3" s="1"/>
  <c r="W989" i="3"/>
  <c r="AA990" i="3"/>
  <c r="P990" i="3"/>
  <c r="Q990" i="3" s="1"/>
  <c r="R990" i="3" s="1"/>
  <c r="S990" i="3" s="1"/>
  <c r="Z990" i="3"/>
  <c r="AD990" i="3"/>
  <c r="AC990" i="3"/>
  <c r="T990" i="3" l="1"/>
  <c r="AH990" i="3" s="1"/>
  <c r="U989" i="3"/>
  <c r="Y988" i="3"/>
  <c r="E990" i="3" l="1"/>
  <c r="H990" i="3" s="1"/>
  <c r="K990" i="3" s="1"/>
  <c r="AE990" i="3" s="1"/>
  <c r="AG990" i="3"/>
  <c r="D990" i="3"/>
  <c r="F990" i="3" l="1"/>
  <c r="G990" i="3"/>
  <c r="I990" i="3" s="1"/>
  <c r="V990" i="3"/>
  <c r="A991" i="3"/>
  <c r="B991" i="3" s="1"/>
  <c r="J990" i="3" l="1"/>
  <c r="L990" i="3" s="1"/>
  <c r="W990" i="3"/>
  <c r="M990" i="3"/>
  <c r="N990" i="3" s="1"/>
  <c r="AD991" i="3"/>
  <c r="AC991" i="3"/>
  <c r="P991" i="3"/>
  <c r="Q991" i="3" s="1"/>
  <c r="R991" i="3" s="1"/>
  <c r="S991" i="3" s="1"/>
  <c r="AA991" i="3"/>
  <c r="Z991" i="3"/>
  <c r="T991" i="3" l="1"/>
  <c r="AH991" i="3" s="1"/>
  <c r="U990" i="3"/>
  <c r="Y989" i="3"/>
  <c r="D991" i="3" l="1"/>
  <c r="G991" i="3" s="1"/>
  <c r="E991" i="3"/>
  <c r="H991" i="3" s="1"/>
  <c r="K991" i="3" s="1"/>
  <c r="AE991" i="3" s="1"/>
  <c r="AG991" i="3"/>
  <c r="F991" i="3" l="1"/>
  <c r="V991" i="3"/>
  <c r="A992" i="3"/>
  <c r="B992" i="3" s="1"/>
  <c r="I991" i="3"/>
  <c r="J991" i="3"/>
  <c r="M991" i="3"/>
  <c r="N991" i="3" s="1"/>
  <c r="L991" i="3" l="1"/>
  <c r="AC992" i="3"/>
  <c r="AA992" i="3"/>
  <c r="AD992" i="3"/>
  <c r="P992" i="3"/>
  <c r="Q992" i="3" s="1"/>
  <c r="R992" i="3" s="1"/>
  <c r="S992" i="3" s="1"/>
  <c r="Z992" i="3"/>
  <c r="W991" i="3"/>
  <c r="U991" i="3" l="1"/>
  <c r="Y990" i="3"/>
  <c r="T992" i="3"/>
  <c r="E992" i="3" l="1"/>
  <c r="H992" i="3" s="1"/>
  <c r="K992" i="3" s="1"/>
  <c r="AE992" i="3" s="1"/>
  <c r="AG992" i="3"/>
  <c r="D992" i="3"/>
  <c r="AH992" i="3"/>
  <c r="F992" i="3" l="1"/>
  <c r="G992" i="3"/>
  <c r="V992" i="3"/>
  <c r="A993" i="3"/>
  <c r="B993" i="3" s="1"/>
  <c r="AA993" i="3" l="1"/>
  <c r="AD993" i="3"/>
  <c r="Z993" i="3"/>
  <c r="AC993" i="3"/>
  <c r="P993" i="3"/>
  <c r="Q993" i="3" s="1"/>
  <c r="R993" i="3" s="1"/>
  <c r="S993" i="3" s="1"/>
  <c r="I992" i="3"/>
  <c r="W992" i="3" s="1"/>
  <c r="J992" i="3"/>
  <c r="M992" i="3"/>
  <c r="N992" i="3" s="1"/>
  <c r="L992" i="3" l="1"/>
  <c r="T993" i="3"/>
  <c r="AG993" i="3" l="1"/>
  <c r="AH993" i="3"/>
  <c r="U992" i="3"/>
  <c r="D993" i="3" s="1"/>
  <c r="Y991" i="3"/>
  <c r="E993" i="3" l="1"/>
  <c r="H993" i="3" s="1"/>
  <c r="K993" i="3" s="1"/>
  <c r="AE993" i="3" s="1"/>
  <c r="G993" i="3"/>
  <c r="F993" i="3" l="1"/>
  <c r="V993" i="3"/>
  <c r="A994" i="3"/>
  <c r="B994" i="3" s="1"/>
  <c r="I993" i="3"/>
  <c r="J993" i="3"/>
  <c r="M993" i="3"/>
  <c r="N993" i="3" s="1"/>
  <c r="L993" i="3" l="1"/>
  <c r="W993" i="3"/>
  <c r="AD994" i="3"/>
  <c r="AA994" i="3"/>
  <c r="AC994" i="3"/>
  <c r="Z994" i="3"/>
  <c r="P994" i="3"/>
  <c r="Q994" i="3" s="1"/>
  <c r="R994" i="3" s="1"/>
  <c r="S994" i="3" s="1"/>
  <c r="T994" i="3" l="1"/>
  <c r="AG994" i="3" s="1"/>
  <c r="U993" i="3"/>
  <c r="Y992" i="3"/>
  <c r="E994" i="3" l="1"/>
  <c r="H994" i="3" s="1"/>
  <c r="K994" i="3" s="1"/>
  <c r="AE994" i="3" s="1"/>
  <c r="AH994" i="3"/>
  <c r="D994" i="3"/>
  <c r="F994" i="3" l="1"/>
  <c r="G994" i="3"/>
  <c r="V994" i="3"/>
  <c r="A995" i="3"/>
  <c r="B995" i="3" s="1"/>
  <c r="AD995" i="3" l="1"/>
  <c r="AC995" i="3"/>
  <c r="AA995" i="3"/>
  <c r="Z995" i="3"/>
  <c r="P995" i="3"/>
  <c r="Q995" i="3" s="1"/>
  <c r="R995" i="3" s="1"/>
  <c r="S995" i="3" s="1"/>
  <c r="I994" i="3"/>
  <c r="W994" i="3" s="1"/>
  <c r="J994" i="3"/>
  <c r="M994" i="3"/>
  <c r="N994" i="3" s="1"/>
  <c r="T995" i="3" l="1"/>
  <c r="L994" i="3"/>
  <c r="AH995" i="3" l="1"/>
  <c r="AG995" i="3"/>
  <c r="U994" i="3"/>
  <c r="D995" i="3" s="1"/>
  <c r="Y993" i="3"/>
  <c r="G995" i="3" l="1"/>
  <c r="E995" i="3"/>
  <c r="H995" i="3" s="1"/>
  <c r="K995" i="3" l="1"/>
  <c r="AE995" i="3" s="1"/>
  <c r="I995" i="3"/>
  <c r="J995" i="3"/>
  <c r="M995" i="3"/>
  <c r="N995" i="3" s="1"/>
  <c r="F995" i="3"/>
  <c r="L995" i="3" l="1"/>
  <c r="V995" i="3"/>
  <c r="W995" i="3" s="1"/>
  <c r="A996" i="3"/>
  <c r="B996" i="3" s="1"/>
  <c r="AA996" i="3" l="1"/>
  <c r="Z996" i="3"/>
  <c r="AD996" i="3"/>
  <c r="P996" i="3"/>
  <c r="Q996" i="3" s="1"/>
  <c r="R996" i="3" s="1"/>
  <c r="S996" i="3" s="1"/>
  <c r="AC996" i="3"/>
  <c r="U995" i="3"/>
  <c r="Y994" i="3"/>
  <c r="T996" i="3" l="1"/>
  <c r="AH996" i="3" s="1"/>
  <c r="AG996" i="3" l="1"/>
  <c r="E996" i="3"/>
  <c r="H996" i="3" s="1"/>
  <c r="K996" i="3" s="1"/>
  <c r="AE996" i="3" s="1"/>
  <c r="D996" i="3"/>
  <c r="G996" i="3" s="1"/>
  <c r="F996" i="3" l="1"/>
  <c r="I996" i="3"/>
  <c r="J996" i="3"/>
  <c r="M996" i="3"/>
  <c r="N996" i="3" s="1"/>
  <c r="V996" i="3"/>
  <c r="A997" i="3"/>
  <c r="B997" i="3" s="1"/>
  <c r="W996" i="3" l="1"/>
  <c r="AD997" i="3"/>
  <c r="P997" i="3"/>
  <c r="Q997" i="3" s="1"/>
  <c r="R997" i="3" s="1"/>
  <c r="S997" i="3" s="1"/>
  <c r="AA997" i="3"/>
  <c r="Z997" i="3"/>
  <c r="AC997" i="3"/>
  <c r="L996" i="3"/>
  <c r="T997" i="3" l="1"/>
  <c r="AH997" i="3" s="1"/>
  <c r="U996" i="3"/>
  <c r="Y995" i="3"/>
  <c r="AG997" i="3" l="1"/>
  <c r="E997" i="3"/>
  <c r="H997" i="3" s="1"/>
  <c r="K997" i="3" s="1"/>
  <c r="AE997" i="3" s="1"/>
  <c r="D997" i="3"/>
  <c r="F997" i="3" l="1"/>
  <c r="G997" i="3"/>
  <c r="I997" i="3" s="1"/>
  <c r="V997" i="3"/>
  <c r="A998" i="3"/>
  <c r="B998" i="3" s="1"/>
  <c r="M997" i="3" l="1"/>
  <c r="N997" i="3" s="1"/>
  <c r="W997" i="3"/>
  <c r="J997" i="3"/>
  <c r="L997" i="3" s="1"/>
  <c r="Z998" i="3"/>
  <c r="AC998" i="3"/>
  <c r="AA998" i="3"/>
  <c r="AD998" i="3"/>
  <c r="P998" i="3"/>
  <c r="Q998" i="3" s="1"/>
  <c r="R998" i="3" s="1"/>
  <c r="S998" i="3" s="1"/>
  <c r="T998" i="3" l="1"/>
  <c r="AG998" i="3" s="1"/>
  <c r="U997" i="3"/>
  <c r="Y996" i="3"/>
  <c r="AH998" i="3" l="1"/>
  <c r="E998" i="3"/>
  <c r="H998" i="3" s="1"/>
  <c r="K998" i="3" s="1"/>
  <c r="AE998" i="3" s="1"/>
  <c r="D998" i="3"/>
  <c r="F998" i="3" l="1"/>
  <c r="G998" i="3"/>
  <c r="I998" i="3" s="1"/>
  <c r="V998" i="3"/>
  <c r="A999" i="3"/>
  <c r="B999" i="3" s="1"/>
  <c r="M998" i="3" l="1"/>
  <c r="N998" i="3" s="1"/>
  <c r="J998" i="3"/>
  <c r="L998" i="3" s="1"/>
  <c r="AC999" i="3"/>
  <c r="P999" i="3"/>
  <c r="Q999" i="3" s="1"/>
  <c r="R999" i="3" s="1"/>
  <c r="S999" i="3" s="1"/>
  <c r="AA999" i="3"/>
  <c r="Z999" i="3"/>
  <c r="AD999" i="3"/>
  <c r="W998" i="3"/>
  <c r="T999" i="3" l="1"/>
  <c r="AG999" i="3" s="1"/>
  <c r="U998" i="3"/>
  <c r="Y997" i="3"/>
  <c r="E999" i="3" l="1"/>
  <c r="H999" i="3" s="1"/>
  <c r="K999" i="3" s="1"/>
  <c r="AE999" i="3" s="1"/>
  <c r="AH999" i="3"/>
  <c r="D999" i="3"/>
  <c r="F999" i="3" l="1"/>
  <c r="G999" i="3"/>
  <c r="V999" i="3"/>
  <c r="A1000" i="3"/>
  <c r="B1000" i="3" s="1"/>
  <c r="I999" i="3" l="1"/>
  <c r="W999" i="3" s="1"/>
  <c r="J999" i="3"/>
  <c r="M999" i="3"/>
  <c r="N999" i="3" s="1"/>
  <c r="P1000" i="3"/>
  <c r="Q1000" i="3" s="1"/>
  <c r="R1000" i="3" s="1"/>
  <c r="S1000" i="3" s="1"/>
  <c r="Z1000" i="3"/>
  <c r="AC1000" i="3"/>
  <c r="AA1000" i="3"/>
  <c r="AD1000" i="3"/>
  <c r="T1000" i="3" l="1"/>
  <c r="L999" i="3"/>
  <c r="AH1000" i="3" l="1"/>
  <c r="U999" i="3"/>
  <c r="E1000" i="3" s="1"/>
  <c r="H1000" i="3" s="1"/>
  <c r="AG1000" i="3"/>
  <c r="Y998" i="3"/>
  <c r="D1000" i="3" l="1"/>
  <c r="F1000" i="3" s="1"/>
  <c r="K1000" i="3"/>
  <c r="AE1000" i="3" s="1"/>
  <c r="G1000" i="3" l="1"/>
  <c r="I1000" i="3" s="1"/>
  <c r="V1000" i="3"/>
  <c r="A1001" i="3"/>
  <c r="B1001" i="3" s="1"/>
  <c r="M1000" i="3" l="1"/>
  <c r="N1000" i="3" s="1"/>
  <c r="J1000" i="3"/>
  <c r="L1000" i="3" s="1"/>
  <c r="Z1001" i="3"/>
  <c r="AA1001" i="3"/>
  <c r="P1001" i="3"/>
  <c r="Q1001" i="3" s="1"/>
  <c r="R1001" i="3" s="1"/>
  <c r="S1001" i="3" s="1"/>
  <c r="AD1001" i="3"/>
  <c r="AC1001" i="3"/>
  <c r="W1000" i="3"/>
  <c r="T1001" i="3" l="1"/>
  <c r="AH1001" i="3" s="1"/>
  <c r="U1000" i="3"/>
  <c r="Y999" i="3"/>
  <c r="D1001" i="3" l="1"/>
  <c r="G1001" i="3" s="1"/>
  <c r="E1001" i="3"/>
  <c r="H1001" i="3" s="1"/>
  <c r="K1001" i="3" s="1"/>
  <c r="AE1001" i="3" s="1"/>
  <c r="AG1001" i="3"/>
  <c r="F1001" i="3" l="1"/>
  <c r="V1001" i="3"/>
  <c r="A1002" i="3"/>
  <c r="B1002" i="3" s="1"/>
  <c r="I1001" i="3"/>
  <c r="J1001" i="3"/>
  <c r="M1001" i="3"/>
  <c r="N1001" i="3" s="1"/>
  <c r="L1001" i="3" l="1"/>
  <c r="AD1002" i="3"/>
  <c r="P1002" i="3"/>
  <c r="Q1002" i="3" s="1"/>
  <c r="R1002" i="3" s="1"/>
  <c r="S1002" i="3" s="1"/>
  <c r="AC1002" i="3"/>
  <c r="AA1002" i="3"/>
  <c r="Z1002" i="3"/>
  <c r="W1001" i="3"/>
  <c r="T1002" i="3" l="1"/>
  <c r="AG1002" i="3" s="1"/>
  <c r="U1001" i="3"/>
  <c r="Y1000" i="3"/>
  <c r="AH1002" i="3" l="1"/>
  <c r="D1002" i="3"/>
  <c r="G1002" i="3" s="1"/>
  <c r="E1002" i="3"/>
  <c r="H1002" i="3" s="1"/>
  <c r="K1002" i="3" s="1"/>
  <c r="AE1002" i="3" s="1"/>
  <c r="F1002" i="3" l="1"/>
  <c r="V1002" i="3"/>
  <c r="A1003" i="3"/>
  <c r="B1003" i="3" s="1"/>
  <c r="I1002" i="3"/>
  <c r="J1002" i="3"/>
  <c r="M1002" i="3"/>
  <c r="N1002" i="3" s="1"/>
  <c r="AA1003" i="3" l="1"/>
  <c r="Z1003" i="3"/>
  <c r="P1003" i="3"/>
  <c r="Q1003" i="3" s="1"/>
  <c r="R1003" i="3" s="1"/>
  <c r="S1003" i="3" s="1"/>
  <c r="AC1003" i="3"/>
  <c r="AD1003" i="3"/>
  <c r="L1002" i="3"/>
  <c r="W1002" i="3"/>
  <c r="T1003" i="3" l="1"/>
  <c r="AG1003" i="3" s="1"/>
  <c r="U1002" i="3"/>
  <c r="Y1001" i="3"/>
  <c r="D1003" i="3" l="1"/>
  <c r="G1003" i="3" s="1"/>
  <c r="AH1003" i="3"/>
  <c r="E1003" i="3"/>
  <c r="H1003" i="3" s="1"/>
  <c r="K1003" i="3" s="1"/>
  <c r="AE1003" i="3" s="1"/>
  <c r="F1003" i="3" l="1"/>
  <c r="I1003" i="3"/>
  <c r="J1003" i="3"/>
  <c r="M1003" i="3"/>
  <c r="N1003" i="3" s="1"/>
  <c r="V1003" i="3"/>
  <c r="A1004" i="3"/>
  <c r="B1004" i="3" s="1"/>
  <c r="W1003" i="3" l="1"/>
  <c r="AD1004" i="3"/>
  <c r="AC1004" i="3"/>
  <c r="AA1004" i="3"/>
  <c r="Z1004" i="3"/>
  <c r="P1004" i="3"/>
  <c r="Q1004" i="3" s="1"/>
  <c r="R1004" i="3" s="1"/>
  <c r="S1004" i="3" s="1"/>
  <c r="T1004" i="3" s="1"/>
  <c r="L1003" i="3"/>
  <c r="K46" i="1" l="1"/>
  <c r="I46" i="1"/>
  <c r="J27" i="1"/>
  <c r="L46" i="1"/>
  <c r="K27" i="1"/>
  <c r="I27" i="1"/>
  <c r="M46" i="1"/>
  <c r="J46" i="1"/>
  <c r="AG1004" i="3"/>
  <c r="AH1004" i="3"/>
  <c r="U1003" i="3"/>
  <c r="D1004" i="3" s="1"/>
  <c r="Y1002" i="3"/>
  <c r="J48" i="1"/>
  <c r="I25" i="1"/>
  <c r="K48" i="1"/>
  <c r="L48" i="1"/>
  <c r="J25" i="1"/>
  <c r="I48" i="1"/>
  <c r="K25" i="1"/>
  <c r="M48" i="1"/>
  <c r="E1004" i="3" l="1"/>
  <c r="H1004" i="3" s="1"/>
  <c r="K1004" i="3" s="1"/>
  <c r="AE1004" i="3" s="1"/>
  <c r="G1004" i="3"/>
  <c r="C122" i="1"/>
  <c r="C155" i="1"/>
  <c r="C129" i="1"/>
  <c r="C130" i="1" s="1"/>
  <c r="C126" i="1"/>
  <c r="C121" i="1"/>
  <c r="C31" i="1"/>
  <c r="C33" i="1"/>
  <c r="J47" i="1" s="1"/>
  <c r="C124" i="1"/>
  <c r="H72" i="7"/>
  <c r="H73" i="7" s="1"/>
  <c r="M27" i="1"/>
  <c r="H70" i="7"/>
  <c r="M25" i="1"/>
  <c r="I72" i="7"/>
  <c r="I73" i="7" s="1"/>
  <c r="I70" i="7"/>
  <c r="B125" i="1"/>
  <c r="B123" i="1"/>
  <c r="B127" i="1"/>
  <c r="B128" i="1"/>
  <c r="B124" i="1"/>
  <c r="D155" i="1"/>
  <c r="B126" i="1"/>
  <c r="B129" i="1"/>
  <c r="D33" i="1"/>
  <c r="J49" i="1" s="1"/>
  <c r="D31" i="1"/>
  <c r="F1004" i="3" l="1"/>
  <c r="H47" i="1"/>
  <c r="C32" i="1"/>
  <c r="E31" i="7"/>
  <c r="I1004" i="3"/>
  <c r="J1004" i="3"/>
  <c r="L1004" i="3" s="1"/>
  <c r="Y1004" i="3" s="1"/>
  <c r="M1004" i="3"/>
  <c r="N1004" i="3" s="1"/>
  <c r="V1004" i="3"/>
  <c r="D32" i="1"/>
  <c r="H49" i="1"/>
  <c r="L42" i="1"/>
  <c r="L24" i="1"/>
  <c r="W1004" i="3" l="1"/>
  <c r="M43" i="1"/>
  <c r="L43" i="1"/>
  <c r="H43" i="1"/>
  <c r="H41" i="1"/>
  <c r="M41" i="1"/>
  <c r="K41" i="1"/>
  <c r="K43" i="1"/>
  <c r="I43" i="1"/>
  <c r="I41" i="1"/>
  <c r="M44" i="1"/>
  <c r="J45" i="1"/>
  <c r="L44" i="1"/>
  <c r="J43" i="1"/>
  <c r="K44" i="1"/>
  <c r="U1004" i="3"/>
  <c r="Y1003" i="3"/>
  <c r="L41" i="1" s="1"/>
  <c r="E120" i="7"/>
  <c r="F120" i="7" s="1"/>
  <c r="E62" i="7"/>
  <c r="F62" i="7" s="1"/>
  <c r="E119" i="7"/>
  <c r="F119" i="7" s="1"/>
  <c r="E133" i="7"/>
  <c r="L31" i="7"/>
  <c r="H117" i="7"/>
  <c r="E65" i="7"/>
  <c r="F65" i="7" s="1"/>
  <c r="E63" i="7"/>
  <c r="F63" i="7" s="1"/>
  <c r="H59" i="7"/>
  <c r="K42" i="1"/>
  <c r="K24" i="1"/>
  <c r="B135" i="1"/>
  <c r="B133" i="1"/>
  <c r="B132" i="1" s="1"/>
  <c r="F133" i="1"/>
  <c r="B137" i="1"/>
  <c r="F134" i="1"/>
  <c r="C133" i="1"/>
  <c r="C135" i="1"/>
  <c r="K26" i="1" l="1"/>
  <c r="H55" i="7" s="1"/>
  <c r="H45" i="1"/>
  <c r="H44" i="1"/>
  <c r="M45" i="1"/>
  <c r="I26" i="1"/>
  <c r="B192" i="1" s="1"/>
  <c r="L45" i="1"/>
  <c r="I44" i="1"/>
  <c r="H28" i="1"/>
  <c r="F132" i="1" s="1"/>
  <c r="J28" i="1"/>
  <c r="H19" i="7" s="1"/>
  <c r="H26" i="1"/>
  <c r="J41" i="1"/>
  <c r="J44" i="1"/>
  <c r="K23" i="1"/>
  <c r="F21" i="1" s="1"/>
  <c r="K45" i="1"/>
  <c r="K28" i="1" s="1"/>
  <c r="M28" i="1" s="1"/>
  <c r="J26" i="1"/>
  <c r="D181" i="1" s="1"/>
  <c r="H58" i="7"/>
  <c r="M31" i="7"/>
  <c r="E121" i="7"/>
  <c r="F121" i="7" s="1"/>
  <c r="H116" i="7"/>
  <c r="E64" i="7"/>
  <c r="F64" i="7" s="1"/>
  <c r="H114" i="7" l="1"/>
  <c r="E128" i="7"/>
  <c r="E129" i="7" s="1"/>
  <c r="F129" i="7" s="1"/>
  <c r="K31" i="7"/>
  <c r="B158" i="1"/>
  <c r="H31" i="7"/>
  <c r="B161" i="1"/>
  <c r="B199" i="1"/>
  <c r="B164" i="1"/>
  <c r="H54" i="7"/>
  <c r="B180" i="1"/>
  <c r="B183" i="1"/>
  <c r="B187" i="1"/>
  <c r="B168" i="1"/>
  <c r="B173" i="1"/>
  <c r="B169" i="1"/>
  <c r="C118" i="1"/>
  <c r="B195" i="1"/>
  <c r="B163" i="1"/>
  <c r="B174" i="1"/>
  <c r="B179" i="1"/>
  <c r="B198" i="1"/>
  <c r="B171" i="1"/>
  <c r="B190" i="1"/>
  <c r="H113" i="7"/>
  <c r="B172" i="1"/>
  <c r="B193" i="1"/>
  <c r="B186" i="1"/>
  <c r="B120" i="1"/>
  <c r="B166" i="1"/>
  <c r="C156" i="1"/>
  <c r="B188" i="1"/>
  <c r="B167" i="1"/>
  <c r="B182" i="1"/>
  <c r="B194" i="1"/>
  <c r="B185" i="1"/>
  <c r="B176" i="1"/>
  <c r="B165" i="1"/>
  <c r="B170" i="1"/>
  <c r="S26" i="6"/>
  <c r="B162" i="1"/>
  <c r="B181" i="1"/>
  <c r="B175" i="1"/>
  <c r="B184" i="1"/>
  <c r="B191" i="1"/>
  <c r="B196" i="1"/>
  <c r="B197" i="1"/>
  <c r="B189" i="1"/>
  <c r="F150" i="1"/>
  <c r="F151" i="1"/>
  <c r="H112" i="7"/>
  <c r="S25" i="6"/>
  <c r="H44" i="7"/>
  <c r="P29" i="1"/>
  <c r="H57" i="7"/>
  <c r="P32" i="1"/>
  <c r="D31" i="7"/>
  <c r="H53" i="7"/>
  <c r="H115" i="7"/>
  <c r="H56" i="7"/>
  <c r="P31" i="1"/>
  <c r="I67" i="7"/>
  <c r="J31" i="7"/>
  <c r="F184" i="1"/>
  <c r="F196" i="1"/>
  <c r="D177" i="1"/>
  <c r="D160" i="1"/>
  <c r="F181" i="1"/>
  <c r="H11" i="7"/>
  <c r="D182" i="1"/>
  <c r="P30" i="1"/>
  <c r="F172" i="1"/>
  <c r="D172" i="1"/>
  <c r="D166" i="1"/>
  <c r="D167" i="1"/>
  <c r="D184" i="1"/>
  <c r="D168" i="1"/>
  <c r="F190" i="1"/>
  <c r="D164" i="1"/>
  <c r="D156" i="1"/>
  <c r="D194" i="1"/>
  <c r="D185" i="1"/>
  <c r="D179" i="1"/>
  <c r="D195" i="1"/>
  <c r="D170" i="1"/>
  <c r="F178" i="1"/>
  <c r="D188" i="1"/>
  <c r="F189" i="1"/>
  <c r="F182" i="1"/>
  <c r="F169" i="1"/>
  <c r="F186" i="1"/>
  <c r="F159" i="1"/>
  <c r="F185" i="1"/>
  <c r="D183" i="1"/>
  <c r="D180" i="1"/>
  <c r="D197" i="1"/>
  <c r="F187" i="1"/>
  <c r="F161" i="1"/>
  <c r="F168" i="1"/>
  <c r="D159" i="1"/>
  <c r="D174" i="1"/>
  <c r="F174" i="1"/>
  <c r="D169" i="1"/>
  <c r="D189" i="1"/>
  <c r="D173" i="1"/>
  <c r="F166" i="1"/>
  <c r="D165" i="1"/>
  <c r="D191" i="1"/>
  <c r="F177" i="1"/>
  <c r="F173" i="1"/>
  <c r="F160" i="1"/>
  <c r="D162" i="1"/>
  <c r="F179" i="1"/>
  <c r="D161" i="1"/>
  <c r="D187" i="1"/>
  <c r="F167" i="1"/>
  <c r="D163" i="1"/>
  <c r="F164" i="1"/>
  <c r="F162" i="1"/>
  <c r="F194" i="1"/>
  <c r="F197" i="1"/>
  <c r="F171" i="1"/>
  <c r="D196" i="1"/>
  <c r="D171" i="1"/>
  <c r="D190" i="1"/>
  <c r="F191" i="1"/>
  <c r="D193" i="1"/>
  <c r="F193" i="1"/>
  <c r="D186" i="1"/>
  <c r="F165" i="1"/>
  <c r="D178" i="1"/>
  <c r="F183" i="1"/>
  <c r="F180" i="1"/>
  <c r="D192" i="1"/>
  <c r="F195" i="1"/>
  <c r="F188" i="1"/>
  <c r="F163" i="1"/>
  <c r="F192" i="1"/>
  <c r="F170" i="1"/>
  <c r="C134" i="1"/>
  <c r="B134" i="1"/>
  <c r="C132" i="1"/>
  <c r="B136" i="1"/>
  <c r="F128" i="7" l="1"/>
  <c r="U20" i="7"/>
  <c r="K23" i="7"/>
  <c r="J92" i="7"/>
  <c r="O9" i="6"/>
  <c r="M24" i="6" s="1"/>
  <c r="K26" i="7" l="1"/>
  <c r="D129" i="6"/>
  <c r="D130" i="6" s="1"/>
  <c r="E130" i="6" s="1"/>
  <c r="H31" i="6"/>
  <c r="I31" i="6"/>
  <c r="D128" i="6"/>
  <c r="E128" i="6" s="1"/>
  <c r="C129" i="6"/>
  <c r="J86" i="7"/>
  <c r="U13" i="7"/>
  <c r="C128" i="6"/>
  <c r="E129" i="6" l="1"/>
  <c r="C153" i="6"/>
  <c r="B192" i="6"/>
  <c r="B191" i="6"/>
  <c r="C154" i="6"/>
  <c r="I29" i="6"/>
  <c r="C157" i="6"/>
  <c r="C156" i="6" s="1"/>
  <c r="C151" i="6"/>
  <c r="H32" i="6"/>
  <c r="H29" i="6"/>
  <c r="B193" i="6"/>
  <c r="C152" i="6"/>
  <c r="I32" i="6"/>
  <c r="I30" i="6" l="1"/>
  <c r="I14" i="7"/>
  <c r="I47" i="7"/>
  <c r="S29" i="6"/>
  <c r="B194" i="6"/>
  <c r="H14" i="7"/>
  <c r="H30" i="6"/>
  <c r="H47" i="7"/>
  <c r="B190" i="6"/>
  <c r="H48" i="7" l="1"/>
  <c r="H15" i="7"/>
  <c r="S30" i="6"/>
  <c r="H33" i="6"/>
  <c r="I15" i="7"/>
  <c r="I4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M363040</author>
    <author>Léo Côme</author>
    <author>collectif</author>
  </authors>
  <commentList>
    <comment ref="M5" authorId="0" shapeId="0" xr:uid="{C00A2927-28AD-A644-9363-AEB0698AAD35}">
      <text>
        <r>
          <rPr>
            <sz val="8"/>
            <color rgb="FF000000"/>
            <rFont val="Tahoma"/>
            <family val="2"/>
          </rPr>
          <t xml:space="preserve">Définir les propriétés du 1er changement de diamètre.
</t>
        </r>
        <r>
          <rPr>
            <sz val="8"/>
            <color rgb="FF000000"/>
            <rFont val="Tahoma"/>
            <family val="2"/>
          </rPr>
          <t xml:space="preserve">Laisser cette colonne vide si la fusée n'a pas de Jupe ou Rétreint.
</t>
        </r>
        <r>
          <rPr>
            <i/>
            <sz val="8"/>
            <color rgb="FF000000"/>
            <rFont val="Tahoma"/>
            <family val="2"/>
          </rPr>
          <t xml:space="preserve">Set properties of the 1st diameter transition.
</t>
        </r>
        <r>
          <rPr>
            <i/>
            <sz val="8"/>
            <color rgb="FF000000"/>
            <rFont val="Tahoma"/>
            <family val="2"/>
          </rPr>
          <t>Leave this column blank if no skirt/shrink on the rocket.</t>
        </r>
      </text>
    </comment>
    <comment ref="O5" authorId="0" shapeId="0" xr:uid="{A6AA1789-92C0-7140-B69E-1B383ED6F936}">
      <text>
        <r>
          <rPr>
            <sz val="8"/>
            <color rgb="FF000000"/>
            <rFont val="Tahoma"/>
            <family val="2"/>
          </rPr>
          <t xml:space="preserve">Définir les propriétés du 2e changement de diamètre.
</t>
        </r>
        <r>
          <rPr>
            <sz val="8"/>
            <color rgb="FF000000"/>
            <rFont val="Tahoma"/>
            <family val="2"/>
          </rPr>
          <t xml:space="preserve">Laisser cette colonne vide si la fusée n'a pas de 2e Jupe ou Rétreint.
</t>
        </r>
        <r>
          <rPr>
            <i/>
            <sz val="8"/>
            <color rgb="FF000000"/>
            <rFont val="Tahoma"/>
            <family val="2"/>
          </rPr>
          <t xml:space="preserve">Set properties of the 2nd diameter transition.
</t>
        </r>
        <r>
          <rPr>
            <i/>
            <sz val="8"/>
            <color rgb="FF000000"/>
            <rFont val="Tahoma"/>
            <family val="2"/>
          </rPr>
          <t>Leave this column blank if no 2nd skirt/shrink on the rocket.</t>
        </r>
      </text>
    </comment>
    <comment ref="L6" authorId="1" shapeId="0" xr:uid="{9494616D-946E-B442-8557-DC8A1986DF1E}">
      <text>
        <r>
          <rPr>
            <b/>
            <sz val="8"/>
            <color rgb="FF000000"/>
            <rFont val="Tahoma"/>
            <family val="2"/>
          </rPr>
          <t>Hauteur</t>
        </r>
        <r>
          <rPr>
            <sz val="8"/>
            <color rgb="FF000000"/>
            <rFont val="Tahoma"/>
            <family val="2"/>
          </rPr>
          <t xml:space="preserve"> du changement de diamètre (cf. schéma sur fond bleu).
</t>
        </r>
        <r>
          <rPr>
            <i/>
            <sz val="8"/>
            <color rgb="FF000000"/>
            <rFont val="Tahoma"/>
            <family val="2"/>
          </rPr>
          <t>Height of the tronconical transition (cf. blue schematic).</t>
        </r>
      </text>
    </comment>
    <comment ref="L7" authorId="1" shapeId="0" xr:uid="{BF1BE417-36BC-4F4F-93BB-8FE992761D7B}">
      <text>
        <r>
          <rPr>
            <sz val="8"/>
            <color indexed="8"/>
            <rFont val="Tahoma"/>
            <family val="2"/>
          </rPr>
          <t xml:space="preserve">Diamètre de la partie située </t>
        </r>
        <r>
          <rPr>
            <b/>
            <sz val="8"/>
            <color indexed="8"/>
            <rFont val="Tahoma"/>
            <family val="2"/>
          </rPr>
          <t>au dessus</t>
        </r>
        <r>
          <rPr>
            <sz val="8"/>
            <color indexed="8"/>
            <rFont val="Tahoma"/>
            <family val="2"/>
          </rPr>
          <t xml:space="preserve"> du changement de diamètre.
</t>
        </r>
        <r>
          <rPr>
            <i/>
            <sz val="8"/>
            <color indexed="8"/>
            <rFont val="Tahoma"/>
            <family val="2"/>
          </rPr>
          <t>Upper Diameter (cf. blue schematic).</t>
        </r>
      </text>
    </comment>
    <comment ref="L8" authorId="1" shapeId="0" xr:uid="{5DEDB60A-839F-2942-8F3B-65DF0E627593}">
      <text>
        <r>
          <rPr>
            <sz val="8"/>
            <color rgb="FF000000"/>
            <rFont val="Tahoma"/>
            <family val="2"/>
          </rPr>
          <t xml:space="preserve">Diamètre de la partie située </t>
        </r>
        <r>
          <rPr>
            <b/>
            <sz val="8"/>
            <color rgb="FF000000"/>
            <rFont val="Tahoma"/>
            <family val="2"/>
          </rPr>
          <t>en dessous</t>
        </r>
        <r>
          <rPr>
            <sz val="8"/>
            <color rgb="FF000000"/>
            <rFont val="Tahoma"/>
            <family val="2"/>
          </rPr>
          <t xml:space="preserve"> du changement de diamètre.
</t>
        </r>
        <r>
          <rPr>
            <i/>
            <sz val="8"/>
            <color rgb="FF000000"/>
            <rFont val="Tahoma"/>
            <family val="2"/>
          </rPr>
          <t>Lower Diameter (cf. blue schematic).</t>
        </r>
      </text>
    </comment>
    <comment ref="L9" authorId="0" shapeId="0" xr:uid="{B9E21278-845F-DB49-AFD0-8873114166F8}">
      <text>
        <r>
          <rPr>
            <sz val="8"/>
            <color rgb="FF000000"/>
            <rFont val="Tahoma"/>
            <family val="2"/>
          </rPr>
          <t xml:space="preserve">Distance entre la pointe de l'ogive et le haut du changement de diamètre.
</t>
        </r>
        <r>
          <rPr>
            <i/>
            <sz val="8"/>
            <color rgb="FF000000"/>
            <rFont val="Tahoma"/>
            <family val="2"/>
          </rPr>
          <t>Distance betwenn the tip of the nose cone and the top of the skirt/shrink.</t>
        </r>
      </text>
    </comment>
    <comment ref="B12" authorId="0" shapeId="0" xr:uid="{93B9D8F2-F1D4-754A-9B86-D9F96E761342}">
      <text>
        <r>
          <rPr>
            <sz val="8"/>
            <color indexed="8"/>
            <rFont val="Tahoma"/>
            <family val="2"/>
          </rPr>
          <t xml:space="preserve">Position du </t>
        </r>
        <r>
          <rPr>
            <b/>
            <sz val="8"/>
            <color indexed="8"/>
            <rFont val="Tahoma"/>
            <family val="2"/>
          </rPr>
          <t>Centre de Masse</t>
        </r>
        <r>
          <rPr>
            <sz val="8"/>
            <color indexed="8"/>
            <rFont val="Tahoma"/>
            <family val="2"/>
          </rPr>
          <t xml:space="preserve"> (CdG) par rapport à la pointe de l'ogive,
à mesurer ou estimer sur votre fusée.
</t>
        </r>
        <r>
          <rPr>
            <i/>
            <sz val="8"/>
            <color indexed="8"/>
            <rFont val="Tahoma"/>
            <family val="2"/>
          </rPr>
          <t>Position of Center of Mass (CoG) from the top of the nose cone.</t>
        </r>
      </text>
    </comment>
    <comment ref="S12" authorId="0" shapeId="0" xr:uid="{17012B0E-EF1A-9843-B1DF-359F94FF382D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haut</t>
        </r>
        <r>
          <rPr>
            <sz val="8"/>
            <color indexed="8"/>
            <rFont val="Tahoma"/>
            <family val="2"/>
          </rPr>
          <t xml:space="preserve"> du propulseur (hors ergot).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 xml:space="preserve">top </t>
        </r>
        <r>
          <rPr>
            <i/>
            <sz val="8"/>
            <color indexed="8"/>
            <rFont val="Tahoma"/>
            <family val="2"/>
          </rPr>
          <t>of the motor.</t>
        </r>
      </text>
    </comment>
    <comment ref="B13" authorId="0" shapeId="0" xr:uid="{4FA49E7D-56BC-9E43-806C-1BF8906AB4D4}">
      <text>
        <r>
          <rPr>
            <sz val="8"/>
            <color indexed="8"/>
            <rFont val="Tahoma"/>
            <family val="2"/>
          </rPr>
          <t xml:space="preserve">Longueur totale du fuselage avec l'ogive,
hors propu hors antenne hors ailerons.
</t>
        </r>
        <r>
          <rPr>
            <i/>
            <sz val="8"/>
            <color indexed="8"/>
            <rFont val="Tahoma"/>
            <family val="2"/>
          </rPr>
          <t>Total length of the body including nose cone.</t>
        </r>
      </text>
    </comment>
    <comment ref="L13" authorId="1" shapeId="0" xr:uid="{5F8F3942-F445-174F-8439-91838071B84C}">
      <text>
        <r>
          <rPr>
            <sz val="8"/>
            <color rgb="FF000000"/>
            <rFont val="Tahoma"/>
            <family val="2"/>
          </rPr>
          <t xml:space="preserve">Centre de Masse du propulseur par rapport au haut du propulseur.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Motor Center of Mass, mesured from top of motor.</t>
        </r>
      </text>
    </comment>
    <comment ref="B14" authorId="0" shapeId="0" xr:uid="{E33CA8B8-F7AC-FA44-ACFD-A3B88E56CBAD}">
      <text>
        <r>
          <rPr>
            <sz val="8"/>
            <color indexed="8"/>
            <rFont val="Tahoma"/>
            <family val="2"/>
          </rPr>
          <t xml:space="preserve">Diamètre de référence, utilisé pour calculer : Cnα, Finesse, Marge Statique.
Par défaut D_réf = D_ogive ; on peux écraser avec le diamètre "principal".
</t>
        </r>
        <r>
          <rPr>
            <i/>
            <sz val="8"/>
            <color indexed="8"/>
            <rFont val="Tahoma"/>
            <family val="2"/>
          </rPr>
          <t>Reference Diameter, used to compute: Cnα, Finesse, Static Margin.
By default D_ref = D_ogive ; one can overwrtie with the "main" diameter.</t>
        </r>
      </text>
    </comment>
    <comment ref="S14" authorId="0" shapeId="0" xr:uid="{9771AE04-BCAA-1843-84E4-3E93B936876B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bas</t>
        </r>
        <r>
          <rPr>
            <sz val="8"/>
            <color indexed="8"/>
            <rFont val="Tahoma"/>
            <family val="2"/>
          </rPr>
          <t xml:space="preserve"> du propulseur (hors tuyère).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>bottom</t>
        </r>
        <r>
          <rPr>
            <i/>
            <sz val="8"/>
            <color indexed="8"/>
            <rFont val="Tahoma"/>
            <family val="2"/>
          </rPr>
          <t xml:space="preserve"> of the motor.</t>
        </r>
      </text>
    </comment>
    <comment ref="L15" authorId="1" shapeId="0" xr:uid="{77FB2265-16FD-E24C-8FB2-555066695152}">
      <text>
        <r>
          <rPr>
            <sz val="8"/>
            <color rgb="FF000000"/>
            <rFont val="Tahoma"/>
            <family val="2"/>
          </rPr>
          <t xml:space="preserve">Les positions des </t>
        </r>
        <r>
          <rPr>
            <sz val="8"/>
            <color rgb="FF0000FF"/>
            <rFont val="Tahoma"/>
            <family val="2"/>
          </rPr>
          <t>Centres de Masse</t>
        </r>
        <r>
          <rPr>
            <sz val="8"/>
            <color rgb="FF000000"/>
            <rFont val="Tahoma"/>
            <family val="2"/>
          </rPr>
          <t xml:space="preserve"> de la fusée avec propulseur plein et vide
</t>
        </r>
        <r>
          <rPr>
            <sz val="8"/>
            <color rgb="FF000000"/>
            <rFont val="Tahoma"/>
            <family val="2"/>
          </rPr>
          <t xml:space="preserve">sont représentées sur le schéma de la fusée par un </t>
        </r>
        <r>
          <rPr>
            <sz val="8"/>
            <color rgb="FF0000FF"/>
            <rFont val="Tahoma"/>
            <family val="2"/>
          </rPr>
          <t>segment vertical bleu</t>
        </r>
        <r>
          <rPr>
            <sz val="8"/>
            <color rgb="FF000000"/>
            <rFont val="Tahoma"/>
            <family val="2"/>
          </rPr>
          <t xml:space="preserve">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Rocket Center of Mass are shown whith a </t>
        </r>
        <r>
          <rPr>
            <i/>
            <sz val="8"/>
            <color rgb="FF0000FF"/>
            <rFont val="Tahoma"/>
            <family val="2"/>
          </rPr>
          <t>blue segment</t>
        </r>
        <r>
          <rPr>
            <i/>
            <sz val="8"/>
            <color rgb="FF000000"/>
            <rFont val="Tahoma"/>
            <family val="2"/>
          </rPr>
          <t xml:space="preserve"> in Rocket schematic.</t>
        </r>
      </text>
    </comment>
    <comment ref="S17" authorId="0" shapeId="0" xr:uid="{A3B3DE31-4F01-D643-9CA1-CB4088A49390}">
      <text>
        <r>
          <rPr>
            <sz val="8"/>
            <color indexed="8"/>
            <rFont val="Tahoma"/>
            <family val="2"/>
          </rPr>
          <t xml:space="preserve">Distance entre la pointe de l'ogive et le point </t>
        </r>
        <r>
          <rPr>
            <b/>
            <sz val="8"/>
            <color indexed="8"/>
            <rFont val="Tahoma"/>
            <family val="2"/>
          </rPr>
          <t>supérieur</t>
        </r>
        <r>
          <rPr>
            <sz val="8"/>
            <color indexed="8"/>
            <rFont val="Tahoma"/>
            <family val="2"/>
          </rPr>
          <t xml:space="preserve"> de l'encastrement des ailerons.
</t>
        </r>
        <r>
          <rPr>
            <i/>
            <sz val="8"/>
            <color indexed="8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indexed="8"/>
            <rFont val="Tahoma"/>
            <family val="2"/>
          </rPr>
          <t>upper</t>
        </r>
        <r>
          <rPr>
            <i/>
            <sz val="8"/>
            <color indexed="8"/>
            <rFont val="Tahoma"/>
            <family val="2"/>
          </rPr>
          <t xml:space="preserve"> point of fins attachment on the rocket.</t>
        </r>
      </text>
    </comment>
    <comment ref="B18" authorId="0" shapeId="0" xr:uid="{0F920BCD-C82D-954A-94F1-2361D22729B0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bas</t>
        </r>
        <r>
          <rPr>
            <sz val="8"/>
            <color indexed="8"/>
            <rFont val="Tahoma"/>
            <family val="2"/>
          </rPr>
          <t xml:space="preserve"> du propulseur (hors tuyère).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>bottom</t>
        </r>
        <r>
          <rPr>
            <i/>
            <sz val="8"/>
            <color indexed="8"/>
            <rFont val="Tahoma"/>
            <family val="2"/>
          </rPr>
          <t xml:space="preserve"> of the motor.</t>
        </r>
      </text>
    </comment>
    <comment ref="S18" authorId="1" shapeId="0" xr:uid="{5F2A6216-87B8-0542-B5F8-A4032ADCA197}">
      <text>
        <r>
          <rPr>
            <sz val="8"/>
            <color rgb="FF000000"/>
            <rFont val="Tahoma"/>
            <family val="2"/>
          </rPr>
          <t>Longueur de l'</t>
        </r>
        <r>
          <rPr>
            <b/>
            <sz val="8"/>
            <color rgb="FF000000"/>
            <rFont val="Tahoma"/>
            <family val="2"/>
          </rPr>
          <t>e</t>
        </r>
        <r>
          <rPr>
            <b/>
            <u/>
            <sz val="8"/>
            <color rgb="FF000000"/>
            <rFont val="Tahoma"/>
            <family val="2"/>
          </rPr>
          <t>m</t>
        </r>
        <r>
          <rPr>
            <b/>
            <sz val="8"/>
            <color rgb="FF000000"/>
            <rFont val="Tahoma"/>
            <family val="2"/>
          </rPr>
          <t>planture</t>
        </r>
        <r>
          <rPr>
            <sz val="8"/>
            <color rgb="FF000000"/>
            <rFont val="Tahoma"/>
            <family val="2"/>
          </rPr>
          <t xml:space="preserve"> d'un aileron.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Root edge length of one fin.</t>
        </r>
      </text>
    </comment>
    <comment ref="S19" authorId="0" shapeId="0" xr:uid="{8941FE23-B4BF-C949-9C68-31E6A55C4E9B}">
      <text>
        <r>
          <rPr>
            <sz val="8"/>
            <color indexed="8"/>
            <rFont val="Tahoma"/>
            <family val="2"/>
          </rPr>
          <t xml:space="preserve">Distance entre la pointe de l'ogive et le point </t>
        </r>
        <r>
          <rPr>
            <b/>
            <sz val="8"/>
            <color indexed="8"/>
            <rFont val="Tahoma"/>
            <family val="2"/>
          </rPr>
          <t>inférieur</t>
        </r>
        <r>
          <rPr>
            <sz val="8"/>
            <color indexed="8"/>
            <rFont val="Tahoma"/>
            <family val="2"/>
          </rPr>
          <t xml:space="preserve"> de l'encastrement des ailerons.
</t>
        </r>
        <r>
          <rPr>
            <i/>
            <sz val="8"/>
            <color indexed="8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indexed="8"/>
            <rFont val="Tahoma"/>
            <family val="2"/>
          </rPr>
          <t>lower</t>
        </r>
        <r>
          <rPr>
            <i/>
            <sz val="8"/>
            <color indexed="8"/>
            <rFont val="Tahoma"/>
            <family val="2"/>
          </rPr>
          <t xml:space="preserve"> point of fins attachment on the rocket.</t>
        </r>
      </text>
    </comment>
    <comment ref="B23" authorId="0" shapeId="0" xr:uid="{2D96FE34-E224-E445-81B5-AD90567BAB2C}">
      <text>
        <r>
          <rPr>
            <sz val="8"/>
            <color indexed="8"/>
            <rFont val="Tahoma"/>
            <family val="2"/>
          </rPr>
          <t xml:space="preserve">Diamètre à la base de l'ogive.
</t>
        </r>
        <r>
          <rPr>
            <i/>
            <sz val="8"/>
            <color indexed="8"/>
            <rFont val="Tahoma"/>
            <family val="2"/>
          </rPr>
          <t>Diameter at the basement of the nose cone.</t>
        </r>
      </text>
    </comment>
    <comment ref="E25" authorId="1" shapeId="0" xr:uid="{25D7A4C6-52B4-4442-9436-BD0007416A30}">
      <text>
        <r>
          <rPr>
            <sz val="8"/>
            <color rgb="FF000000"/>
            <rFont val="Tahoma"/>
            <family val="2"/>
          </rPr>
          <t xml:space="preserve">Les parties masquées des ailerons du bas sont représentées 
</t>
        </r>
        <r>
          <rPr>
            <sz val="8"/>
            <color rgb="FF000000"/>
            <rFont val="Tahoma"/>
            <family val="2"/>
          </rPr>
          <t xml:space="preserve">sur le schéma de la fusée par des </t>
        </r>
        <r>
          <rPr>
            <sz val="8"/>
            <color rgb="FFFF0000"/>
            <rFont val="Tahoma"/>
            <family val="2"/>
          </rPr>
          <t>zones en rouge</t>
        </r>
        <r>
          <rPr>
            <sz val="8"/>
            <color rgb="FF000000"/>
            <rFont val="Tahoma"/>
            <family val="2"/>
          </rPr>
          <t xml:space="preserve">.
</t>
        </r>
        <r>
          <rPr>
            <sz val="8"/>
            <color rgb="FF000000"/>
            <rFont val="Tahoma"/>
            <family val="2"/>
          </rPr>
          <t xml:space="preserve">Ce sont les parties situées juste en dessous des ailerons du haut.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The fin-fin interaction zone is located just below the upper fins,
</t>
        </r>
        <r>
          <rPr>
            <i/>
            <sz val="8"/>
            <color rgb="FF000000"/>
            <rFont val="Tahoma"/>
            <family val="2"/>
          </rPr>
          <t xml:space="preserve">shown in </t>
        </r>
        <r>
          <rPr>
            <i/>
            <sz val="8"/>
            <color rgb="FFFF0000"/>
            <rFont val="Tahoma"/>
            <family val="2"/>
          </rPr>
          <t>red</t>
        </r>
        <r>
          <rPr>
            <i/>
            <sz val="8"/>
            <color rgb="FF000000"/>
            <rFont val="Tahoma"/>
            <family val="2"/>
          </rPr>
          <t xml:space="preserve"> in the Rocket schematic.</t>
        </r>
      </text>
    </comment>
    <comment ref="B27" authorId="1" shapeId="0" xr:uid="{7A7DBE3F-C2FD-834A-8083-DB54344A9435}">
      <text>
        <r>
          <rPr>
            <sz val="8"/>
            <color indexed="8"/>
            <rFont val="Tahoma"/>
            <family val="2"/>
          </rPr>
          <t>Longueur de l'</t>
        </r>
        <r>
          <rPr>
            <b/>
            <sz val="8"/>
            <color indexed="8"/>
            <rFont val="Tahoma"/>
            <family val="2"/>
          </rPr>
          <t>e</t>
        </r>
        <r>
          <rPr>
            <b/>
            <u/>
            <sz val="8"/>
            <color indexed="8"/>
            <rFont val="Tahoma"/>
            <family val="2"/>
          </rPr>
          <t>m</t>
        </r>
        <r>
          <rPr>
            <b/>
            <sz val="8"/>
            <color indexed="8"/>
            <rFont val="Tahoma"/>
            <family val="2"/>
          </rPr>
          <t>planture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Root edge length of one fin.</t>
        </r>
      </text>
    </comment>
    <comment ref="F27" authorId="0" shapeId="0" xr:uid="{96020000-14E1-FC4A-90AC-E9CB315AF809}">
      <text>
        <r>
          <rPr>
            <sz val="8"/>
            <color rgb="FF000000"/>
            <rFont val="Tahoma"/>
            <family val="2"/>
          </rPr>
          <t xml:space="preserve">La </t>
        </r>
        <r>
          <rPr>
            <b/>
            <sz val="8"/>
            <color rgb="FF000000"/>
            <rFont val="Tahoma"/>
            <family val="2"/>
          </rPr>
          <t>Finesse</t>
        </r>
        <r>
          <rPr>
            <sz val="8"/>
            <color rgb="FF000000"/>
            <rFont val="Tahoma"/>
            <family val="2"/>
          </rPr>
          <t xml:space="preserve"> représente l'allongement de la fusée, rapport Longueur/Diamètre.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Finesse represents the relative length of the rocket. Finesse = L/D</t>
        </r>
      </text>
    </comment>
    <comment ref="B28" authorId="1" shapeId="0" xr:uid="{40659EAD-CC7E-5F49-830F-D98AC90E82BB}">
      <text>
        <r>
          <rPr>
            <sz val="8"/>
            <color indexed="8"/>
            <rFont val="Tahoma"/>
            <family val="2"/>
          </rPr>
          <t xml:space="preserve">Longueur du </t>
        </r>
        <r>
          <rPr>
            <b/>
            <sz val="8"/>
            <color indexed="8"/>
            <rFont val="Tahoma"/>
            <family val="2"/>
          </rPr>
          <t>saumo</t>
        </r>
        <r>
          <rPr>
            <b/>
            <u/>
            <sz val="8"/>
            <color indexed="8"/>
            <rFont val="Tahoma"/>
            <family val="2"/>
          </rPr>
          <t>n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Tip edge length of one fin.</t>
        </r>
      </text>
    </comment>
    <comment ref="F28" authorId="0" shapeId="0" xr:uid="{D8B8A397-00D3-5C49-A28E-C9173F1C4ADF}">
      <text>
        <r>
          <rPr>
            <sz val="8"/>
            <color rgb="FF000000"/>
            <rFont val="Tahoma"/>
            <family val="2"/>
          </rPr>
          <t xml:space="preserve">Le gradient de </t>
        </r>
        <r>
          <rPr>
            <b/>
            <sz val="8"/>
            <color rgb="FF800000"/>
            <rFont val="Tahoma"/>
            <family val="2"/>
          </rPr>
          <t>Portance</t>
        </r>
        <r>
          <rPr>
            <sz val="8"/>
            <color rgb="FF000000"/>
            <rFont val="Tahoma"/>
            <family val="2"/>
          </rPr>
          <t xml:space="preserve"> Cnα indique l'efficacité des ailerons.
</t>
        </r>
        <r>
          <rPr>
            <sz val="8"/>
            <color rgb="FF000000"/>
            <rFont val="Tahoma"/>
            <family val="2"/>
          </rPr>
          <t xml:space="preserve">Pour l'augmenter, il faut augmenter la taille des ailerons, et inversement.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800000"/>
            <rFont val="Tahoma"/>
            <family val="2"/>
          </rPr>
          <t>Lift</t>
        </r>
        <r>
          <rPr>
            <i/>
            <sz val="8"/>
            <color rgb="FF000000"/>
            <rFont val="Tahoma"/>
            <family val="2"/>
          </rPr>
          <t xml:space="preserve"> gradient, Cnα, represents the fins efficiency. 
</t>
        </r>
        <r>
          <rPr>
            <i/>
            <sz val="8"/>
            <color rgb="FF000000"/>
            <rFont val="Tahoma"/>
            <family val="2"/>
          </rPr>
          <t>To increase it, one must increase the size of the fins, and conversely.</t>
        </r>
      </text>
    </comment>
    <comment ref="B29" authorId="1" shapeId="0" xr:uid="{07155E5E-E112-FE41-A781-560BEF48D273}">
      <text>
        <r>
          <rPr>
            <b/>
            <sz val="8"/>
            <color indexed="8"/>
            <rFont val="Tahoma"/>
            <family val="2"/>
          </rPr>
          <t>Flèche</t>
        </r>
        <r>
          <rPr>
            <sz val="8"/>
            <color indexed="8"/>
            <rFont val="Tahoma"/>
            <family val="2"/>
          </rPr>
          <t xml:space="preserve"> du bord d'attaque (négatif si besoin).
</t>
        </r>
        <r>
          <rPr>
            <i/>
            <sz val="8"/>
            <color indexed="8"/>
            <rFont val="Tahoma"/>
            <family val="2"/>
          </rPr>
          <t>Offset of the Leading edge.</t>
        </r>
      </text>
    </comment>
    <comment ref="F29" authorId="0" shapeId="0" xr:uid="{2AA6E193-FECD-C543-9961-A945D610E218}">
      <text>
        <r>
          <rPr>
            <sz val="8"/>
            <color rgb="FF000000"/>
            <rFont val="Tahoma"/>
            <family val="2"/>
          </rPr>
          <t xml:space="preserve">La </t>
        </r>
        <r>
          <rPr>
            <b/>
            <sz val="8"/>
            <color rgb="FF000000"/>
            <rFont val="Tahoma"/>
            <family val="2"/>
          </rPr>
          <t>Marge Statique</t>
        </r>
        <r>
          <rPr>
            <sz val="8"/>
            <color rgb="FF000000"/>
            <rFont val="Tahoma"/>
            <family val="2"/>
          </rPr>
          <t xml:space="preserve">, MS, est la distance entre le Centre de Masse et le Centre de Pression, 
</t>
        </r>
        <r>
          <rPr>
            <sz val="8"/>
            <color rgb="FF000000"/>
            <rFont val="Tahoma"/>
            <family val="2"/>
          </rPr>
          <t xml:space="preserve">exprimée en nombre de Diamètre de Référence, pour une fusée avec propulseur plein puis vide.
</t>
        </r>
        <r>
          <rPr>
            <sz val="8"/>
            <color rgb="FF000000"/>
            <rFont val="Tahoma"/>
            <family val="2"/>
          </rPr>
          <t xml:space="preserve">Pour augmenter la MS, il faut soit :
</t>
        </r>
        <r>
          <rPr>
            <sz val="8"/>
            <color rgb="FF000000"/>
            <rFont val="Tahoma"/>
            <family val="2"/>
          </rPr>
          <t xml:space="preserve">- abaisser le Centre de Portance (position des ailerons)
</t>
        </r>
        <r>
          <rPr>
            <sz val="8"/>
            <color rgb="FF000000"/>
            <rFont val="Tahoma"/>
            <family val="2"/>
          </rPr>
          <t xml:space="preserve">- rehausser le Centre de Masse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Static Margin, MS, is the distance between the Center of Mass and the Center of Pressure, 
</t>
        </r>
        <r>
          <rPr>
            <i/>
            <sz val="8"/>
            <color rgb="FF000000"/>
            <rFont val="Tahoma"/>
            <family val="2"/>
          </rPr>
          <t xml:space="preserve">measured in number of reference diameter, for a rocket with loaded motor, then empty motor.
</t>
        </r>
        <r>
          <rPr>
            <i/>
            <sz val="8"/>
            <color rgb="FF000000"/>
            <rFont val="Tahoma"/>
            <family val="2"/>
          </rPr>
          <t xml:space="preserve">In order to increase MS, one must either:
</t>
        </r>
        <r>
          <rPr>
            <i/>
            <sz val="8"/>
            <color rgb="FF000000"/>
            <rFont val="Tahoma"/>
            <family val="2"/>
          </rPr>
          <t xml:space="preserve">- lower the Center of Pressure (position of fins)
</t>
        </r>
        <r>
          <rPr>
            <i/>
            <sz val="8"/>
            <color rgb="FF000000"/>
            <rFont val="Tahoma"/>
            <family val="2"/>
          </rPr>
          <t>- Move up the Center of Mass</t>
        </r>
      </text>
    </comment>
    <comment ref="B30" authorId="1" shapeId="0" xr:uid="{690D3A76-7707-E745-86AD-9ABB7229996E}">
      <text>
        <r>
          <rPr>
            <b/>
            <u/>
            <sz val="8"/>
            <color indexed="8"/>
            <rFont val="Tahoma"/>
            <family val="2"/>
          </rPr>
          <t>E</t>
        </r>
        <r>
          <rPr>
            <b/>
            <sz val="8"/>
            <color indexed="8"/>
            <rFont val="Tahoma"/>
            <family val="2"/>
          </rPr>
          <t>nvergure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Span of one fin.</t>
        </r>
      </text>
    </comment>
    <comment ref="F30" authorId="0" shapeId="0" xr:uid="{DB3E3AE2-0048-2A40-940A-E6C95A7BAC76}">
      <text>
        <r>
          <rPr>
            <sz val="8"/>
            <color rgb="FF000000"/>
            <rFont val="Tahoma"/>
            <family val="2"/>
          </rPr>
          <t xml:space="preserve">Le </t>
        </r>
        <r>
          <rPr>
            <b/>
            <sz val="8"/>
            <color rgb="FF000000"/>
            <rFont val="Tahoma"/>
            <family val="2"/>
          </rPr>
          <t>produit</t>
        </r>
        <r>
          <rPr>
            <sz val="8"/>
            <color rgb="FF000000"/>
            <rFont val="Tahoma"/>
            <family val="2"/>
          </rPr>
          <t xml:space="preserve"> MS*Cnα représente le </t>
        </r>
        <r>
          <rPr>
            <b/>
            <sz val="8"/>
            <color rgb="FF000000"/>
            <rFont val="Tahoma"/>
            <family val="2"/>
          </rPr>
          <t>couple</t>
        </r>
        <r>
          <rPr>
            <sz val="8"/>
            <color rgb="FF000000"/>
            <rFont val="Tahoma"/>
            <family val="2"/>
          </rPr>
          <t xml:space="preserve"> de rappel de la Portance.
</t>
        </r>
        <r>
          <rPr>
            <sz val="8"/>
            <color rgb="FF000000"/>
            <rFont val="Tahoma"/>
            <family val="2"/>
          </rPr>
          <t xml:space="preserve">Pour augmenter le produit, il faut augmenter la MS et/ou le Cnα, et inversement.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The product MS*Cnα represents the lift torque.
</t>
        </r>
        <r>
          <rPr>
            <i/>
            <sz val="8"/>
            <color rgb="FF000000"/>
            <rFont val="Tahoma"/>
            <family val="2"/>
          </rPr>
          <t>To increase it, one must increase the Static Margin and/or the Cnα, and conversely.</t>
        </r>
      </text>
    </comment>
    <comment ref="F31" authorId="0" shapeId="0" xr:uid="{2060A76E-40C6-4B44-BD75-3384A5CAABE3}">
      <text>
        <r>
          <rPr>
            <sz val="8"/>
            <color indexed="8"/>
            <rFont val="Tahoma"/>
            <family val="2"/>
          </rPr>
          <t xml:space="preserve">Le Xcp est la </t>
        </r>
        <r>
          <rPr>
            <b/>
            <sz val="8"/>
            <color indexed="16"/>
            <rFont val="Tahoma"/>
            <family val="2"/>
          </rPr>
          <t>position du Centre de Poussée Aérodynamique</t>
        </r>
        <r>
          <rPr>
            <sz val="8"/>
            <color indexed="8"/>
            <rFont val="Tahoma"/>
            <family val="2"/>
          </rPr>
          <t xml:space="preserve"> (CPA), 
aussi appelé Centre de Pression (CP), Centre Latéral de Poussée (CLP), 
ou Foyer, exprimée par rapport à la pointe de l'ogive.
</t>
        </r>
        <r>
          <rPr>
            <i/>
            <sz val="8"/>
            <color indexed="8"/>
            <rFont val="Tahoma"/>
            <family val="2"/>
          </rPr>
          <t>Xcp is the location of the Aerodynamics Center of Pressure, 
measured from the tip of the nose cone.</t>
        </r>
      </text>
    </comment>
    <comment ref="F32" authorId="2" shapeId="0" xr:uid="{A13EDA9E-DFC5-6342-82F7-D970832138FC}">
      <text>
        <r>
          <rPr>
            <sz val="8"/>
            <color rgb="FF000000"/>
            <rFont val="Tahoma"/>
            <family val="2"/>
          </rPr>
          <t xml:space="preserve">Cette Marge Statique est la distance entre le Centre de Masse et le Centre de Pression, 
</t>
        </r>
        <r>
          <rPr>
            <sz val="8"/>
            <color rgb="FF000000"/>
            <rFont val="Tahoma"/>
            <family val="2"/>
          </rPr>
          <t xml:space="preserve">exprimée en </t>
        </r>
        <r>
          <rPr>
            <b/>
            <sz val="8"/>
            <color rgb="FF000000"/>
            <rFont val="Tahoma"/>
            <family val="2"/>
          </rPr>
          <t>% de la Longueur</t>
        </r>
        <r>
          <rPr>
            <sz val="8"/>
            <color rgb="FF000000"/>
            <rFont val="Tahoma"/>
            <family val="2"/>
          </rPr>
          <t xml:space="preserve"> de la fusée, pour une fusée avec propulseur plein puis vide.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This Static Margin is the distance between the Center of Mass and the Center of Pressure, 
</t>
        </r>
        <r>
          <rPr>
            <i/>
            <sz val="8"/>
            <color rgb="FF000000"/>
            <rFont val="Tahoma"/>
            <family val="2"/>
          </rPr>
          <t>measured in % of rocket length, for a rocket with loaded motor, then empty motor.</t>
        </r>
      </text>
    </comment>
    <comment ref="B33" authorId="0" shapeId="0" xr:uid="{1D42BD02-8CA3-D84F-A862-FC9D20D1F4BA}">
      <text>
        <r>
          <rPr>
            <sz val="8"/>
            <color indexed="8"/>
            <rFont val="Tahoma"/>
            <family val="2"/>
          </rPr>
          <t xml:space="preserve">Distance entre la pointe de l'ogive et le point </t>
        </r>
        <r>
          <rPr>
            <b/>
            <sz val="8"/>
            <color indexed="8"/>
            <rFont val="Tahoma"/>
            <family val="2"/>
          </rPr>
          <t>inférieur</t>
        </r>
        <r>
          <rPr>
            <sz val="8"/>
            <color indexed="8"/>
            <rFont val="Tahoma"/>
            <family val="2"/>
          </rPr>
          <t xml:space="preserve"> de l'encastrement des ailerons.
</t>
        </r>
        <r>
          <rPr>
            <i/>
            <sz val="8"/>
            <color indexed="8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indexed="8"/>
            <rFont val="Tahoma"/>
            <family val="2"/>
          </rPr>
          <t>lower</t>
        </r>
        <r>
          <rPr>
            <i/>
            <sz val="8"/>
            <color indexed="8"/>
            <rFont val="Tahoma"/>
            <family val="2"/>
          </rPr>
          <t xml:space="preserve"> point of fins attachment on the rocket.</t>
        </r>
      </text>
    </comment>
    <comment ref="B34" authorId="0" shapeId="0" xr:uid="{A62E82D4-433C-F54F-9A80-65075C3AAD7D}">
      <text>
        <r>
          <rPr>
            <sz val="8"/>
            <color indexed="8"/>
            <rFont val="Tahoma"/>
            <family val="2"/>
          </rPr>
          <t xml:space="preserve">Diamètre du fuselage au niveau des ailerons.
</t>
        </r>
        <r>
          <rPr>
            <i/>
            <sz val="8"/>
            <color indexed="8"/>
            <rFont val="Tahoma"/>
            <family val="2"/>
          </rPr>
          <t>Diameter of the body at the level of the fins.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Léo Côme</author>
    <author>Léo</author>
    <author>Sylvain Besson</author>
    <author>collectif</author>
  </authors>
  <commentList>
    <comment ref="B10" authorId="0" shapeId="0" xr:uid="{15384CFA-AE50-EC45-8956-D4F4E799CB4F}">
      <text>
        <r>
          <rPr>
            <sz val="8"/>
            <color indexed="8"/>
            <rFont val="Tahoma"/>
            <family val="2"/>
          </rPr>
          <t xml:space="preserve">Masse au décollage, à changer dans la feuille Stabilito,
ou à l'aide des boutons (revérifiez alors la stabilité).
</t>
        </r>
        <r>
          <rPr>
            <i/>
            <sz val="8"/>
            <color indexed="8"/>
            <rFont val="Tahoma"/>
            <family val="2"/>
          </rPr>
          <t>Lift-Off mass, to be changed in Stabilito sheet,
or with the buttons (then recheck stability).</t>
        </r>
      </text>
    </comment>
    <comment ref="B11" authorId="0" shapeId="0" xr:uid="{7793ACB5-563F-C14C-AE40-D36012718F07}">
      <text>
        <r>
          <rPr>
            <sz val="8"/>
            <color indexed="8"/>
            <rFont val="Tahoma"/>
            <family val="2"/>
          </rPr>
          <t xml:space="preserve">Le propulseur doit être sélectionné dans l'onglet Stabilito.
</t>
        </r>
        <r>
          <rPr>
            <i/>
            <sz val="8"/>
            <color indexed="8"/>
            <rFont val="Tahoma"/>
            <family val="2"/>
          </rPr>
          <t>Motor must be selected in Stabilito sheet.</t>
        </r>
      </text>
    </comment>
    <comment ref="B14" authorId="1" shapeId="0" xr:uid="{45581668-9BF5-8147-A37D-825CBA28CDD3}">
      <text>
        <r>
          <rPr>
            <sz val="8"/>
            <color indexed="8"/>
            <rFont val="Tahoma"/>
            <family val="2"/>
          </rPr>
          <t xml:space="preserve">La Surface de Référence utilisée pour le calcul de la Traînée est la surface projetée dans l'axe de la fusée. Ce </t>
        </r>
        <r>
          <rPr>
            <b/>
            <sz val="8"/>
            <color indexed="8"/>
            <rFont val="Tahoma"/>
            <family val="2"/>
          </rPr>
          <t>Maître Couple</t>
        </r>
        <r>
          <rPr>
            <sz val="8"/>
            <color indexed="8"/>
            <rFont val="Tahoma"/>
            <family val="2"/>
          </rPr>
          <t xml:space="preserve"> inclut donc l'épaisseur des ailerons.
</t>
        </r>
        <r>
          <rPr>
            <i/>
            <sz val="8"/>
            <color indexed="8"/>
            <rFont val="Tahoma"/>
            <family val="2"/>
          </rPr>
          <t>Reference Surface used to compute the Drag. It includes Fin thickness.</t>
        </r>
      </text>
    </comment>
    <comment ref="B15" authorId="1" shapeId="0" xr:uid="{40FABB24-6C4E-264B-A224-46A34B8EBB76}">
      <text>
        <r>
          <rPr>
            <sz val="8"/>
            <color indexed="8"/>
            <rFont val="Tahoma"/>
            <family val="2"/>
          </rPr>
          <t xml:space="preserve">Coefficient de Traînée de la fusée. Par défaut, le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vaut 0.6. On peut ajouter ou retrancher 0.2 en fonction des aspérités de la fusée, du profilage des ailerons…
</t>
        </r>
        <r>
          <rPr>
            <i/>
            <sz val="8"/>
            <color indexed="8"/>
            <rFont val="Tahoma"/>
            <family val="2"/>
          </rPr>
          <t>Rocket Drag Coefficient is generally between 0.4 and 0.8, with a default value of 0.6.</t>
        </r>
      </text>
    </comment>
    <comment ref="B18" authorId="1" shapeId="0" xr:uid="{F6F856DB-B077-E540-8D7B-892EB7794A98}">
      <text>
        <r>
          <rPr>
            <b/>
            <sz val="8"/>
            <color indexed="8"/>
            <rFont val="Tahoma"/>
            <family val="2"/>
          </rPr>
          <t>Longueur de la rampe de lancement.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i/>
            <sz val="8"/>
            <color indexed="8"/>
            <rFont val="Tahoma"/>
            <family val="2"/>
          </rPr>
          <t xml:space="preserve">                                          Length of the launch pad.</t>
        </r>
        <r>
          <rPr>
            <sz val="8"/>
            <color indexed="8"/>
            <rFont val="Tahoma"/>
            <family val="2"/>
          </rPr>
          <t xml:space="preserve">
Valeurs courantes :                  </t>
        </r>
        <r>
          <rPr>
            <i/>
            <sz val="8"/>
            <color indexed="8"/>
            <rFont val="Tahoma"/>
            <family val="2"/>
          </rPr>
          <t>Average values :</t>
        </r>
        <r>
          <rPr>
            <sz val="8"/>
            <color indexed="8"/>
            <rFont val="Tahoma"/>
            <family val="2"/>
          </rPr>
          <t xml:space="preserve">
MicroFusée                  : 1m  :    </t>
        </r>
        <r>
          <rPr>
            <i/>
            <sz val="8"/>
            <color indexed="8"/>
            <rFont val="Tahoma"/>
            <family val="2"/>
          </rPr>
          <t>Micro-rocket</t>
        </r>
        <r>
          <rPr>
            <sz val="8"/>
            <color indexed="8"/>
            <rFont val="Tahoma"/>
            <family val="2"/>
          </rPr>
          <t xml:space="preserve">
MiniFusée                    : 2m5:   </t>
        </r>
        <r>
          <rPr>
            <i/>
            <sz val="8"/>
            <color indexed="8"/>
            <rFont val="Tahoma"/>
            <family val="2"/>
          </rPr>
          <t xml:space="preserve"> Mini-rocket
Rocketry Challenge    </t>
        </r>
        <r>
          <rPr>
            <sz val="8"/>
            <color indexed="8"/>
            <rFont val="Tahoma"/>
            <family val="2"/>
          </rPr>
          <t xml:space="preserve">: 3m
Fusée Expérimentale  : 4m  :   </t>
        </r>
        <r>
          <rPr>
            <i/>
            <sz val="8"/>
            <color indexed="8"/>
            <rFont val="Tahoma"/>
            <family val="2"/>
          </rPr>
          <t>Experimental Rocket</t>
        </r>
      </text>
    </comment>
    <comment ref="B19" authorId="1" shapeId="0" xr:uid="{410EB2A1-05D7-0C44-A8E3-5AD1648CAEAD}">
      <text>
        <r>
          <rPr>
            <sz val="8"/>
            <color indexed="8"/>
            <rFont val="Tahoma"/>
            <family val="2"/>
          </rPr>
          <t xml:space="preserve">Elévation de la rampe, angle par rapport à l'horizontale, "site" de la rampe, par défaut cet angle est à 80°.
</t>
        </r>
        <r>
          <rPr>
            <i/>
            <sz val="8"/>
            <color indexed="8"/>
            <rFont val="Tahoma"/>
            <family val="2"/>
          </rPr>
          <t>Angle of the lauch pad versus horizontal.</t>
        </r>
      </text>
    </comment>
    <comment ref="B20" authorId="1" shapeId="0" xr:uid="{CACCC701-E118-1344-8D11-6F899D4B1E33}">
      <text>
        <r>
          <rPr>
            <sz val="8"/>
            <color indexed="8"/>
            <rFont val="Tahoma"/>
            <family val="2"/>
          </rPr>
          <t xml:space="preserve">L'Altitude de la rampe est utilisée pour calculer la densité de l'air.
</t>
        </r>
        <r>
          <rPr>
            <i/>
            <sz val="8"/>
            <color indexed="8"/>
            <rFont val="Tahoma"/>
            <family val="2"/>
          </rPr>
          <t>Launch Pad Altitude is used to compute the air density.</t>
        </r>
      </text>
    </comment>
    <comment ref="D23" authorId="2" shapeId="0" xr:uid="{B18CBBCB-629E-3D4F-81A4-B315A4BC536B}">
      <text>
        <r>
          <rPr>
            <b/>
            <sz val="8"/>
            <color indexed="8"/>
            <rFont val="Tahoma"/>
            <family val="2"/>
          </rPr>
          <t>Objet largué</t>
        </r>
        <r>
          <rPr>
            <sz val="8"/>
            <color indexed="8"/>
            <rFont val="Tahoma"/>
            <family val="2"/>
          </rPr>
          <t xml:space="preserve"> (CanSat, quasi-satellite, partie contenant l'œuf...)
</t>
        </r>
        <r>
          <rPr>
            <i/>
            <sz val="8"/>
            <color indexed="8"/>
            <rFont val="Tahoma"/>
            <family val="2"/>
          </rPr>
          <t>Separated object (CanSat, quasi-satellite, payload/egg...)</t>
        </r>
      </text>
    </comment>
    <comment ref="K23" authorId="1" shapeId="0" xr:uid="{5D3388C4-0B4A-304D-916C-2A9A38115A36}">
      <text>
        <r>
          <rPr>
            <sz val="8"/>
            <color rgb="FF000000"/>
            <rFont val="Tahoma"/>
            <family val="2"/>
          </rPr>
          <t xml:space="preserve">La Vitesse en Sortie de Rampe doit être supérieure à 18m/s (MiniFusée) ou 20m/s (Fusée Exp.).
</t>
        </r>
        <r>
          <rPr>
            <sz val="8"/>
            <color rgb="FF000000"/>
            <rFont val="Tahoma"/>
            <family val="2"/>
          </rPr>
          <t xml:space="preserve">Alléger la fusée ou choisir un propu plus puissant.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Speed at Launch Pad Exit must by higher than 18m/s (mini-rocket) or 20m/s (experimental rocket).
</t>
        </r>
        <r>
          <rPr>
            <i/>
            <sz val="8"/>
            <color rgb="FF000000"/>
            <rFont val="Tahoma"/>
            <family val="2"/>
          </rPr>
          <t>Lighten the rocket or choose a bigger motor.</t>
        </r>
      </text>
    </comment>
    <comment ref="C24" authorId="2" shapeId="0" xr:uid="{83A39B17-3C6C-F54C-B142-67AFDE99C6BD}">
      <text>
        <r>
          <rPr>
            <sz val="8"/>
            <color rgb="FF000000"/>
            <rFont val="Tahoma"/>
            <family val="2"/>
          </rPr>
          <t xml:space="preserve">Masse de la fusée (sans satellite) sous parachute.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Mass of the rocket (w/o sat) when it fall with a parachute.</t>
        </r>
      </text>
    </comment>
    <comment ref="M27" authorId="3" shapeId="0" xr:uid="{F98FD256-335A-884D-892A-C0FC5DB698E0}">
      <text>
        <r>
          <rPr>
            <sz val="8"/>
            <color rgb="FF000000"/>
            <rFont val="Tahoma"/>
            <family val="2"/>
          </rPr>
          <t xml:space="preserve">Efforts sur les fixations du parachute lors de sont ouverture.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Stress on the parachute's bindings when it opened.</t>
        </r>
      </text>
    </comment>
    <comment ref="B28" authorId="1" shapeId="0" xr:uid="{DA1E166D-9ACD-E643-BBB1-901B2DECE888}">
      <text>
        <r>
          <rPr>
            <sz val="8"/>
            <color indexed="8"/>
            <rFont val="Tahoma"/>
            <family val="2"/>
          </rPr>
          <t xml:space="preserve">Le Coefficient de Traînée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(ou Cd) d'un parachute est généralement compris entre 0.7 et 1.4 (1 par défaut).
</t>
        </r>
        <r>
          <rPr>
            <i/>
            <sz val="8"/>
            <color indexed="8"/>
            <rFont val="Tahoma"/>
            <family val="2"/>
          </rPr>
          <t xml:space="preserve">Parachute Drag Coefficient </t>
        </r>
        <r>
          <rPr>
            <b/>
            <i/>
            <sz val="8"/>
            <color indexed="8"/>
            <rFont val="Tahoma"/>
            <family val="2"/>
          </rPr>
          <t>Cx</t>
        </r>
        <r>
          <rPr>
            <i/>
            <sz val="8"/>
            <color indexed="8"/>
            <rFont val="Tahoma"/>
            <family val="2"/>
          </rPr>
          <t xml:space="preserve"> (or Cd) should be between 0.7 and 1.4, with a default value of 1.</t>
        </r>
      </text>
    </comment>
    <comment ref="M28" authorId="3" shapeId="0" xr:uid="{958539F3-7D38-6E4B-BF35-69D4D724398E}">
      <text>
        <r>
          <rPr>
            <sz val="8"/>
            <color rgb="FF000000"/>
            <rFont val="Tahoma"/>
            <family val="2"/>
          </rPr>
          <t>Energie libérée lors de l'impact balistique.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Balistic impact energy</t>
        </r>
      </text>
    </comment>
    <comment ref="B30" authorId="4" shapeId="0" xr:uid="{14989AF1-08E3-8F4C-A76E-1CA69A50E176}">
      <text>
        <r>
          <rPr>
            <sz val="8"/>
            <color rgb="FF000000"/>
            <rFont val="Tahoma"/>
            <family val="2"/>
          </rPr>
          <t xml:space="preserve">La Vitesse de descente sous parachute doit être comprise entre 5 &amp; 15m/s.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Fall Velocity with parachute must be between 5 &amp; 15 m/s.</t>
        </r>
      </text>
    </comment>
    <comment ref="B33" authorId="0" shapeId="0" xr:uid="{99C5B9B1-DACD-4949-8E82-0494050894FB}">
      <text>
        <r>
          <rPr>
            <sz val="8"/>
            <color indexed="8"/>
            <rFont val="Tahoma"/>
            <family val="2"/>
          </rPr>
          <t xml:space="preserve">Déviation due au vent lors de la descente sous parachute.
</t>
        </r>
        <r>
          <rPr>
            <i/>
            <sz val="8"/>
            <color indexed="8"/>
            <rFont val="Tahoma"/>
            <family val="2"/>
          </rPr>
          <t>Deviation due to wind during the fall over parachute.</t>
        </r>
      </text>
    </comment>
    <comment ref="F40" authorId="1" shapeId="0" xr:uid="{4C5983D3-8ABD-124E-915B-4E877960845F}">
      <text>
        <r>
          <rPr>
            <sz val="8"/>
            <color indexed="8"/>
            <rFont val="Tahoma"/>
            <family val="2"/>
          </rPr>
          <t xml:space="preserve">Les Conditions Initiales permettent de simuler le 2e boost des fusée bi-étage ou des fusées larguant une masse (CanSat, bi-inerte). Laisser à 0 dans les autres cas.
</t>
        </r>
        <r>
          <rPr>
            <i/>
            <sz val="8"/>
            <color indexed="8"/>
            <rFont val="Tahoma"/>
            <family val="2"/>
          </rPr>
          <t>Initial Conditions can be used to simulate the 2nd boost of 2-stages rockets, or rocket releasing mass (Quasi-Satellites). Set them to 0 otherwise.</t>
        </r>
      </text>
    </comment>
    <comment ref="I40" authorId="1" shapeId="0" xr:uid="{01589978-EDDE-3741-BF57-74E8E94DE07A}">
      <text>
        <r>
          <rPr>
            <sz val="8"/>
            <color indexed="8"/>
            <rFont val="Tahoma"/>
            <family val="2"/>
          </rPr>
          <t xml:space="preserve">Altitude par rapport à la rampe, par rapport au sol.
</t>
        </r>
        <r>
          <rPr>
            <i/>
            <sz val="8"/>
            <color indexed="8"/>
            <rFont val="Tahoma"/>
            <family val="2"/>
          </rPr>
          <t>Altitude with respect to the earth surface.</t>
        </r>
      </text>
    </comment>
    <comment ref="K40" authorId="1" shapeId="0" xr:uid="{7D4F787C-8E9D-AD4B-B98C-DFC41DE06DE4}">
      <text>
        <r>
          <rPr>
            <sz val="8"/>
            <color indexed="8"/>
            <rFont val="Tahoma"/>
            <family val="2"/>
          </rPr>
          <t xml:space="preserve">La vitesse initiale doit être non-nulle dans le cas d'un 2e boost (allumage hors de la rampe, Portée et Altitude non-nulles).
</t>
        </r>
        <r>
          <rPr>
            <i/>
            <sz val="8"/>
            <color indexed="8"/>
            <rFont val="Tahoma"/>
            <family val="2"/>
          </rPr>
          <t>Initial Velocity must be non-zero in case of 2nd boost (ignition without launch pad, non-zero Range and Altitude).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M363040</author>
    <author>Léo Côme</author>
  </authors>
  <commentList>
    <comment ref="B10" authorId="0" shapeId="0" xr:uid="{DECAEDCA-6867-B442-8EF7-18D10A7D4512}">
      <text>
        <r>
          <rPr>
            <sz val="8"/>
            <color indexed="8"/>
            <rFont val="Tahoma"/>
            <family val="2"/>
          </rPr>
          <t xml:space="preserve">Masse sans propu, à changer dans la feuille Stabilito,
ou à l'aide des boutons (revérifiez alors la stabilité).
</t>
        </r>
        <r>
          <rPr>
            <i/>
            <sz val="8"/>
            <color indexed="8"/>
            <rFont val="Tahoma"/>
            <family val="2"/>
          </rPr>
          <t>Rocket mass without motor, to be changed in Stabilito sheet,
or with the buttons (then recheck stability).</t>
        </r>
      </text>
    </comment>
    <comment ref="B11" authorId="0" shapeId="0" xr:uid="{6DE15895-CF3A-B04B-9924-780E2F0470E3}">
      <text>
        <r>
          <rPr>
            <sz val="8"/>
            <color indexed="8"/>
            <rFont val="Tahoma"/>
            <family val="2"/>
          </rPr>
          <t>Masse totale, à changer dans la feuille Stabilito,
ou à l'aide des boutons (revérifiez alors la stabilité).
Rocket total mass, to be changed in Stabilito sheet,
or with the buttons (then recheck stability).</t>
        </r>
      </text>
    </comment>
    <comment ref="B12" authorId="0" shapeId="0" xr:uid="{FC517C5B-575E-C442-96EF-03A0E0636F81}">
      <text>
        <r>
          <rPr>
            <sz val="8"/>
            <color indexed="8"/>
            <rFont val="Tahoma"/>
            <family val="2"/>
          </rPr>
          <t xml:space="preserve">Le propulseur doit être sélectionné dans l'onglet Stabilito.
</t>
        </r>
        <r>
          <rPr>
            <i/>
            <sz val="8"/>
            <color indexed="8"/>
            <rFont val="Tahoma"/>
            <family val="2"/>
          </rPr>
          <t>Motor must be selected in Stabilito sheet.</t>
        </r>
      </text>
    </comment>
    <comment ref="B15" authorId="1" shapeId="0" xr:uid="{17E33935-8B9F-6541-A3BE-C2438CE92052}">
      <text>
        <r>
          <rPr>
            <sz val="8"/>
            <color indexed="8"/>
            <rFont val="Tahoma"/>
            <family val="2"/>
          </rPr>
          <t xml:space="preserve">Diamètre de référence. D_réf = D_ogive ou le diamètre "principal".
</t>
        </r>
        <r>
          <rPr>
            <i/>
            <sz val="8"/>
            <color indexed="8"/>
            <rFont val="Tahoma"/>
            <family val="2"/>
          </rPr>
          <t>Reference Diameter. D_ref = D_ogive or the "main" diameter.</t>
        </r>
      </text>
    </comment>
    <comment ref="B16" authorId="2" shapeId="0" xr:uid="{E172DD01-C068-EB46-9363-E08B5F91D3F8}">
      <text>
        <r>
          <rPr>
            <sz val="8"/>
            <color indexed="8"/>
            <rFont val="Tahoma"/>
            <family val="2"/>
          </rPr>
          <t xml:space="preserve">Coefficient de Traînée de la fusée. Par défaut, le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vaut 0.6. On peut ajouter ou retrancher 0.2 en fonction des aspérités de la fusée, du profilage des ailerons…
</t>
        </r>
        <r>
          <rPr>
            <i/>
            <sz val="8"/>
            <color indexed="8"/>
            <rFont val="Tahoma"/>
            <family val="2"/>
          </rPr>
          <t>Rocket Drag Coefficient is generally between 0.4 and 0.8, with a default value of 0.6.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Léo</author>
  </authors>
  <commentList>
    <comment ref="E52" authorId="0" shapeId="0" xr:uid="{F64DC3FF-91A3-DF48-911C-0D7848EFC6BB}">
      <text>
        <r>
          <rPr>
            <sz val="8"/>
            <color indexed="81"/>
            <rFont val="Tahoma"/>
            <family val="2"/>
          </rPr>
          <t xml:space="preserve">Masse volumique de l'air (ρ) à P=1013,25hPa &amp; T=15°C.
Utilisée tel quel pour la descente sous parachute,
utilisée comme référence (z=0) pour le calcul de ρ en fonction de l'altitude dans le calcul de la trajectoire pas à pas.
Idéalement, valeur à adapter aux conditions atmosphériques au moment du lancement.
</t>
        </r>
        <r>
          <rPr>
            <i/>
            <sz val="8"/>
            <color indexed="81"/>
            <rFont val="Tahoma"/>
            <family val="2"/>
          </rPr>
          <t>Air density (ρ) at P=1013,25hPa &amp; T=15°C.</t>
        </r>
      </text>
    </comment>
  </commentList>
</comments>
</file>

<file path=xl/sharedStrings.xml><?xml version="1.0" encoding="utf-8"?>
<sst xmlns="http://schemas.openxmlformats.org/spreadsheetml/2006/main" count="1674" uniqueCount="556">
  <si>
    <t>TRAJECTO</t>
  </si>
  <si>
    <t>Français</t>
  </si>
  <si>
    <t>t</t>
  </si>
  <si>
    <t>x</t>
  </si>
  <si>
    <t>Club</t>
  </si>
  <si>
    <t>Cx</t>
  </si>
  <si>
    <t>Altitude</t>
  </si>
  <si>
    <t>m/s²</t>
  </si>
  <si>
    <t>kg/m3</t>
  </si>
  <si>
    <t>Surface para</t>
  </si>
  <si>
    <t>Cx parachute</t>
  </si>
  <si>
    <t>Temps</t>
  </si>
  <si>
    <t>Altitude z</t>
  </si>
  <si>
    <t>Accélération</t>
  </si>
  <si>
    <t>-</t>
  </si>
  <si>
    <t>Culmination, Apogée</t>
  </si>
  <si>
    <t>~0</t>
  </si>
  <si>
    <t>Forces</t>
  </si>
  <si>
    <t>Accélération longitudinale</t>
  </si>
  <si>
    <t>pas</t>
  </si>
  <si>
    <t>Beta</t>
  </si>
  <si>
    <t>BetaD</t>
  </si>
  <si>
    <t>Débit</t>
  </si>
  <si>
    <t>Trainée</t>
  </si>
  <si>
    <t>Rho</t>
  </si>
  <si>
    <t>Poussée</t>
  </si>
  <si>
    <t>i_P</t>
  </si>
  <si>
    <t>Poids</t>
  </si>
  <si>
    <t>R_rampe</t>
  </si>
  <si>
    <t>z</t>
  </si>
  <si>
    <t>non-gravit.</t>
  </si>
  <si>
    <t>gravitationnelle</t>
  </si>
  <si>
    <t>Ligne</t>
  </si>
  <si>
    <t>Temps (en s)</t>
  </si>
  <si>
    <t>Poussée (en N)</t>
  </si>
  <si>
    <t>Isard</t>
  </si>
  <si>
    <t>Chamois</t>
  </si>
  <si>
    <t>Pro75-2G</t>
  </si>
  <si>
    <t>espace@planete-sciences.org</t>
  </si>
  <si>
    <t>m</t>
  </si>
  <si>
    <t>http://www.planete-sciences.org/espace/basedoc/</t>
  </si>
  <si>
    <t>Surface Réf.</t>
  </si>
  <si>
    <t>Angle</t>
  </si>
  <si>
    <t>Léo Côme</t>
  </si>
  <si>
    <t>Notes :</t>
  </si>
  <si>
    <t>Barasinga (Pro54-5G)</t>
  </si>
  <si>
    <t>Orignal (Pro75-3G)</t>
  </si>
  <si>
    <t>Aucun (2e ét. inerte)</t>
  </si>
  <si>
    <t>z para</t>
  </si>
  <si>
    <t>z sat</t>
  </si>
  <si>
    <t>xz max</t>
  </si>
  <si>
    <t>t para</t>
  </si>
  <si>
    <t>x para</t>
  </si>
  <si>
    <t>t sat</t>
  </si>
  <si>
    <t>x sat</t>
  </si>
  <si>
    <t>Moteurs Rocketry-Challenge, bug Surface_parachute, Satellite, bug Ooo</t>
  </si>
  <si>
    <t>STABILITO</t>
  </si>
  <si>
    <t>Type</t>
  </si>
  <si>
    <t>XCp</t>
  </si>
  <si>
    <t>MpropuPlein</t>
  </si>
  <si>
    <t>XpropuPlein</t>
  </si>
  <si>
    <t>MpropuVide</t>
  </si>
  <si>
    <t>XpropuVide</t>
  </si>
  <si>
    <t>Longueur</t>
  </si>
  <si>
    <t>Diamètre</t>
  </si>
  <si>
    <t>Min</t>
  </si>
  <si>
    <t>Max</t>
  </si>
  <si>
    <t>Finesse</t>
  </si>
  <si>
    <t>Cnα</t>
  </si>
  <si>
    <t>MS /L</t>
  </si>
  <si>
    <t>English</t>
  </si>
  <si>
    <t>X longi</t>
  </si>
  <si>
    <t>Y latéral</t>
  </si>
  <si>
    <t>- Y latéral</t>
  </si>
  <si>
    <t>Pointe</t>
  </si>
  <si>
    <t>Ogive</t>
  </si>
  <si>
    <t>chmt1 pt1</t>
  </si>
  <si>
    <t>chmt1 pt2</t>
  </si>
  <si>
    <t>chmt2 pt1</t>
  </si>
  <si>
    <t>chmt2 pt2</t>
  </si>
  <si>
    <t>culot</t>
  </si>
  <si>
    <t>aileron pt1</t>
  </si>
  <si>
    <t>aileron pt2</t>
  </si>
  <si>
    <t>aileron pt3</t>
  </si>
  <si>
    <t>aileron pt4</t>
  </si>
  <si>
    <t>Xcg plein</t>
  </si>
  <si>
    <t>Xcg vide</t>
  </si>
  <si>
    <t>Xcp</t>
  </si>
  <si>
    <t>canard pt1</t>
  </si>
  <si>
    <t>canard pt2</t>
  </si>
  <si>
    <t>canard pt3</t>
  </si>
  <si>
    <t>canard pt4</t>
  </si>
  <si>
    <t>masquage pt1</t>
  </si>
  <si>
    <t>masquage pt2</t>
  </si>
  <si>
    <t>masquage pt3</t>
  </si>
  <si>
    <t>masquage pt4</t>
  </si>
  <si>
    <t>cadre</t>
  </si>
  <si>
    <t>propu pt1</t>
  </si>
  <si>
    <t>propu pt2</t>
  </si>
  <si>
    <t>propu pt3</t>
  </si>
  <si>
    <t>propu pt4</t>
  </si>
  <si>
    <t>propu pt5</t>
  </si>
  <si>
    <t>MS (X)</t>
  </si>
  <si>
    <t>Cna (Y)</t>
  </si>
  <si>
    <t>2002-2007</t>
  </si>
  <si>
    <t>Stabilito V1.x</t>
  </si>
  <si>
    <t>Stabilito V2.0</t>
  </si>
  <si>
    <t>Stabilito V2.1</t>
  </si>
  <si>
    <t>Stabilito V2.2</t>
  </si>
  <si>
    <t>Trajecto V1.x</t>
  </si>
  <si>
    <t>Trajecto V2.x</t>
  </si>
  <si>
    <t>Trajecto V2.4</t>
  </si>
  <si>
    <t>Trajecto V2.5</t>
  </si>
  <si>
    <t>OpenOffice Calc</t>
  </si>
  <si>
    <t>µ-propu A8-3</t>
  </si>
  <si>
    <t>µ-propu B4-4</t>
  </si>
  <si>
    <t>µ-propu C6-3</t>
  </si>
  <si>
    <t>ISP</t>
  </si>
  <si>
    <t>I_total</t>
  </si>
  <si>
    <t>I_total_i (en N.s)</t>
  </si>
  <si>
    <t>Micro</t>
  </si>
  <si>
    <t>Fusex</t>
  </si>
  <si>
    <t>Mini</t>
  </si>
  <si>
    <t>0 satellite</t>
  </si>
  <si>
    <t>1 satellite</t>
  </si>
  <si>
    <t>http://creativecommons.org/licenses/by-sa/3.0/</t>
  </si>
  <si>
    <t>VL4</t>
  </si>
  <si>
    <t>Vsortie de rampe (&gt; 18 m/s)</t>
  </si>
  <si>
    <t>10 &lt; finesse &lt; 20</t>
  </si>
  <si>
    <t>15 &lt; Cn &lt; 30</t>
  </si>
  <si>
    <t>30 &lt; Ms x Cn &lt; 100</t>
  </si>
  <si>
    <t>RC1</t>
  </si>
  <si>
    <t>5 &lt; Vc &lt; 15 m/s</t>
  </si>
  <si>
    <t>RC2</t>
  </si>
  <si>
    <t>Temps de retard ralentisseur</t>
  </si>
  <si>
    <t>RC5</t>
  </si>
  <si>
    <t>Portée balistique (m)</t>
  </si>
  <si>
    <t>Temps de vol avec parachute (s)</t>
  </si>
  <si>
    <t>Culmination</t>
  </si>
  <si>
    <t>Accélération max (m/s²)</t>
  </si>
  <si>
    <t>Vmax (m/s)</t>
  </si>
  <si>
    <t>Altitude (m)</t>
  </si>
  <si>
    <t>Temps (s)</t>
  </si>
  <si>
    <t>Vitesse (m/s)</t>
  </si>
  <si>
    <t>Inclinaison</t>
  </si>
  <si>
    <t>Longueur totale</t>
  </si>
  <si>
    <t>Longueur rampe</t>
  </si>
  <si>
    <t>Epaisseur ailerons</t>
  </si>
  <si>
    <t>Nombre ailerons</t>
  </si>
  <si>
    <t>Type d'ogive</t>
  </si>
  <si>
    <t>Longueur ogive "l"</t>
  </si>
  <si>
    <t>Haut du propu "Prop"</t>
  </si>
  <si>
    <t>Diamètre "D"</t>
  </si>
  <si>
    <t>Position ailerons "L"</t>
  </si>
  <si>
    <t>M</t>
  </si>
  <si>
    <t>Microsoft Excel 2003 ou +</t>
  </si>
  <si>
    <t>s</t>
  </si>
  <si>
    <t>m/s</t>
  </si>
  <si>
    <t>°</t>
  </si>
  <si>
    <t>Transition A</t>
  </si>
  <si>
    <t>Transition B</t>
  </si>
  <si>
    <t>Jaune</t>
  </si>
  <si>
    <t>Ma fusée</t>
  </si>
  <si>
    <t>conique</t>
  </si>
  <si>
    <t>ogive</t>
  </si>
  <si>
    <t>parabole</t>
  </si>
  <si>
    <t>Mon club</t>
  </si>
  <si>
    <t>env pt4</t>
  </si>
  <si>
    <t>flèche pt2</t>
  </si>
  <si>
    <t>saumon pt3</t>
  </si>
  <si>
    <t>flèche milieu</t>
  </si>
  <si>
    <t>env milieu</t>
  </si>
  <si>
    <t>saumon milieu</t>
  </si>
  <si>
    <t>empl milieu</t>
  </si>
  <si>
    <t>empl pt4</t>
  </si>
  <si>
    <t>MS milieu</t>
  </si>
  <si>
    <t>MS Xcp</t>
  </si>
  <si>
    <t>1s</t>
  </si>
  <si>
    <t>t/T</t>
  </si>
  <si>
    <t>z/Z</t>
  </si>
  <si>
    <t>vertical</t>
  </si>
  <si>
    <t>horizontal</t>
  </si>
  <si>
    <t>flèches</t>
  </si>
  <si>
    <t>StabTraj</t>
  </si>
  <si>
    <t>StabTraj V3.0</t>
  </si>
  <si>
    <t>Trajecto</t>
  </si>
  <si>
    <t>µ-propu</t>
  </si>
  <si>
    <t>Minif</t>
  </si>
  <si>
    <t xml:space="preserve"> </t>
  </si>
  <si>
    <t>Événements</t>
  </si>
  <si>
    <t>Sous-échantillon 1Hz</t>
  </si>
  <si>
    <t>pos_x</t>
  </si>
  <si>
    <t>pos_z</t>
  </si>
  <si>
    <t>pos_xz</t>
  </si>
  <si>
    <t>vit_x</t>
  </si>
  <si>
    <t>vit_z</t>
  </si>
  <si>
    <t>vit_xz</t>
  </si>
  <si>
    <t>acc_x</t>
  </si>
  <si>
    <t>acc_z</t>
  </si>
  <si>
    <t>acc_xz</t>
  </si>
  <si>
    <t>Donneés au format des fiches de contrôles Fusex :</t>
  </si>
  <si>
    <t>Diamètre max</t>
  </si>
  <si>
    <t>Envergure totale</t>
  </si>
  <si>
    <t>sans</t>
  </si>
  <si>
    <t>vide</t>
  </si>
  <si>
    <t>plein</t>
  </si>
  <si>
    <t>Masse</t>
  </si>
  <si>
    <t>STAB 1</t>
  </si>
  <si>
    <t>STAB 2</t>
  </si>
  <si>
    <t>STAB 3</t>
  </si>
  <si>
    <t>STAB 4</t>
  </si>
  <si>
    <t>STAB 5</t>
  </si>
  <si>
    <t>Vsortie de rampe (&gt; 20 m/s)</t>
  </si>
  <si>
    <t>10 &lt; finesse &lt; 35</t>
  </si>
  <si>
    <t>15 &lt; Portance &lt; 40</t>
  </si>
  <si>
    <t>2*D &lt; Ms &lt; 6*D</t>
  </si>
  <si>
    <t>40 &lt; Ms x Cn &lt; 100</t>
  </si>
  <si>
    <t>Maître couple (m²)</t>
  </si>
  <si>
    <t>Site</t>
  </si>
  <si>
    <t>Temps balistique (s)</t>
  </si>
  <si>
    <t>Temps culmi (s)</t>
  </si>
  <si>
    <t>Altitude culmi (m)</t>
  </si>
  <si>
    <t>Vitesse culmi (m/s)</t>
  </si>
  <si>
    <t>CdG</t>
  </si>
  <si>
    <t>Diamètre max (40à200)</t>
  </si>
  <si>
    <t>Envergure totale &lt;720</t>
  </si>
  <si>
    <t>Masse &lt;15</t>
  </si>
  <si>
    <t>Pensez à modifier l'inclinaison pour avoir les 2 valeurs.</t>
  </si>
  <si>
    <t>Resist long aileron</t>
  </si>
  <si>
    <t>Resist transv aileron</t>
  </si>
  <si>
    <t>Compression 2.Acc.M</t>
  </si>
  <si>
    <t>N</t>
  </si>
  <si>
    <t>kg</t>
  </si>
  <si>
    <t>Surface aileron (m²)</t>
  </si>
  <si>
    <t>Masse aileron (kg)</t>
  </si>
  <si>
    <t>T dépotage +/-2s /appogée</t>
  </si>
  <si>
    <t>REC 2</t>
  </si>
  <si>
    <t>SEQ 5</t>
  </si>
  <si>
    <t>CR 1</t>
  </si>
  <si>
    <t>CR 2</t>
  </si>
  <si>
    <t>MEC 3</t>
  </si>
  <si>
    <t>Vitesse à l'ouverture m/s</t>
  </si>
  <si>
    <t>Surface parachute m²</t>
  </si>
  <si>
    <t xml:space="preserve">Choc à l'ouverture   N </t>
  </si>
  <si>
    <t>Choc à l'ouverture   kg</t>
  </si>
  <si>
    <t>Compression porte</t>
  </si>
  <si>
    <t>Masse au-dessus porte</t>
  </si>
  <si>
    <t>REC 8</t>
  </si>
  <si>
    <t>rad</t>
  </si>
  <si>
    <t>kg/s</t>
  </si>
  <si>
    <t>Méthodes d'intégration maison</t>
  </si>
  <si>
    <t>Wikipedia</t>
  </si>
  <si>
    <t>Pour se limiter à 1000 lignes, pas variable (les transitions sont-elles rigoureuses ?).</t>
  </si>
  <si>
    <t>Le Vol de la Fusée</t>
  </si>
  <si>
    <t>Beeman (2nd order, explicit variant)</t>
  </si>
  <si>
    <t>Newmark-beta (with γ=1/2 &amp; β=1/4) (2nd order)</t>
  </si>
  <si>
    <t>Spécificités de notre problème (2nd order mechanical ODE) :</t>
  </si>
  <si>
    <t>Verlet (2-stage 2nd order, symplectic, explicit)</t>
  </si>
  <si>
    <t>Trajec 2.x utililse un mélange douteux de différentes méthodes :</t>
  </si>
  <si>
    <t>Méthodes d'intégration explicites officielles</t>
  </si>
  <si>
    <t>On peut anticiper la Poussée (force qui varie le +) et la masse.</t>
  </si>
  <si>
    <t>L'Acc dépend de la vitesse (et peu de la position).</t>
  </si>
  <si>
    <t>Semi-implicit Euler (1st order, symplectic) [§ "Euler modifié" dans Le Vol de La Fusée]</t>
  </si>
  <si>
    <t>Explicit Euler (1st order, non-symplectic) [RK1]</t>
  </si>
  <si>
    <t>Velocity Verlet, Leapfrog variant (2nd order, symplectic, explicit)</t>
  </si>
  <si>
    <t>Midpoint, Modified Euler (2nd order, explicit) [§ "RK2" dans Le Vol de La Fusée]</t>
  </si>
  <si>
    <t>Heun, Improved Euler (2-stage 2nd-order, explicit, predictor-corrector) [Trapezoidal] [RK2]</t>
  </si>
  <si>
    <t>Les méthodes symplectic (conserve l'énergie) gardent-elles leur avantage quand la masse varie (ph propu) ?</t>
  </si>
  <si>
    <t>Sous Excel, on a les pas précédent (linear multistep possible), mais ordre élevé ou implicite sont à exclure.</t>
  </si>
  <si>
    <t>Multi{sub}step (RK), linear multi{previous}step (ADAMS), predictor-corrector, implicit …</t>
  </si>
  <si>
    <t>Dynamique de la fusée (repère sol)</t>
  </si>
  <si>
    <t>Brun/Orange…</t>
  </si>
  <si>
    <t>Rouge…</t>
  </si>
  <si>
    <t>Trajecto/StabTraj corrige l'erreur de Trajec sur Xn+1 en utilisant la vitesse moyenne :</t>
  </si>
  <si>
    <t>Idéalement, il serait préférable de tout calculer à n+0.5 (m, V, β, ρ).</t>
  </si>
  <si>
    <t>Checksum :</t>
  </si>
  <si>
    <t>M_éjecté</t>
  </si>
  <si>
    <t>M_burnout</t>
  </si>
  <si>
    <t>m_poudre</t>
  </si>
  <si>
    <t>Wapiti</t>
  </si>
  <si>
    <t>Cariacou</t>
  </si>
  <si>
    <t>H2O</t>
  </si>
  <si>
    <t>H2O 2.0L 400g 6bar</t>
  </si>
  <si>
    <t>H2O 2.0L 600g 6bar</t>
  </si>
  <si>
    <t>H2O 2.0L 800g 6bar</t>
  </si>
  <si>
    <t>H2O 2.0L 1000g 6bar</t>
  </si>
  <si>
    <t>ABACO</t>
  </si>
  <si>
    <t>Masse totale</t>
  </si>
  <si>
    <t>Traînée prop</t>
  </si>
  <si>
    <t>Traînée bal</t>
  </si>
  <si>
    <t>1/2.ρ.S.Cx</t>
  </si>
  <si>
    <t>M ph prop</t>
  </si>
  <si>
    <t>M ph bal</t>
  </si>
  <si>
    <t>alt_prop</t>
  </si>
  <si>
    <t>V_prop</t>
  </si>
  <si>
    <t>t_culmi</t>
  </si>
  <si>
    <t>D_var</t>
  </si>
  <si>
    <t>Q_var</t>
  </si>
  <si>
    <t>m_var</t>
  </si>
  <si>
    <t>m_prop</t>
  </si>
  <si>
    <t>m_bal</t>
  </si>
  <si>
    <t>a_prop</t>
  </si>
  <si>
    <t>b_prop</t>
  </si>
  <si>
    <t>b_bal</t>
  </si>
  <si>
    <t>Alt prop</t>
  </si>
  <si>
    <t>V max</t>
  </si>
  <si>
    <t>LibreOffice Calc 3.4 ou +</t>
  </si>
  <si>
    <t>alt_culmi</t>
  </si>
  <si>
    <t>x_triomphe</t>
  </si>
  <si>
    <t>z_triomphe</t>
  </si>
  <si>
    <t>Arc de triomphe</t>
  </si>
  <si>
    <t>z_Eiffel</t>
  </si>
  <si>
    <t>x_Eiffel</t>
  </si>
  <si>
    <t>Tour Eiffel</t>
  </si>
  <si>
    <t>H2O 1.5L 300g 6bar</t>
  </si>
  <si>
    <t>H2O 1.5L 450g 6bar</t>
  </si>
  <si>
    <t>H2O 1.5L 600g 6bar</t>
  </si>
  <si>
    <t>H2O 1.5L 750g 6bar</t>
  </si>
  <si>
    <t>FUSEX</t>
  </si>
  <si>
    <t>MINIF PRO29-1G</t>
  </si>
  <si>
    <t>MINIF PRO24-3G</t>
  </si>
  <si>
    <t>MINIF PRO29-2G</t>
  </si>
  <si>
    <t>MINIF PRO24-1G</t>
  </si>
  <si>
    <t>Pro98-2G WT</t>
  </si>
  <si>
    <t>Pro98-3G WT</t>
  </si>
  <si>
    <t>p24-1G 24E22</t>
  </si>
  <si>
    <t>p24-1G 26E31</t>
  </si>
  <si>
    <t>p24-3G 60F50</t>
  </si>
  <si>
    <t>p24-3G 68F79</t>
  </si>
  <si>
    <t>p24-3G 68F240</t>
  </si>
  <si>
    <t>p24-3G 73F30</t>
  </si>
  <si>
    <t>p24-3G 74F85</t>
  </si>
  <si>
    <t>p24-3G 75F51</t>
  </si>
  <si>
    <t>StabTraj V3.1</t>
  </si>
  <si>
    <t>StabTraj V3.2</t>
  </si>
  <si>
    <t>µ-propu C6-3 x2</t>
  </si>
  <si>
    <t>µ-propu C6-3 x3</t>
  </si>
  <si>
    <t>Propu : +RC &amp; +Tintin 2013 : 3 p24-1G, p24-3G 75F51 &amp; 60F50, Pro98-2G &amp; 3G WT</t>
  </si>
  <si>
    <t>Propu : +multi-µ-fu, -Wapiti, warning Cariacou, "Rufina"</t>
  </si>
  <si>
    <t>Donneés au format des fiches de lancement Fusex :</t>
  </si>
  <si>
    <t>Projet</t>
  </si>
  <si>
    <t>Chef de projet</t>
  </si>
  <si>
    <t>Date</t>
  </si>
  <si>
    <t>Moteur</t>
  </si>
  <si>
    <t>Virole</t>
  </si>
  <si>
    <t>MECANIQUE</t>
  </si>
  <si>
    <t xml:space="preserve">l = </t>
  </si>
  <si>
    <t xml:space="preserve">D = </t>
  </si>
  <si>
    <t>Dj =</t>
  </si>
  <si>
    <t xml:space="preserve">Dr = </t>
  </si>
  <si>
    <t xml:space="preserve">m = </t>
  </si>
  <si>
    <t>Epaisseur :</t>
  </si>
  <si>
    <t>Nb Aileron</t>
  </si>
  <si>
    <t>Type ogive</t>
  </si>
  <si>
    <t>ogivale</t>
  </si>
  <si>
    <t>parabolique</t>
  </si>
  <si>
    <t>X_plaque de poussée</t>
  </si>
  <si>
    <t>Masse fusée</t>
  </si>
  <si>
    <t>X_CdG</t>
  </si>
  <si>
    <t>Propu plein</t>
  </si>
  <si>
    <t>Sans propu</t>
  </si>
  <si>
    <t>Masse avec propu vide</t>
  </si>
  <si>
    <t>Simulation de vol</t>
  </si>
  <si>
    <t>Tenue mécanique</t>
  </si>
  <si>
    <t>masse d'un aileron</t>
  </si>
  <si>
    <t>superficie d'un aileron</t>
  </si>
  <si>
    <t>fleche acceptable(mm)</t>
  </si>
  <si>
    <t>compression</t>
  </si>
  <si>
    <t>Resistance longitudinale d'un aileron</t>
  </si>
  <si>
    <t>Resistance transversale d'un aileron</t>
  </si>
  <si>
    <t>Récupération</t>
  </si>
  <si>
    <t>Ralentisseur</t>
  </si>
  <si>
    <t>nombre de suspentes</t>
  </si>
  <si>
    <t>surface parachute</t>
  </si>
  <si>
    <t>force à tester totale</t>
  </si>
  <si>
    <t>force sur suspente</t>
  </si>
  <si>
    <t>Séparation latérale</t>
  </si>
  <si>
    <t>masse au dessus case para</t>
  </si>
  <si>
    <t>Force de compression</t>
  </si>
  <si>
    <t>MINIF PRO24-6G</t>
  </si>
  <si>
    <t>MINIF PRO38-1G</t>
  </si>
  <si>
    <t>p29-2G 84G88</t>
  </si>
  <si>
    <t>p29-2G 93G80</t>
  </si>
  <si>
    <t>p29-2G 110G250</t>
  </si>
  <si>
    <t>p29-2G 116G126</t>
  </si>
  <si>
    <t>p38-1G 137G58</t>
  </si>
  <si>
    <t>p38-1G 128G185</t>
  </si>
  <si>
    <t>p29-1G 41F36</t>
  </si>
  <si>
    <t>p29-1G 51F36</t>
  </si>
  <si>
    <t>p29-1G 55F29</t>
  </si>
  <si>
    <t>p29-1G 56F120</t>
  </si>
  <si>
    <t>p29-1G 57F59</t>
  </si>
  <si>
    <t>MINIF PRO29-3G</t>
  </si>
  <si>
    <t>p29-3G 125G131</t>
  </si>
  <si>
    <t>p38-1G 141G78</t>
  </si>
  <si>
    <t>MINIF PRO24-2G</t>
  </si>
  <si>
    <t>p24-2G 50E51</t>
  </si>
  <si>
    <t>p24-1G 53E70</t>
  </si>
  <si>
    <t>p29-3G 159G125</t>
  </si>
  <si>
    <t>Dépotage</t>
  </si>
  <si>
    <t>Combustion</t>
  </si>
  <si>
    <t>Sylvain Besson</t>
  </si>
  <si>
    <t>Minif Test</t>
  </si>
  <si>
    <t>Rocketry Challenge</t>
  </si>
  <si>
    <t>,Minif Tests</t>
  </si>
  <si>
    <t>MiniR</t>
  </si>
  <si>
    <t>MiniRN</t>
  </si>
  <si>
    <t>MiniN</t>
  </si>
  <si>
    <t>H20</t>
  </si>
  <si>
    <t>micro</t>
  </si>
  <si>
    <t>minif N</t>
  </si>
  <si>
    <t>Verification moteur</t>
  </si>
  <si>
    <t>Minif RC</t>
  </si>
  <si>
    <t>N/A</t>
  </si>
  <si>
    <t>T_para =</t>
  </si>
  <si>
    <t>-9</t>
  </si>
  <si>
    <t>-7</t>
  </si>
  <si>
    <t>-5</t>
  </si>
  <si>
    <t>-3</t>
  </si>
  <si>
    <t>-0</t>
  </si>
  <si>
    <t>Délais dépotage</t>
  </si>
  <si>
    <t>Propu : +ProX, Stabilito : séparation minif/RC, Trajecto : dépotage +rampe RC 3m</t>
  </si>
  <si>
    <t>StabTraj V3.3a</t>
  </si>
  <si>
    <t>p24-1G 25E75 (Rufina)</t>
  </si>
  <si>
    <t>Modification des alertes, +Effort subit par les parachutes</t>
  </si>
  <si>
    <t>Pour prendre en compte plsu de moteurs, il faut changer les variables "menu_type" et "liste"propu" dans le gestionnaire de noms.</t>
  </si>
  <si>
    <t>StabTraj V3.3e</t>
  </si>
  <si>
    <t>Efforts</t>
  </si>
  <si>
    <t>Xcp0</t>
  </si>
  <si>
    <t>sans propu</t>
  </si>
  <si>
    <t>Mono-empennage</t>
  </si>
  <si>
    <t>Bi-empennage</t>
  </si>
  <si>
    <t>Portée balistique &lt; 200 m</t>
  </si>
  <si>
    <t>Indication dépotage lanceur</t>
  </si>
  <si>
    <t>~0 m</t>
  </si>
  <si>
    <t>Données au format des fiches de contrôles minif :</t>
  </si>
  <si>
    <t xml:space="preserve">n = </t>
  </si>
  <si>
    <t xml:space="preserve">E = </t>
  </si>
  <si>
    <t xml:space="preserve">p = </t>
  </si>
  <si>
    <t>1,5.D &lt; Ms &lt; 6.D</t>
  </si>
  <si>
    <t xml:space="preserve">ailrons haut </t>
  </si>
  <si>
    <t>nombre</t>
  </si>
  <si>
    <t xml:space="preserve">ep = </t>
  </si>
  <si>
    <t>Fusée</t>
  </si>
  <si>
    <t>D</t>
  </si>
  <si>
    <t>L ogive</t>
  </si>
  <si>
    <t>L tot</t>
  </si>
  <si>
    <t>X prop</t>
  </si>
  <si>
    <t>Ailerons</t>
  </si>
  <si>
    <t>n</t>
  </si>
  <si>
    <t>p</t>
  </si>
  <si>
    <t>E</t>
  </si>
  <si>
    <t>X ail</t>
  </si>
  <si>
    <t>Bi empennage</t>
  </si>
  <si>
    <t>L</t>
  </si>
  <si>
    <t>D 1</t>
  </si>
  <si>
    <t>D 2</t>
  </si>
  <si>
    <t>X</t>
  </si>
  <si>
    <t>X cg (sans)</t>
  </si>
  <si>
    <t>(mm)</t>
  </si>
  <si>
    <t>Masse sans propu (kg)</t>
  </si>
  <si>
    <t>Couleur de la fusée</t>
  </si>
  <si>
    <t>Type d'éjection du para.</t>
  </si>
  <si>
    <t>Couleur du ralentisseur</t>
  </si>
  <si>
    <t>Surface ralentisseur (m²)</t>
  </si>
  <si>
    <t>Masse sans prop. (kg)</t>
  </si>
  <si>
    <t>Diamètre max (mm)</t>
  </si>
  <si>
    <t>Longeur de la rampe (m)</t>
  </si>
  <si>
    <t>Propulseur</t>
  </si>
  <si>
    <t>module rocket(){</t>
  </si>
  <si>
    <t>}</t>
  </si>
  <si>
    <t>//--------------------------------coiffe</t>
  </si>
  <si>
    <t>if (coiffe_type   == "conique"){</t>
  </si>
  <si>
    <t>//--------------------------------corps</t>
  </si>
  <si>
    <t>if (plusieur_diametres == false){</t>
  </si>
  <si>
    <t>} else {</t>
  </si>
  <si>
    <t>//--------------------------------ailerons</t>
  </si>
  <si>
    <t>aileron(coiffe_diametre, aileron_m_emplature,</t>
  </si>
  <si>
    <t xml:space="preserve"> aileron_position_bas);</t>
  </si>
  <si>
    <t>if (bi_empennage == true){</t>
  </si>
  <si>
    <t xml:space="preserve"> aileron_sup_nombre,</t>
  </si>
  <si>
    <t>rocket();</t>
  </si>
  <si>
    <t xml:space="preserve">	module aileron(diam, m, n, p, e, ep, nb, pos, masque = true){</t>
  </si>
  <si>
    <t xml:space="preserve"> 		depha =   masque ? 0 : 45 ;</t>
  </si>
  <si>
    <t xml:space="preserve">		for (angle = [0 : 360/nb : 360] ){</t>
  </si>
  <si>
    <t xml:space="preserve">			translate ([-diam*sin(angle+depha), diam*cos(angle+depha), pos-m]) {</t>
  </si>
  <si>
    <t xml:space="preserve">				rotate( [0, 0, angle+depha] ){</t>
  </si>
  <si>
    <t xml:space="preserve">	</t>
  </si>
  <si>
    <t xml:space="preserve">					polyhedron</t>
  </si>
  <si>
    <t xml:space="preserve">						(points = [</t>
  </si>
  <si>
    <t xml:space="preserve">							[+ep, 0, 0], [+ep, 0, m], [+ep, e, p+n],  [+ep, e, p],</t>
  </si>
  <si>
    <t xml:space="preserve">							[-ep, 0, 0], [-ep, 0, m], [-ep, e, p+n],  [-ep, e, p]</t>
  </si>
  <si>
    <t xml:space="preserve">							],</t>
  </si>
  <si>
    <t xml:space="preserve">						triangles = [</t>
  </si>
  <si>
    <t xml:space="preserve">							[0, 2, 1], [0, 2, 3], //carre +</t>
  </si>
  <si>
    <t xml:space="preserve">							[4, 6, 5], [4, 6, 7], //carre -</t>
  </si>
  <si>
    <t xml:space="preserve">							[0, 5, 1], [0, 5, 4],</t>
  </si>
  <si>
    <t xml:space="preserve">							[1, 6, 2], [1, 6, 5],</t>
  </si>
  <si>
    <t xml:space="preserve">							[2, 7, 3], [2, 7, 6],</t>
  </si>
  <si>
    <t xml:space="preserve">							[0, 7, 3], [0, 7, 4]</t>
  </si>
  <si>
    <t xml:space="preserve">							]</t>
  </si>
  <si>
    <t xml:space="preserve">						);</t>
  </si>
  <si>
    <t xml:space="preserve">				}</t>
  </si>
  <si>
    <t xml:space="preserve">			}</t>
  </si>
  <si>
    <t xml:space="preserve">		}</t>
  </si>
  <si>
    <t xml:space="preserve">	}	</t>
  </si>
  <si>
    <t xml:space="preserve">	module coiffe(diam, hauteur, resolution = 20.0){</t>
  </si>
  <si>
    <t xml:space="preserve">		pas = hauteur/resolution;</t>
  </si>
  <si>
    <t xml:space="preserve">		for (x = [0: pas : hauteur] ){</t>
  </si>
  <si>
    <t xml:space="preserve">			translate( [0, 0, x+pas] ){</t>
  </si>
  <si>
    <t xml:space="preserve">				cylinder(pas, pow(x, 1.0/2.0), pow(x+pas, 1.0/2.0), false);</t>
  </si>
  <si>
    <t xml:space="preserve">	}</t>
  </si>
  <si>
    <t xml:space="preserve">	cylinder(coiffe_hauteur, 0, coiffe_diametre, false);</t>
  </si>
  <si>
    <t xml:space="preserve">	translate ([0, 0, coiffe_hauteur]) {</t>
  </si>
  <si>
    <t xml:space="preserve">		cylinder(longeur_total-coiffe_hauteur, coiffe_diametre, coiffe_diametre, false);</t>
  </si>
  <si>
    <t xml:space="preserve">	//Premier cylindre</t>
  </si>
  <si>
    <t xml:space="preserve">		cylinder(diam_A_X_implantation-coiffe_hauteur, coiffe_diametre, coiffe_diametre, false);</t>
  </si>
  <si>
    <t xml:space="preserve">	//Premier chanvrin</t>
  </si>
  <si>
    <t xml:space="preserve">	translate ([0, 0, diam_A_X_implantation]) {</t>
  </si>
  <si>
    <t xml:space="preserve">		cylinder(diam_A_L_longeur, diam_A_D1_diametre, diam_A_D2_diametre, false);</t>
  </si>
  <si>
    <t xml:space="preserve">		</t>
  </si>
  <si>
    <t xml:space="preserve">	//Second cylindre</t>
  </si>
  <si>
    <t xml:space="preserve">	translate ([0, 0, diam_A_X_implantation+diam_A_L_longeur]) {</t>
  </si>
  <si>
    <t xml:space="preserve">		cylinder(diam_B_X_implantation-(diam_A_X_implantation+diam_A_L_longeur), diam_A_D2_diametre, diam_B_D1_diametre, false);</t>
  </si>
  <si>
    <t xml:space="preserve">	//Second chanvrin</t>
  </si>
  <si>
    <t xml:space="preserve">	translate ([0, 0, diam_B_X_implantation]) {</t>
  </si>
  <si>
    <t xml:space="preserve">		cylinder(diam_B_L_longeur, diam_B_D1_diametre, diam_B_D2_diametre, false);</t>
  </si>
  <si>
    <t xml:space="preserve">	//Troisieme cylindre</t>
  </si>
  <si>
    <t xml:space="preserve">	translate ([0, 0, diam_B_X_implantation + diam_B_L_longeur]) {</t>
  </si>
  <si>
    <t xml:space="preserve">		cylinder(longeur_total-(diam_B_X_implantation + diam_B_L_longeur), diam_B_D2_diametre, diam_B_D2_diametre, false);</t>
  </si>
  <si>
    <t xml:space="preserve">	 aileron_n_saumon, </t>
  </si>
  <si>
    <t xml:space="preserve">	 aileron_p_fleche,</t>
  </si>
  <si>
    <t xml:space="preserve">	 aileron_e_envergure,</t>
  </si>
  <si>
    <t xml:space="preserve">	 aileron_epaisseur,</t>
  </si>
  <si>
    <t xml:space="preserve">	 aileron_nombre,</t>
  </si>
  <si>
    <t xml:space="preserve">	aileron(coiffe_diametre, aileron_sup_m_emplature,</t>
  </si>
  <si>
    <t xml:space="preserve">	 aileron_sup_n_saumon,</t>
  </si>
  <si>
    <t xml:space="preserve">	 aileron_sup_p_fleche,</t>
  </si>
  <si>
    <t xml:space="preserve">	 aileron_sup_e_envergure,</t>
  </si>
  <si>
    <t xml:space="preserve">	 aileron_sup_epaisseur,</t>
  </si>
  <si>
    <t xml:space="preserve">	 aileron_sup_position_bas,</t>
  </si>
  <si>
    <t xml:space="preserve">	 aileron_sup_masque);</t>
  </si>
  <si>
    <t>p24-6G 140G145 PK</t>
  </si>
  <si>
    <t>p24-6G 139G107 DT</t>
  </si>
  <si>
    <t>p24-6G 142G117 WT</t>
  </si>
  <si>
    <t>Klima D9-7 x2</t>
  </si>
  <si>
    <t>Klima D9-7 x3</t>
  </si>
  <si>
    <t>Klima D9-7</t>
  </si>
  <si>
    <t>autre</t>
  </si>
  <si>
    <t>Pandora</t>
  </si>
  <si>
    <t>StabTraj V3.4</t>
  </si>
  <si>
    <t>Propu : +Pandora</t>
  </si>
  <si>
    <t>v3.4</t>
  </si>
  <si>
    <t>Fusée expérimentale.</t>
  </si>
  <si>
    <t>Conique (droite)</t>
  </si>
  <si>
    <t>Plusieurs diamètres.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</si>
</sst>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164" formatCode="General&quot; kg&quot;"/>
    <numFmt numFmtId="165" formatCode="0.0"/>
    <numFmt numFmtId="166" formatCode="0.000000&quot; m²&quot;"/>
    <numFmt numFmtId="167" formatCode="General&quot; m&quot;"/>
    <numFmt numFmtId="168" formatCode="General&quot; °&quot;"/>
    <numFmt numFmtId="169" formatCode="0.000"/>
    <numFmt numFmtId="170" formatCode="General&quot; s&quot;"/>
    <numFmt numFmtId="171" formatCode="General&quot; m²&quot;"/>
    <numFmt numFmtId="172" formatCode="0&quot; m/s&quot;"/>
    <numFmt numFmtId="173" formatCode="0&quot; s&quot;"/>
    <numFmt numFmtId="174" formatCode="General&quot; m/s&quot;"/>
    <numFmt numFmtId="175" formatCode="0&quot; m&quot;"/>
    <numFmt numFmtId="176" formatCode="General\ &quot;kg&quot;"/>
    <numFmt numFmtId="177" formatCode="General\ &quot;mm&quot;"/>
    <numFmt numFmtId="178" formatCode="0&quot; mm&quot;"/>
    <numFmt numFmtId="179" formatCode="General\ &quot;D&quot;"/>
    <numFmt numFmtId="180" formatCode="0.00&quot; D&quot;"/>
    <numFmt numFmtId="181" formatCode="0&quot;% L&quot;"/>
    <numFmt numFmtId="182" formatCode="General\°"/>
    <numFmt numFmtId="183" formatCode="0.#"/>
    <numFmt numFmtId="184" formatCode="0.0&quot; N.s&quot;"/>
    <numFmt numFmtId="185" formatCode="\±\ 0&quot; m&quot;"/>
    <numFmt numFmtId="186" formatCode="0.0&quot; s&quot;"/>
    <numFmt numFmtId="187" formatCode="0.0&quot; m/s&quot;"/>
    <numFmt numFmtId="188" formatCode="0&quot; m/s²&quot;"/>
    <numFmt numFmtId="189" formatCode="0.00&quot; m²&quot;"/>
    <numFmt numFmtId="190" formatCode="General\ &quot;g&quot;"/>
    <numFmt numFmtId="191" formatCode="#,##0.0\ [$ N]"/>
    <numFmt numFmtId="192" formatCode="#,##0.000\ [$KG]"/>
    <numFmt numFmtId="193" formatCode="0.0&quot; mm&quot;"/>
    <numFmt numFmtId="194" formatCode="General&quot; kg ±100%&quot;"/>
    <numFmt numFmtId="195" formatCode="0&quot; mm ±50%&quot;"/>
    <numFmt numFmtId="196" formatCode="General\ &quot;m/s²&quot;"/>
    <numFmt numFmtId="197" formatCode="&quot;Ø = &quot;0&quot; mm&quot;"/>
    <numFmt numFmtId="198" formatCode="#,##0\ [$ mm²]"/>
    <numFmt numFmtId="199" formatCode="#,#00\ [$ mm]"/>
    <numFmt numFmtId="200" formatCode="#,##0\ [$mm]"/>
    <numFmt numFmtId="201" formatCode="#,##0.00000\ [$ m²]"/>
    <numFmt numFmtId="202" formatCode="#,##0.0\ [$ kg]"/>
    <numFmt numFmtId="203" formatCode="0.00&quot; s&quot;"/>
    <numFmt numFmtId="204" formatCode="0.0&quot; N&quot;"/>
    <numFmt numFmtId="205" formatCode="0&quot; J&quot;"/>
    <numFmt numFmtId="206" formatCode="0&quot; G&quot;"/>
  </numFmts>
  <fonts count="5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b/>
      <sz val="12"/>
      <name val="Times New Roman"/>
      <family val="1"/>
    </font>
    <font>
      <b/>
      <sz val="9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8"/>
      <name val="Arial"/>
      <family val="2"/>
    </font>
    <font>
      <b/>
      <sz val="10"/>
      <color indexed="58"/>
      <name val="Arial"/>
      <family val="2"/>
    </font>
    <font>
      <b/>
      <sz val="10"/>
      <color indexed="17"/>
      <name val="Arial"/>
      <family val="2"/>
    </font>
    <font>
      <b/>
      <sz val="10"/>
      <color indexed="23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sz val="8"/>
      <color indexed="8"/>
      <name val="Tahoma"/>
      <family val="2"/>
    </font>
    <font>
      <i/>
      <sz val="8"/>
      <color indexed="8"/>
      <name val="Tahoma"/>
      <family val="2"/>
    </font>
    <font>
      <b/>
      <sz val="8"/>
      <color indexed="8"/>
      <name val="Tahoma"/>
      <family val="2"/>
    </font>
    <font>
      <b/>
      <u/>
      <sz val="8"/>
      <color indexed="8"/>
      <name val="Tahoma"/>
      <family val="2"/>
    </font>
    <font>
      <b/>
      <sz val="8"/>
      <color indexed="16"/>
      <name val="Tahoma"/>
      <family val="2"/>
    </font>
    <font>
      <strike/>
      <sz val="10"/>
      <name val="Arial"/>
      <family val="2"/>
    </font>
    <font>
      <b/>
      <i/>
      <sz val="8"/>
      <color indexed="8"/>
      <name val="Tahoma"/>
      <family val="2"/>
    </font>
    <font>
      <b/>
      <sz val="10"/>
      <color indexed="23"/>
      <name val="Arial"/>
      <family val="2"/>
    </font>
    <font>
      <b/>
      <sz val="6"/>
      <name val="Arial"/>
      <family val="2"/>
    </font>
    <font>
      <sz val="8"/>
      <color indexed="23"/>
      <name val="Arial"/>
      <family val="2"/>
    </font>
    <font>
      <b/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10"/>
      <color indexed="53"/>
      <name val="Arial"/>
      <family val="2"/>
    </font>
    <font>
      <b/>
      <u/>
      <sz val="12"/>
      <name val="Arial"/>
      <family val="2"/>
    </font>
    <font>
      <b/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808080"/>
      <name val="Arial"/>
      <family val="2"/>
    </font>
    <font>
      <sz val="10"/>
      <color rgb="FF808080"/>
      <name val="Arial"/>
      <family val="2"/>
    </font>
    <font>
      <sz val="8"/>
      <color rgb="FF808080"/>
      <name val="Arial"/>
      <family val="2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i/>
      <sz val="8"/>
      <color rgb="FF000000"/>
      <name val="Tahoma"/>
      <family val="2"/>
    </font>
    <font>
      <sz val="8"/>
      <color rgb="FFFF0000"/>
      <name val="Tahoma"/>
      <family val="2"/>
    </font>
    <font>
      <i/>
      <sz val="8"/>
      <color rgb="FFFF0000"/>
      <name val="Tahoma"/>
      <family val="2"/>
    </font>
    <font>
      <b/>
      <sz val="8"/>
      <color rgb="FF800000"/>
      <name val="Tahoma"/>
      <family val="2"/>
    </font>
    <font>
      <i/>
      <sz val="8"/>
      <color rgb="FF800000"/>
      <name val="Tahoma"/>
      <family val="2"/>
    </font>
    <font>
      <sz val="8"/>
      <color rgb="FF0000FF"/>
      <name val="Tahoma"/>
      <family val="2"/>
    </font>
    <font>
      <i/>
      <sz val="8"/>
      <color rgb="FF0000FF"/>
      <name val="Tahoma"/>
      <family val="2"/>
    </font>
    <font>
      <b/>
      <u/>
      <sz val="8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27"/>
      </patternFill>
    </fill>
    <fill>
      <patternFill patternType="solid">
        <fgColor indexed="44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27"/>
      </patternFill>
    </fill>
    <fill>
      <patternFill patternType="solid">
        <fgColor indexed="47"/>
        <bgColor indexed="4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44"/>
      </patternFill>
    </fill>
    <fill>
      <patternFill patternType="solid">
        <fgColor indexed="26"/>
        <bgColor indexed="41"/>
      </patternFill>
    </fill>
    <fill>
      <patternFill patternType="solid">
        <fgColor indexed="42"/>
        <bgColor indexed="41"/>
      </patternFill>
    </fill>
    <fill>
      <patternFill patternType="solid">
        <fgColor indexed="43"/>
        <bgColor indexed="41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rgb="FFCCFFFF"/>
        <bgColor indexed="41"/>
      </patternFill>
    </fill>
    <fill>
      <patternFill patternType="solid">
        <fgColor rgb="FF99CCFF"/>
        <bgColor indexed="31"/>
      </patternFill>
    </fill>
    <fill>
      <patternFill patternType="solid">
        <fgColor rgb="FFCCFFFF"/>
        <bgColor indexed="42"/>
      </patternFill>
    </fill>
    <fill>
      <patternFill patternType="solid">
        <fgColor rgb="FFCCFFCC"/>
        <bgColor indexed="42"/>
      </patternFill>
    </fill>
    <fill>
      <patternFill patternType="solid">
        <fgColor rgb="FFCCFFCC"/>
        <bgColor indexed="41"/>
      </patternFill>
    </fill>
    <fill>
      <patternFill patternType="solid">
        <fgColor rgb="FFFFCC99"/>
        <bgColor indexed="31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42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42"/>
      </patternFill>
    </fill>
  </fills>
  <borders count="103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ck">
        <color indexed="11"/>
      </bottom>
      <diagonal/>
    </border>
    <border>
      <left style="thick">
        <color indexed="11"/>
      </left>
      <right style="thick">
        <color indexed="57"/>
      </right>
      <top style="thick">
        <color indexed="57"/>
      </top>
      <bottom style="thick">
        <color indexed="57"/>
      </bottom>
      <diagonal/>
    </border>
    <border>
      <left style="thick">
        <color indexed="57"/>
      </left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20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ck">
        <color indexed="18"/>
      </left>
      <right/>
      <top style="thick">
        <color indexed="18"/>
      </top>
      <bottom style="thick">
        <color indexed="18"/>
      </bottom>
      <diagonal/>
    </border>
    <border>
      <left/>
      <right style="thick">
        <color indexed="18"/>
      </right>
      <top style="thick">
        <color indexed="18"/>
      </top>
      <bottom style="thick">
        <color indexed="18"/>
      </bottom>
      <diagonal/>
    </border>
    <border>
      <left style="thick">
        <color indexed="14"/>
      </left>
      <right style="thin">
        <color indexed="64"/>
      </right>
      <top style="thick">
        <color indexed="14"/>
      </top>
      <bottom style="thick">
        <color indexed="14"/>
      </bottom>
      <diagonal/>
    </border>
    <border>
      <left style="thin">
        <color indexed="64"/>
      </left>
      <right style="thick">
        <color indexed="14"/>
      </right>
      <top style="thick">
        <color indexed="14"/>
      </top>
      <bottom style="thick">
        <color indexed="1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23"/>
      </top>
      <bottom style="thin">
        <color indexed="8"/>
      </bottom>
      <diagonal/>
    </border>
    <border>
      <left/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23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" fillId="0" borderId="0"/>
  </cellStyleXfs>
  <cellXfs count="67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9" fillId="0" borderId="0" xfId="0" applyFont="1"/>
    <xf numFmtId="0" fontId="10" fillId="0" borderId="0" xfId="1" applyNumberFormat="1" applyFill="1" applyBorder="1" applyAlignment="1" applyProtection="1"/>
    <xf numFmtId="14" fontId="0" fillId="0" borderId="0" xfId="0" applyNumberFormat="1" applyAlignment="1">
      <alignment horizontal="left"/>
    </xf>
    <xf numFmtId="171" fontId="2" fillId="3" borderId="2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>
      <alignment vertical="center"/>
    </xf>
    <xf numFmtId="0" fontId="2" fillId="0" borderId="3" xfId="2" applyFont="1" applyBorder="1"/>
    <xf numFmtId="0" fontId="2" fillId="0" borderId="4" xfId="2" applyFont="1" applyBorder="1"/>
    <xf numFmtId="0" fontId="2" fillId="0" borderId="4" xfId="2" applyFont="1" applyBorder="1" applyAlignment="1">
      <alignment horizontal="center"/>
    </xf>
    <xf numFmtId="0" fontId="15" fillId="0" borderId="4" xfId="2" applyFont="1" applyBorder="1" applyProtection="1">
      <protection hidden="1"/>
    </xf>
    <xf numFmtId="0" fontId="1" fillId="0" borderId="5" xfId="2" applyBorder="1"/>
    <xf numFmtId="0" fontId="2" fillId="0" borderId="0" xfId="2" applyFont="1"/>
    <xf numFmtId="0" fontId="2" fillId="0" borderId="6" xfId="2" applyFont="1" applyBorder="1"/>
    <xf numFmtId="0" fontId="15" fillId="0" borderId="0" xfId="2" applyFont="1" applyProtection="1">
      <protection hidden="1"/>
    </xf>
    <xf numFmtId="0" fontId="1" fillId="0" borderId="7" xfId="2" applyBorder="1"/>
    <xf numFmtId="0" fontId="4" fillId="0" borderId="0" xfId="2" applyFont="1"/>
    <xf numFmtId="0" fontId="2" fillId="0" borderId="7" xfId="2" applyFont="1" applyBorder="1"/>
    <xf numFmtId="0" fontId="2" fillId="0" borderId="0" xfId="2" applyFont="1" applyAlignment="1" applyProtection="1">
      <alignment horizontal="center"/>
      <protection hidden="1"/>
    </xf>
    <xf numFmtId="0" fontId="2" fillId="0" borderId="0" xfId="2" applyFont="1" applyAlignment="1">
      <alignment horizontal="center"/>
    </xf>
    <xf numFmtId="0" fontId="16" fillId="0" borderId="0" xfId="2" applyFont="1"/>
    <xf numFmtId="0" fontId="2" fillId="0" borderId="0" xfId="2" applyFont="1" applyProtection="1">
      <protection hidden="1"/>
    </xf>
    <xf numFmtId="0" fontId="15" fillId="4" borderId="8" xfId="2" applyFont="1" applyFill="1" applyBorder="1" applyAlignment="1" applyProtection="1">
      <alignment horizontal="center"/>
      <protection locked="0"/>
    </xf>
    <xf numFmtId="177" fontId="2" fillId="4" borderId="2" xfId="2" applyNumberFormat="1" applyFont="1" applyFill="1" applyBorder="1" applyAlignment="1" applyProtection="1">
      <alignment horizontal="center"/>
      <protection locked="0"/>
    </xf>
    <xf numFmtId="0" fontId="2" fillId="4" borderId="2" xfId="2" applyFont="1" applyFill="1" applyBorder="1" applyAlignment="1" applyProtection="1">
      <alignment horizontal="center"/>
      <protection locked="0"/>
    </xf>
    <xf numFmtId="0" fontId="16" fillId="0" borderId="0" xfId="2" applyFont="1" applyProtection="1">
      <protection hidden="1"/>
    </xf>
    <xf numFmtId="0" fontId="15" fillId="0" borderId="0" xfId="2" applyFont="1"/>
    <xf numFmtId="14" fontId="15" fillId="0" borderId="0" xfId="2" applyNumberFormat="1" applyFont="1" applyAlignment="1" applyProtection="1">
      <alignment horizontal="center"/>
      <protection hidden="1"/>
    </xf>
    <xf numFmtId="0" fontId="2" fillId="0" borderId="9" xfId="2" applyFont="1" applyBorder="1"/>
    <xf numFmtId="0" fontId="2" fillId="0" borderId="10" xfId="2" applyFont="1" applyBorder="1" applyAlignment="1" applyProtection="1">
      <alignment horizontal="center"/>
      <protection locked="0"/>
    </xf>
    <xf numFmtId="0" fontId="2" fillId="0" borderId="10" xfId="2" applyFont="1" applyBorder="1" applyProtection="1">
      <protection locked="0"/>
    </xf>
    <xf numFmtId="0" fontId="2" fillId="0" borderId="0" xfId="2" applyFont="1" applyProtection="1">
      <protection locked="0"/>
    </xf>
    <xf numFmtId="0" fontId="2" fillId="0" borderId="0" xfId="2" applyFont="1" applyAlignment="1" applyProtection="1">
      <alignment horizontal="center"/>
      <protection locked="0"/>
    </xf>
    <xf numFmtId="0" fontId="15" fillId="0" borderId="0" xfId="2" applyFont="1" applyAlignment="1" applyProtection="1">
      <alignment horizontal="center"/>
      <protection hidden="1"/>
    </xf>
    <xf numFmtId="1" fontId="15" fillId="0" borderId="0" xfId="2" applyNumberFormat="1" applyFont="1" applyAlignment="1" applyProtection="1">
      <alignment horizontal="center"/>
      <protection hidden="1"/>
    </xf>
    <xf numFmtId="0" fontId="0" fillId="0" borderId="0" xfId="0" applyAlignment="1">
      <alignment horizontal="left"/>
    </xf>
    <xf numFmtId="0" fontId="15" fillId="0" borderId="0" xfId="0" applyFont="1"/>
    <xf numFmtId="0" fontId="23" fillId="0" borderId="0" xfId="0" applyFont="1"/>
    <xf numFmtId="14" fontId="0" fillId="0" borderId="0" xfId="0" applyNumberFormat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6" xfId="0" applyFont="1" applyBorder="1"/>
    <xf numFmtId="0" fontId="2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hidden="1"/>
    </xf>
    <xf numFmtId="169" fontId="0" fillId="0" borderId="0" xfId="0" applyNumberFormat="1" applyAlignment="1" applyProtection="1">
      <alignment vertical="center"/>
      <protection hidden="1"/>
    </xf>
    <xf numFmtId="164" fontId="0" fillId="3" borderId="11" xfId="0" applyNumberFormat="1" applyFill="1" applyBorder="1" applyAlignment="1">
      <alignment horizontal="center"/>
    </xf>
    <xf numFmtId="178" fontId="0" fillId="3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5" fillId="0" borderId="10" xfId="2" applyFont="1" applyBorder="1" applyProtection="1">
      <protection locked="0"/>
    </xf>
    <xf numFmtId="0" fontId="10" fillId="0" borderId="0" xfId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3" xfId="0" applyBorder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82" fontId="2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/>
    </xf>
    <xf numFmtId="0" fontId="0" fillId="0" borderId="0" xfId="2" applyFont="1" applyAlignment="1" applyProtection="1">
      <alignment horizontal="center"/>
      <protection hidden="1"/>
    </xf>
    <xf numFmtId="0" fontId="8" fillId="0" borderId="4" xfId="2" applyFont="1" applyBorder="1"/>
    <xf numFmtId="0" fontId="8" fillId="0" borderId="0" xfId="2" applyFont="1"/>
    <xf numFmtId="0" fontId="8" fillId="0" borderId="0" xfId="2" applyFont="1" applyProtection="1">
      <protection hidden="1"/>
    </xf>
    <xf numFmtId="0" fontId="8" fillId="0" borderId="10" xfId="2" applyFont="1" applyBorder="1" applyProtection="1">
      <protection locked="0"/>
    </xf>
    <xf numFmtId="0" fontId="8" fillId="0" borderId="0" xfId="2" applyFont="1" applyAlignment="1" applyProtection="1">
      <alignment horizontal="center"/>
      <protection hidden="1"/>
    </xf>
    <xf numFmtId="1" fontId="8" fillId="0" borderId="0" xfId="2" applyNumberFormat="1" applyFont="1" applyAlignment="1" applyProtection="1">
      <alignment horizontal="center"/>
      <protection hidden="1"/>
    </xf>
    <xf numFmtId="0" fontId="28" fillId="0" borderId="0" xfId="2" applyFont="1"/>
    <xf numFmtId="0" fontId="0" fillId="0" borderId="0" xfId="0" applyProtection="1">
      <protection locked="0"/>
    </xf>
    <xf numFmtId="165" fontId="2" fillId="5" borderId="14" xfId="2" applyNumberFormat="1" applyFont="1" applyFill="1" applyBorder="1" applyAlignment="1">
      <alignment horizontal="center"/>
    </xf>
    <xf numFmtId="180" fontId="2" fillId="5" borderId="2" xfId="2" applyNumberFormat="1" applyFont="1" applyFill="1" applyBorder="1" applyAlignment="1">
      <alignment horizontal="center"/>
    </xf>
    <xf numFmtId="180" fontId="2" fillId="5" borderId="14" xfId="2" applyNumberFormat="1" applyFont="1" applyFill="1" applyBorder="1" applyAlignment="1">
      <alignment horizontal="center"/>
    </xf>
    <xf numFmtId="165" fontId="2" fillId="5" borderId="2" xfId="2" applyNumberFormat="1" applyFont="1" applyFill="1" applyBorder="1" applyAlignment="1">
      <alignment horizontal="center"/>
    </xf>
    <xf numFmtId="181" fontId="25" fillId="5" borderId="2" xfId="2" applyNumberFormat="1" applyFont="1" applyFill="1" applyBorder="1" applyAlignment="1">
      <alignment horizontal="center"/>
    </xf>
    <xf numFmtId="181" fontId="25" fillId="5" borderId="14" xfId="2" applyNumberFormat="1" applyFont="1" applyFill="1" applyBorder="1" applyAlignment="1">
      <alignment horizontal="center"/>
    </xf>
    <xf numFmtId="0" fontId="2" fillId="5" borderId="2" xfId="2" applyFont="1" applyFill="1" applyBorder="1" applyAlignment="1" applyProtection="1">
      <alignment horizontal="center"/>
      <protection hidden="1"/>
    </xf>
    <xf numFmtId="0" fontId="25" fillId="5" borderId="2" xfId="2" applyFont="1" applyFill="1" applyBorder="1" applyAlignment="1" applyProtection="1">
      <alignment horizontal="center"/>
      <protection hidden="1"/>
    </xf>
    <xf numFmtId="0" fontId="29" fillId="5" borderId="2" xfId="2" applyFont="1" applyFill="1" applyBorder="1" applyAlignment="1" applyProtection="1">
      <alignment horizontal="center"/>
      <protection hidden="1"/>
    </xf>
    <xf numFmtId="0" fontId="2" fillId="6" borderId="2" xfId="2" applyFont="1" applyFill="1" applyBorder="1" applyAlignment="1">
      <alignment horizontal="center"/>
    </xf>
    <xf numFmtId="0" fontId="25" fillId="6" borderId="2" xfId="2" applyFont="1" applyFill="1" applyBorder="1" applyAlignment="1">
      <alignment horizontal="center"/>
    </xf>
    <xf numFmtId="0" fontId="30" fillId="0" borderId="0" xfId="2" applyFont="1"/>
    <xf numFmtId="0" fontId="30" fillId="6" borderId="2" xfId="2" applyFont="1" applyFill="1" applyBorder="1" applyAlignment="1" applyProtection="1">
      <alignment horizontal="center"/>
      <protection hidden="1"/>
    </xf>
    <xf numFmtId="176" fontId="30" fillId="5" borderId="2" xfId="2" applyNumberFormat="1" applyFont="1" applyFill="1" applyBorder="1" applyAlignment="1" applyProtection="1">
      <alignment horizontal="center"/>
      <protection hidden="1"/>
    </xf>
    <xf numFmtId="0" fontId="30" fillId="5" borderId="2" xfId="2" applyFont="1" applyFill="1" applyBorder="1" applyAlignment="1">
      <alignment horizontal="center"/>
    </xf>
    <xf numFmtId="177" fontId="30" fillId="5" borderId="2" xfId="2" applyNumberFormat="1" applyFont="1" applyFill="1" applyBorder="1" applyAlignment="1" applyProtection="1">
      <alignment horizontal="center"/>
      <protection hidden="1"/>
    </xf>
    <xf numFmtId="176" fontId="30" fillId="5" borderId="2" xfId="2" applyNumberFormat="1" applyFont="1" applyFill="1" applyBorder="1" applyAlignment="1">
      <alignment horizontal="center"/>
    </xf>
    <xf numFmtId="178" fontId="30" fillId="5" borderId="2" xfId="2" applyNumberFormat="1" applyFont="1" applyFill="1" applyBorder="1" applyAlignment="1" applyProtection="1">
      <alignment horizontal="center"/>
      <protection hidden="1"/>
    </xf>
    <xf numFmtId="0" fontId="30" fillId="0" borderId="0" xfId="2" applyFont="1" applyProtection="1">
      <protection hidden="1"/>
    </xf>
    <xf numFmtId="2" fontId="0" fillId="7" borderId="15" xfId="0" applyNumberFormat="1" applyFill="1" applyBorder="1" applyAlignment="1">
      <alignment horizontal="center" vertical="center"/>
    </xf>
    <xf numFmtId="165" fontId="0" fillId="7" borderId="15" xfId="0" applyNumberFormat="1" applyFill="1" applyBorder="1" applyAlignment="1">
      <alignment horizontal="center" vertical="center"/>
    </xf>
    <xf numFmtId="1" fontId="2" fillId="7" borderId="15" xfId="0" applyNumberFormat="1" applyFont="1" applyFill="1" applyBorder="1" applyAlignment="1">
      <alignment horizontal="center" vertical="center"/>
    </xf>
    <xf numFmtId="165" fontId="2" fillId="7" borderId="15" xfId="0" applyNumberFormat="1" applyFont="1" applyFill="1" applyBorder="1" applyAlignment="1">
      <alignment horizontal="center" vertical="center"/>
    </xf>
    <xf numFmtId="1" fontId="0" fillId="7" borderId="15" xfId="0" applyNumberFormat="1" applyFill="1" applyBorder="1" applyAlignment="1">
      <alignment horizontal="center" vertical="center"/>
    </xf>
    <xf numFmtId="1" fontId="15" fillId="7" borderId="15" xfId="0" applyNumberFormat="1" applyFont="1" applyFill="1" applyBorder="1" applyAlignment="1">
      <alignment horizontal="center" vertical="center"/>
    </xf>
    <xf numFmtId="165" fontId="15" fillId="7" borderId="15" xfId="0" applyNumberFormat="1" applyFont="1" applyFill="1" applyBorder="1" applyAlignment="1">
      <alignment horizontal="center" vertical="center"/>
    </xf>
    <xf numFmtId="165" fontId="0" fillId="7" borderId="16" xfId="0" applyNumberFormat="1" applyFill="1" applyBorder="1" applyAlignment="1">
      <alignment horizontal="center" vertical="center"/>
    </xf>
    <xf numFmtId="1" fontId="2" fillId="7" borderId="16" xfId="0" applyNumberFormat="1" applyFont="1" applyFill="1" applyBorder="1" applyAlignment="1">
      <alignment horizontal="center" vertical="center"/>
    </xf>
    <xf numFmtId="165" fontId="15" fillId="7" borderId="16" xfId="0" applyNumberFormat="1" applyFont="1" applyFill="1" applyBorder="1" applyAlignment="1">
      <alignment horizontal="center" vertical="center"/>
    </xf>
    <xf numFmtId="1" fontId="2" fillId="7" borderId="17" xfId="0" applyNumberFormat="1" applyFont="1" applyFill="1" applyBorder="1" applyAlignment="1">
      <alignment horizontal="center" vertical="center"/>
    </xf>
    <xf numFmtId="1" fontId="0" fillId="7" borderId="17" xfId="0" applyNumberForma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165" fontId="0" fillId="7" borderId="17" xfId="0" applyNumberFormat="1" applyFill="1" applyBorder="1" applyAlignment="1">
      <alignment horizontal="center" vertical="center"/>
    </xf>
    <xf numFmtId="1" fontId="15" fillId="7" borderId="16" xfId="0" applyNumberFormat="1" applyFont="1" applyFill="1" applyBorder="1" applyAlignment="1">
      <alignment horizontal="center" vertical="center"/>
    </xf>
    <xf numFmtId="1" fontId="15" fillId="7" borderId="17" xfId="0" applyNumberFormat="1" applyFont="1" applyFill="1" applyBorder="1" applyAlignment="1">
      <alignment horizontal="center" vertical="center"/>
    </xf>
    <xf numFmtId="165" fontId="2" fillId="7" borderId="17" xfId="0" applyNumberFormat="1" applyFont="1" applyFill="1" applyBorder="1" applyAlignment="1">
      <alignment horizontal="center" vertical="center"/>
    </xf>
    <xf numFmtId="173" fontId="2" fillId="7" borderId="2" xfId="0" applyNumberFormat="1" applyFont="1" applyFill="1" applyBorder="1" applyAlignment="1">
      <alignment horizontal="center" vertical="center"/>
    </xf>
    <xf numFmtId="0" fontId="2" fillId="8" borderId="18" xfId="0" applyFont="1" applyFill="1" applyBorder="1" applyAlignment="1" applyProtection="1">
      <alignment horizontal="center" vertical="center"/>
      <protection hidden="1"/>
    </xf>
    <xf numFmtId="0" fontId="2" fillId="9" borderId="15" xfId="0" applyFont="1" applyFill="1" applyBorder="1" applyAlignment="1" applyProtection="1">
      <alignment horizontal="center" vertical="center"/>
      <protection hidden="1"/>
    </xf>
    <xf numFmtId="0" fontId="5" fillId="9" borderId="15" xfId="0" applyFont="1" applyFill="1" applyBorder="1" applyAlignment="1" applyProtection="1">
      <alignment horizontal="center" vertical="center"/>
      <protection hidden="1"/>
    </xf>
    <xf numFmtId="0" fontId="0" fillId="9" borderId="15" xfId="0" applyFill="1" applyBorder="1" applyAlignment="1" applyProtection="1">
      <alignment horizontal="center" vertical="center"/>
      <protection hidden="1"/>
    </xf>
    <xf numFmtId="0" fontId="2" fillId="6" borderId="2" xfId="2" applyFont="1" applyFill="1" applyBorder="1" applyAlignment="1" applyProtection="1">
      <alignment horizontal="center"/>
      <protection hidden="1"/>
    </xf>
    <xf numFmtId="0" fontId="2" fillId="10" borderId="2" xfId="2" applyFont="1" applyFill="1" applyBorder="1" applyAlignment="1" applyProtection="1">
      <alignment horizontal="center" vertical="center"/>
      <protection hidden="1"/>
    </xf>
    <xf numFmtId="0" fontId="2" fillId="10" borderId="2" xfId="2" applyFont="1" applyFill="1" applyBorder="1" applyAlignment="1" applyProtection="1">
      <alignment horizontal="center"/>
      <protection hidden="1"/>
    </xf>
    <xf numFmtId="0" fontId="2" fillId="11" borderId="15" xfId="0" applyFont="1" applyFill="1" applyBorder="1" applyAlignment="1" applyProtection="1">
      <alignment horizontal="center" vertical="center"/>
      <protection hidden="1"/>
    </xf>
    <xf numFmtId="0" fontId="2" fillId="11" borderId="18" xfId="0" applyFont="1" applyFill="1" applyBorder="1" applyAlignment="1" applyProtection="1">
      <alignment horizontal="center" vertical="center"/>
      <protection hidden="1"/>
    </xf>
    <xf numFmtId="0" fontId="13" fillId="12" borderId="2" xfId="0" applyFont="1" applyFill="1" applyBorder="1" applyAlignment="1" applyProtection="1">
      <alignment horizontal="center"/>
      <protection hidden="1"/>
    </xf>
    <xf numFmtId="0" fontId="2" fillId="13" borderId="2" xfId="0" applyFont="1" applyFill="1" applyBorder="1" applyAlignment="1" applyProtection="1">
      <alignment horizontal="center" vertical="center"/>
      <protection locked="0"/>
    </xf>
    <xf numFmtId="174" fontId="2" fillId="13" borderId="2" xfId="0" applyNumberFormat="1" applyFont="1" applyFill="1" applyBorder="1" applyAlignment="1" applyProtection="1">
      <alignment horizontal="center" vertical="center"/>
      <protection locked="0"/>
    </xf>
    <xf numFmtId="178" fontId="14" fillId="14" borderId="2" xfId="2" applyNumberFormat="1" applyFont="1" applyFill="1" applyBorder="1" applyAlignment="1">
      <alignment horizontal="center"/>
    </xf>
    <xf numFmtId="1" fontId="27" fillId="14" borderId="2" xfId="2" applyNumberFormat="1" applyFont="1" applyFill="1" applyBorder="1" applyAlignment="1">
      <alignment horizontal="center"/>
    </xf>
    <xf numFmtId="0" fontId="2" fillId="10" borderId="2" xfId="2" applyFont="1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0" fillId="13" borderId="15" xfId="0" applyFill="1" applyBorder="1" applyAlignment="1" applyProtection="1">
      <alignment horizontal="center" vertical="center"/>
      <protection locked="0"/>
    </xf>
    <xf numFmtId="185" fontId="2" fillId="7" borderId="2" xfId="0" applyNumberFormat="1" applyFont="1" applyFill="1" applyBorder="1" applyAlignment="1">
      <alignment horizontal="center" vertical="center"/>
    </xf>
    <xf numFmtId="186" fontId="0" fillId="7" borderId="16" xfId="0" applyNumberFormat="1" applyFill="1" applyBorder="1" applyAlignment="1">
      <alignment horizontal="center" vertical="center"/>
    </xf>
    <xf numFmtId="186" fontId="2" fillId="7" borderId="15" xfId="0" applyNumberFormat="1" applyFont="1" applyFill="1" applyBorder="1" applyAlignment="1">
      <alignment horizontal="center" vertical="center"/>
    </xf>
    <xf numFmtId="175" fontId="15" fillId="7" borderId="16" xfId="0" applyNumberFormat="1" applyFont="1" applyFill="1" applyBorder="1" applyAlignment="1">
      <alignment horizontal="center" vertical="center"/>
    </xf>
    <xf numFmtId="175" fontId="15" fillId="7" borderId="15" xfId="0" applyNumberFormat="1" applyFont="1" applyFill="1" applyBorder="1" applyAlignment="1">
      <alignment horizontal="center" vertical="center"/>
    </xf>
    <xf numFmtId="175" fontId="2" fillId="7" borderId="16" xfId="0" applyNumberFormat="1" applyFont="1" applyFill="1" applyBorder="1" applyAlignment="1">
      <alignment horizontal="center" vertical="center"/>
    </xf>
    <xf numFmtId="175" fontId="2" fillId="7" borderId="15" xfId="0" applyNumberFormat="1" applyFont="1" applyFill="1" applyBorder="1" applyAlignment="1">
      <alignment horizontal="center" vertical="center"/>
    </xf>
    <xf numFmtId="172" fontId="2" fillId="7" borderId="15" xfId="0" applyNumberFormat="1" applyFont="1" applyFill="1" applyBorder="1" applyAlignment="1">
      <alignment horizontal="center" vertical="center"/>
    </xf>
    <xf numFmtId="172" fontId="2" fillId="7" borderId="16" xfId="0" applyNumberFormat="1" applyFont="1" applyFill="1" applyBorder="1" applyAlignment="1">
      <alignment horizontal="center" vertical="center"/>
    </xf>
    <xf numFmtId="172" fontId="15" fillId="7" borderId="15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2" fillId="11" borderId="24" xfId="0" applyFont="1" applyFill="1" applyBorder="1" applyAlignment="1" applyProtection="1">
      <alignment horizontal="center" vertical="center"/>
      <protection hidden="1"/>
    </xf>
    <xf numFmtId="178" fontId="2" fillId="3" borderId="25" xfId="0" applyNumberFormat="1" applyFont="1" applyFill="1" applyBorder="1" applyAlignment="1" applyProtection="1">
      <alignment horizontal="center" vertical="center"/>
      <protection locked="0"/>
    </xf>
    <xf numFmtId="178" fontId="2" fillId="3" borderId="26" xfId="0" applyNumberFormat="1" applyFont="1" applyFill="1" applyBorder="1" applyAlignment="1" applyProtection="1">
      <alignment horizontal="center" vertical="center"/>
      <protection locked="0"/>
    </xf>
    <xf numFmtId="0" fontId="2" fillId="8" borderId="24" xfId="0" applyFont="1" applyFill="1" applyBorder="1" applyAlignment="1" applyProtection="1">
      <alignment horizontal="center" vertical="center"/>
      <protection hidden="1"/>
    </xf>
    <xf numFmtId="0" fontId="2" fillId="9" borderId="27" xfId="0" applyFont="1" applyFill="1" applyBorder="1" applyAlignment="1" applyProtection="1">
      <alignment horizontal="center" vertical="center"/>
      <protection hidden="1"/>
    </xf>
    <xf numFmtId="0" fontId="0" fillId="9" borderId="27" xfId="0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>
      <alignment vertical="center"/>
    </xf>
    <xf numFmtId="14" fontId="0" fillId="0" borderId="23" xfId="0" applyNumberFormat="1" applyBorder="1" applyAlignment="1">
      <alignment horizontal="center" vertical="center"/>
    </xf>
    <xf numFmtId="189" fontId="2" fillId="7" borderId="25" xfId="0" applyNumberFormat="1" applyFont="1" applyFill="1" applyBorder="1" applyAlignment="1">
      <alignment horizontal="center" vertical="center"/>
    </xf>
    <xf numFmtId="0" fontId="31" fillId="6" borderId="2" xfId="2" applyFont="1" applyFill="1" applyBorder="1" applyAlignment="1" applyProtection="1">
      <alignment horizontal="center"/>
      <protection hidden="1"/>
    </xf>
    <xf numFmtId="178" fontId="31" fillId="5" borderId="2" xfId="2" applyNumberFormat="1" applyFont="1" applyFill="1" applyBorder="1" applyAlignment="1">
      <alignment horizontal="center"/>
    </xf>
    <xf numFmtId="177" fontId="2" fillId="4" borderId="25" xfId="2" applyNumberFormat="1" applyFont="1" applyFill="1" applyBorder="1" applyAlignment="1" applyProtection="1">
      <alignment horizontal="center"/>
      <protection locked="0"/>
    </xf>
    <xf numFmtId="0" fontId="2" fillId="10" borderId="28" xfId="2" applyFont="1" applyFill="1" applyBorder="1" applyAlignment="1" applyProtection="1">
      <alignment horizontal="center"/>
      <protection hidden="1"/>
    </xf>
    <xf numFmtId="0" fontId="2" fillId="10" borderId="29" xfId="2" applyFont="1" applyFill="1" applyBorder="1" applyAlignment="1" applyProtection="1">
      <alignment horizontal="center"/>
      <protection hidden="1"/>
    </xf>
    <xf numFmtId="0" fontId="33" fillId="10" borderId="30" xfId="2" applyFont="1" applyFill="1" applyBorder="1" applyAlignment="1" applyProtection="1">
      <alignment horizontal="center"/>
      <protection hidden="1"/>
    </xf>
    <xf numFmtId="0" fontId="0" fillId="0" borderId="10" xfId="0" applyBorder="1" applyAlignment="1">
      <alignment vertical="center"/>
    </xf>
    <xf numFmtId="0" fontId="15" fillId="0" borderId="10" xfId="2" applyFont="1" applyBorder="1"/>
    <xf numFmtId="0" fontId="15" fillId="0" borderId="31" xfId="2" applyFont="1" applyBorder="1" applyAlignment="1" applyProtection="1">
      <alignment horizontal="center"/>
      <protection hidden="1"/>
    </xf>
    <xf numFmtId="0" fontId="15" fillId="0" borderId="32" xfId="2" applyFont="1" applyBorder="1" applyAlignment="1">
      <alignment horizontal="center"/>
    </xf>
    <xf numFmtId="0" fontId="15" fillId="0" borderId="19" xfId="2" applyFont="1" applyBorder="1" applyAlignment="1" applyProtection="1">
      <alignment horizontal="center"/>
      <protection hidden="1"/>
    </xf>
    <xf numFmtId="0" fontId="15" fillId="0" borderId="20" xfId="2" applyFont="1" applyBorder="1" applyAlignment="1">
      <alignment horizontal="center"/>
    </xf>
    <xf numFmtId="0" fontId="15" fillId="0" borderId="21" xfId="2" applyFont="1" applyBorder="1" applyAlignment="1" applyProtection="1">
      <alignment horizontal="center"/>
      <protection hidden="1"/>
    </xf>
    <xf numFmtId="0" fontId="15" fillId="0" borderId="23" xfId="2" applyFont="1" applyBorder="1" applyAlignment="1">
      <alignment horizontal="center"/>
    </xf>
    <xf numFmtId="0" fontId="15" fillId="0" borderId="20" xfId="2" applyFont="1" applyBorder="1" applyAlignment="1" applyProtection="1">
      <alignment horizontal="center"/>
      <protection hidden="1"/>
    </xf>
    <xf numFmtId="0" fontId="15" fillId="0" borderId="23" xfId="2" applyFont="1" applyBorder="1" applyAlignment="1" applyProtection="1">
      <alignment horizontal="center"/>
      <protection hidden="1"/>
    </xf>
    <xf numFmtId="2" fontId="15" fillId="0" borderId="31" xfId="2" applyNumberFormat="1" applyFont="1" applyBorder="1" applyAlignment="1" applyProtection="1">
      <alignment horizontal="center"/>
      <protection hidden="1"/>
    </xf>
    <xf numFmtId="0" fontId="0" fillId="0" borderId="31" xfId="2" applyFont="1" applyBorder="1" applyAlignment="1" applyProtection="1">
      <alignment horizontal="center"/>
      <protection hidden="1"/>
    </xf>
    <xf numFmtId="0" fontId="0" fillId="0" borderId="33" xfId="2" applyFont="1" applyBorder="1" applyAlignment="1" applyProtection="1">
      <alignment horizontal="center"/>
      <protection hidden="1"/>
    </xf>
    <xf numFmtId="0" fontId="0" fillId="0" borderId="32" xfId="2" applyFont="1" applyBorder="1" applyAlignment="1" applyProtection="1">
      <alignment horizontal="center"/>
      <protection hidden="1"/>
    </xf>
    <xf numFmtId="0" fontId="0" fillId="0" borderId="19" xfId="2" applyFont="1" applyBorder="1" applyAlignment="1" applyProtection="1">
      <alignment horizontal="center"/>
      <protection hidden="1"/>
    </xf>
    <xf numFmtId="0" fontId="15" fillId="0" borderId="22" xfId="2" applyFont="1" applyBorder="1" applyAlignment="1" applyProtection="1">
      <alignment horizontal="center"/>
      <protection hidden="1"/>
    </xf>
    <xf numFmtId="1" fontId="15" fillId="0" borderId="33" xfId="2" applyNumberFormat="1" applyFont="1" applyBorder="1" applyAlignment="1" applyProtection="1">
      <alignment horizontal="center"/>
      <protection hidden="1"/>
    </xf>
    <xf numFmtId="1" fontId="8" fillId="0" borderId="32" xfId="2" applyNumberFormat="1" applyFont="1" applyBorder="1" applyAlignment="1" applyProtection="1">
      <alignment horizontal="center"/>
      <protection hidden="1"/>
    </xf>
    <xf numFmtId="1" fontId="8" fillId="0" borderId="20" xfId="2" applyNumberFormat="1" applyFont="1" applyBorder="1" applyAlignment="1" applyProtection="1">
      <alignment horizontal="center"/>
      <protection hidden="1"/>
    </xf>
    <xf numFmtId="1" fontId="15" fillId="0" borderId="22" xfId="2" applyNumberFormat="1" applyFont="1" applyBorder="1" applyAlignment="1" applyProtection="1">
      <alignment horizontal="center"/>
      <protection hidden="1"/>
    </xf>
    <xf numFmtId="1" fontId="8" fillId="0" borderId="23" xfId="2" applyNumberFormat="1" applyFont="1" applyBorder="1" applyAlignment="1" applyProtection="1">
      <alignment horizontal="center"/>
      <protection hidden="1"/>
    </xf>
    <xf numFmtId="0" fontId="15" fillId="0" borderId="33" xfId="2" applyFont="1" applyBorder="1" applyAlignment="1" applyProtection="1">
      <alignment horizontal="center"/>
      <protection hidden="1"/>
    </xf>
    <xf numFmtId="2" fontId="15" fillId="0" borderId="33" xfId="2" applyNumberFormat="1" applyFont="1" applyBorder="1" applyAlignment="1" applyProtection="1">
      <alignment horizontal="center"/>
      <protection hidden="1"/>
    </xf>
    <xf numFmtId="0" fontId="8" fillId="0" borderId="32" xfId="2" applyFont="1" applyBorder="1" applyAlignment="1" applyProtection="1">
      <alignment horizontal="center"/>
      <protection hidden="1"/>
    </xf>
    <xf numFmtId="0" fontId="8" fillId="0" borderId="20" xfId="2" applyFont="1" applyBorder="1" applyAlignment="1" applyProtection="1">
      <alignment horizontal="center"/>
      <protection hidden="1"/>
    </xf>
    <xf numFmtId="0" fontId="8" fillId="0" borderId="23" xfId="2" applyFont="1" applyBorder="1" applyAlignment="1" applyProtection="1">
      <alignment horizontal="center"/>
      <protection hidden="1"/>
    </xf>
    <xf numFmtId="1" fontId="15" fillId="0" borderId="32" xfId="2" applyNumberFormat="1" applyFont="1" applyBorder="1" applyAlignment="1" applyProtection="1">
      <alignment horizontal="center"/>
      <protection hidden="1"/>
    </xf>
    <xf numFmtId="1" fontId="15" fillId="0" borderId="20" xfId="2" applyNumberFormat="1" applyFont="1" applyBorder="1" applyAlignment="1" applyProtection="1">
      <alignment horizontal="center"/>
      <protection hidden="1"/>
    </xf>
    <xf numFmtId="1" fontId="15" fillId="0" borderId="23" xfId="2" applyNumberFormat="1" applyFont="1" applyBorder="1" applyAlignment="1" applyProtection="1">
      <alignment horizontal="center"/>
      <protection hidden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2" applyFont="1" applyBorder="1" applyAlignment="1" applyProtection="1">
      <alignment horizontal="center"/>
      <protection hidden="1"/>
    </xf>
    <xf numFmtId="165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4" fillId="15" borderId="8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right" vertical="center"/>
    </xf>
    <xf numFmtId="190" fontId="2" fillId="4" borderId="2" xfId="2" applyNumberFormat="1" applyFont="1" applyFill="1" applyBorder="1" applyAlignment="1" applyProtection="1">
      <alignment horizontal="center"/>
      <protection locked="0"/>
    </xf>
    <xf numFmtId="0" fontId="0" fillId="0" borderId="0" xfId="2" applyFont="1"/>
    <xf numFmtId="0" fontId="27" fillId="6" borderId="2" xfId="2" applyFont="1" applyFill="1" applyBorder="1" applyAlignment="1" applyProtection="1">
      <alignment horizontal="center"/>
      <protection hidden="1"/>
    </xf>
    <xf numFmtId="189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/>
    </xf>
    <xf numFmtId="0" fontId="2" fillId="11" borderId="18" xfId="1" applyFont="1" applyFill="1" applyBorder="1" applyAlignment="1" applyProtection="1">
      <alignment horizontal="center" vertical="center"/>
      <protection hidden="1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9" xfId="0" applyBorder="1" applyAlignment="1">
      <alignment horizontal="right" vertical="center"/>
    </xf>
    <xf numFmtId="2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right" vertical="center"/>
    </xf>
    <xf numFmtId="2" fontId="0" fillId="0" borderId="23" xfId="0" applyNumberFormat="1" applyBorder="1" applyAlignment="1">
      <alignment horizontal="center" vertical="center"/>
    </xf>
    <xf numFmtId="0" fontId="0" fillId="0" borderId="31" xfId="0" applyBorder="1" applyAlignment="1">
      <alignment horizontal="right" vertical="center"/>
    </xf>
    <xf numFmtId="2" fontId="0" fillId="0" borderId="3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2" fillId="0" borderId="33" xfId="0" applyFont="1" applyBorder="1"/>
    <xf numFmtId="165" fontId="2" fillId="0" borderId="33" xfId="0" applyNumberFormat="1" applyFont="1" applyBorder="1" applyAlignment="1">
      <alignment horizontal="center" vertical="center"/>
    </xf>
    <xf numFmtId="165" fontId="2" fillId="0" borderId="32" xfId="0" applyNumberFormat="1" applyFont="1" applyBorder="1" applyAlignment="1">
      <alignment horizontal="center" vertical="center"/>
    </xf>
    <xf numFmtId="0" fontId="2" fillId="0" borderId="20" xfId="0" applyFont="1" applyBorder="1"/>
    <xf numFmtId="165" fontId="2" fillId="0" borderId="20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/>
    </xf>
    <xf numFmtId="0" fontId="2" fillId="0" borderId="22" xfId="0" applyFont="1" applyBorder="1"/>
    <xf numFmtId="165" fontId="2" fillId="0" borderId="22" xfId="0" applyNumberFormat="1" applyFont="1" applyBorder="1" applyAlignment="1">
      <alignment horizontal="center" vertical="center"/>
    </xf>
    <xf numFmtId="165" fontId="2" fillId="0" borderId="2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left"/>
    </xf>
    <xf numFmtId="0" fontId="2" fillId="4" borderId="0" xfId="0" applyFont="1" applyFill="1" applyAlignment="1" applyProtection="1">
      <alignment horizontal="center" vertical="center"/>
      <protection locked="0"/>
    </xf>
    <xf numFmtId="0" fontId="2" fillId="0" borderId="2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0" fontId="0" fillId="0" borderId="33" xfId="0" applyBorder="1"/>
    <xf numFmtId="0" fontId="0" fillId="0" borderId="32" xfId="0" applyBorder="1"/>
    <xf numFmtId="0" fontId="0" fillId="0" borderId="20" xfId="0" applyBorder="1"/>
    <xf numFmtId="0" fontId="2" fillId="4" borderId="20" xfId="0" applyFont="1" applyFill="1" applyBorder="1" applyAlignment="1" applyProtection="1">
      <alignment horizontal="center" vertical="center"/>
      <protection locked="0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6" fillId="0" borderId="20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2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4" borderId="23" xfId="0" applyFont="1" applyFill="1" applyBorder="1" applyAlignment="1" applyProtection="1">
      <alignment horizontal="center" vertical="center"/>
      <protection locked="0"/>
    </xf>
    <xf numFmtId="1" fontId="2" fillId="0" borderId="20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0" fontId="2" fillId="0" borderId="35" xfId="0" applyFont="1" applyBorder="1"/>
    <xf numFmtId="1" fontId="2" fillId="0" borderId="35" xfId="0" applyNumberFormat="1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2" fillId="0" borderId="23" xfId="0" applyFont="1" applyBorder="1"/>
    <xf numFmtId="0" fontId="27" fillId="0" borderId="13" xfId="0" applyFont="1" applyBorder="1" applyAlignment="1">
      <alignment horizontal="right" vertical="center"/>
    </xf>
    <xf numFmtId="0" fontId="27" fillId="0" borderId="13" xfId="2" applyFont="1" applyBorder="1" applyAlignment="1">
      <alignment horizontal="right"/>
    </xf>
    <xf numFmtId="2" fontId="0" fillId="16" borderId="31" xfId="0" applyNumberFormat="1" applyFill="1" applyBorder="1" applyAlignment="1">
      <alignment horizontal="center"/>
    </xf>
    <xf numFmtId="2" fontId="0" fillId="16" borderId="33" xfId="0" applyNumberFormat="1" applyFill="1" applyBorder="1" applyAlignment="1">
      <alignment horizontal="center"/>
    </xf>
    <xf numFmtId="2" fontId="0" fillId="16" borderId="32" xfId="0" applyNumberFormat="1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2" fontId="9" fillId="0" borderId="0" xfId="0" applyNumberFormat="1" applyFont="1" applyAlignment="1">
      <alignment horizontal="left"/>
    </xf>
    <xf numFmtId="2" fontId="10" fillId="0" borderId="0" xfId="1" applyNumberFormat="1" applyAlignment="1">
      <alignment horizontal="left"/>
    </xf>
    <xf numFmtId="2" fontId="10" fillId="0" borderId="0" xfId="1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21" borderId="20" xfId="0" applyNumberFormat="1" applyFill="1" applyBorder="1" applyAlignment="1">
      <alignment horizontal="center"/>
    </xf>
    <xf numFmtId="2" fontId="0" fillId="21" borderId="23" xfId="0" applyNumberFormat="1" applyFill="1" applyBorder="1" applyAlignment="1">
      <alignment horizontal="center"/>
    </xf>
    <xf numFmtId="2" fontId="0" fillId="21" borderId="19" xfId="0" applyNumberFormat="1" applyFill="1" applyBorder="1" applyAlignment="1">
      <alignment horizontal="center"/>
    </xf>
    <xf numFmtId="2" fontId="0" fillId="21" borderId="0" xfId="0" applyNumberFormat="1" applyFill="1" applyAlignment="1">
      <alignment horizontal="center"/>
    </xf>
    <xf numFmtId="2" fontId="0" fillId="21" borderId="21" xfId="0" applyNumberFormat="1" applyFill="1" applyBorder="1" applyAlignment="1">
      <alignment horizontal="center"/>
    </xf>
    <xf numFmtId="2" fontId="0" fillId="21" borderId="22" xfId="0" applyNumberFormat="1" applyFill="1" applyBorder="1" applyAlignment="1">
      <alignment horizontal="center"/>
    </xf>
    <xf numFmtId="1" fontId="0" fillId="21" borderId="19" xfId="0" applyNumberFormat="1" applyFill="1" applyBorder="1" applyAlignment="1">
      <alignment horizontal="center"/>
    </xf>
    <xf numFmtId="2" fontId="0" fillId="21" borderId="26" xfId="0" applyNumberFormat="1" applyFill="1" applyBorder="1" applyAlignment="1">
      <alignment horizontal="center"/>
    </xf>
    <xf numFmtId="1" fontId="0" fillId="21" borderId="21" xfId="0" applyNumberFormat="1" applyFill="1" applyBorder="1" applyAlignment="1">
      <alignment horizontal="center"/>
    </xf>
    <xf numFmtId="2" fontId="0" fillId="21" borderId="25" xfId="0" applyNumberFormat="1" applyFill="1" applyBorder="1" applyAlignment="1">
      <alignment horizontal="center"/>
    </xf>
    <xf numFmtId="0" fontId="0" fillId="21" borderId="19" xfId="0" applyFill="1" applyBorder="1"/>
    <xf numFmtId="0" fontId="0" fillId="21" borderId="0" xfId="0" applyFill="1"/>
    <xf numFmtId="0" fontId="0" fillId="21" borderId="20" xfId="0" applyFill="1" applyBorder="1" applyAlignment="1">
      <alignment horizontal="center"/>
    </xf>
    <xf numFmtId="0" fontId="0" fillId="21" borderId="21" xfId="0" applyFill="1" applyBorder="1"/>
    <xf numFmtId="0" fontId="0" fillId="21" borderId="22" xfId="0" applyFill="1" applyBorder="1"/>
    <xf numFmtId="0" fontId="0" fillId="21" borderId="23" xfId="0" applyFill="1" applyBorder="1" applyAlignment="1">
      <alignment horizontal="center"/>
    </xf>
    <xf numFmtId="1" fontId="0" fillId="21" borderId="31" xfId="0" applyNumberFormat="1" applyFill="1" applyBorder="1" applyAlignment="1">
      <alignment horizontal="center"/>
    </xf>
    <xf numFmtId="1" fontId="0" fillId="21" borderId="33" xfId="0" applyNumberFormat="1" applyFill="1" applyBorder="1" applyAlignment="1">
      <alignment horizontal="center"/>
    </xf>
    <xf numFmtId="1" fontId="0" fillId="21" borderId="32" xfId="0" applyNumberFormat="1" applyFill="1" applyBorder="1" applyAlignment="1">
      <alignment horizontal="center"/>
    </xf>
    <xf numFmtId="1" fontId="0" fillId="21" borderId="0" xfId="0" applyNumberFormat="1" applyFill="1" applyAlignment="1">
      <alignment horizontal="center"/>
    </xf>
    <xf numFmtId="1" fontId="0" fillId="21" borderId="20" xfId="0" applyNumberFormat="1" applyFill="1" applyBorder="1" applyAlignment="1">
      <alignment horizontal="center"/>
    </xf>
    <xf numFmtId="1" fontId="0" fillId="21" borderId="22" xfId="0" applyNumberFormat="1" applyFill="1" applyBorder="1" applyAlignment="1">
      <alignment horizontal="center"/>
    </xf>
    <xf numFmtId="1" fontId="0" fillId="21" borderId="23" xfId="0" applyNumberFormat="1" applyFill="1" applyBorder="1" applyAlignment="1">
      <alignment horizontal="center"/>
    </xf>
    <xf numFmtId="2" fontId="0" fillId="21" borderId="32" xfId="0" applyNumberFormat="1" applyFill="1" applyBorder="1" applyAlignment="1">
      <alignment horizontal="center"/>
    </xf>
    <xf numFmtId="2" fontId="0" fillId="21" borderId="24" xfId="0" applyNumberFormat="1" applyFill="1" applyBorder="1" applyAlignment="1">
      <alignment horizontal="center"/>
    </xf>
    <xf numFmtId="2" fontId="0" fillId="21" borderId="31" xfId="0" applyNumberFormat="1" applyFill="1" applyBorder="1" applyAlignment="1">
      <alignment horizontal="center"/>
    </xf>
    <xf numFmtId="0" fontId="0" fillId="22" borderId="36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22" borderId="38" xfId="0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0" fillId="22" borderId="42" xfId="0" applyFill="1" applyBorder="1" applyAlignment="1">
      <alignment horizontal="center"/>
    </xf>
    <xf numFmtId="0" fontId="0" fillId="22" borderId="43" xfId="0" applyFill="1" applyBorder="1" applyAlignment="1">
      <alignment horizontal="center"/>
    </xf>
    <xf numFmtId="0" fontId="0" fillId="22" borderId="44" xfId="0" applyFill="1" applyBorder="1" applyAlignment="1">
      <alignment horizontal="center"/>
    </xf>
    <xf numFmtId="0" fontId="0" fillId="22" borderId="45" xfId="0" applyFill="1" applyBorder="1" applyAlignment="1">
      <alignment horizontal="center"/>
    </xf>
    <xf numFmtId="0" fontId="0" fillId="22" borderId="46" xfId="0" applyFill="1" applyBorder="1" applyAlignment="1">
      <alignment horizontal="center"/>
    </xf>
    <xf numFmtId="0" fontId="0" fillId="22" borderId="47" xfId="0" applyFill="1" applyBorder="1" applyAlignment="1">
      <alignment horizontal="center"/>
    </xf>
    <xf numFmtId="0" fontId="0" fillId="22" borderId="48" xfId="0" applyFill="1" applyBorder="1" applyAlignment="1">
      <alignment horizontal="center"/>
    </xf>
    <xf numFmtId="0" fontId="0" fillId="22" borderId="49" xfId="0" applyFill="1" applyBorder="1" applyAlignment="1">
      <alignment horizontal="center"/>
    </xf>
    <xf numFmtId="0" fontId="0" fillId="22" borderId="50" xfId="0" applyFill="1" applyBorder="1" applyAlignment="1">
      <alignment horizontal="center"/>
    </xf>
    <xf numFmtId="0" fontId="8" fillId="22" borderId="36" xfId="0" applyFont="1" applyFill="1" applyBorder="1" applyAlignment="1">
      <alignment horizontal="center"/>
    </xf>
    <xf numFmtId="0" fontId="15" fillId="22" borderId="37" xfId="0" applyFont="1" applyFill="1" applyBorder="1" applyAlignment="1">
      <alignment horizontal="center"/>
    </xf>
    <xf numFmtId="2" fontId="0" fillId="23" borderId="19" xfId="0" applyNumberFormat="1" applyFill="1" applyBorder="1" applyAlignment="1">
      <alignment horizontal="center"/>
    </xf>
    <xf numFmtId="2" fontId="0" fillId="23" borderId="21" xfId="0" applyNumberFormat="1" applyFill="1" applyBorder="1" applyAlignment="1">
      <alignment horizontal="center"/>
    </xf>
    <xf numFmtId="2" fontId="0" fillId="24" borderId="32" xfId="0" applyNumberFormat="1" applyFill="1" applyBorder="1" applyAlignment="1">
      <alignment horizontal="center"/>
    </xf>
    <xf numFmtId="2" fontId="0" fillId="24" borderId="31" xfId="0" applyNumberFormat="1" applyFill="1" applyBorder="1" applyAlignment="1">
      <alignment horizontal="center"/>
    </xf>
    <xf numFmtId="2" fontId="0" fillId="24" borderId="33" xfId="0" applyNumberFormat="1" applyFill="1" applyBorder="1" applyAlignment="1">
      <alignment horizontal="center"/>
    </xf>
    <xf numFmtId="0" fontId="0" fillId="25" borderId="51" xfId="0" applyFill="1" applyBorder="1" applyAlignment="1">
      <alignment horizontal="center"/>
    </xf>
    <xf numFmtId="184" fontId="0" fillId="25" borderId="11" xfId="0" applyNumberFormat="1" applyFill="1" applyBorder="1" applyAlignment="1">
      <alignment horizontal="center"/>
    </xf>
    <xf numFmtId="173" fontId="0" fillId="25" borderId="11" xfId="0" applyNumberFormat="1" applyFill="1" applyBorder="1" applyAlignment="1">
      <alignment horizontal="center"/>
    </xf>
    <xf numFmtId="164" fontId="0" fillId="24" borderId="11" xfId="0" applyNumberFormat="1" applyFill="1" applyBorder="1" applyAlignment="1">
      <alignment horizontal="center"/>
    </xf>
    <xf numFmtId="164" fontId="0" fillId="25" borderId="11" xfId="0" applyNumberFormat="1" applyFill="1" applyBorder="1" applyAlignment="1">
      <alignment horizontal="center"/>
    </xf>
    <xf numFmtId="178" fontId="0" fillId="24" borderId="11" xfId="0" applyNumberFormat="1" applyFill="1" applyBorder="1" applyAlignment="1">
      <alignment horizontal="center"/>
    </xf>
    <xf numFmtId="0" fontId="0" fillId="24" borderId="11" xfId="0" applyFill="1" applyBorder="1" applyAlignment="1">
      <alignment horizontal="center"/>
    </xf>
    <xf numFmtId="0" fontId="0" fillId="25" borderId="52" xfId="0" applyFill="1" applyBorder="1" applyAlignment="1">
      <alignment horizontal="center"/>
    </xf>
    <xf numFmtId="0" fontId="0" fillId="25" borderId="53" xfId="0" applyFill="1" applyBorder="1" applyAlignment="1">
      <alignment horizontal="center"/>
    </xf>
    <xf numFmtId="0" fontId="2" fillId="26" borderId="52" xfId="0" applyFont="1" applyFill="1" applyBorder="1" applyAlignment="1">
      <alignment horizontal="center"/>
    </xf>
    <xf numFmtId="0" fontId="0" fillId="26" borderId="54" xfId="0" applyFill="1" applyBorder="1" applyAlignment="1">
      <alignment horizontal="center"/>
    </xf>
    <xf numFmtId="0" fontId="0" fillId="26" borderId="53" xfId="0" applyFill="1" applyBorder="1" applyAlignment="1">
      <alignment horizontal="center"/>
    </xf>
    <xf numFmtId="0" fontId="0" fillId="25" borderId="55" xfId="0" applyFill="1" applyBorder="1" applyAlignment="1">
      <alignment horizontal="center"/>
    </xf>
    <xf numFmtId="0" fontId="0" fillId="25" borderId="56" xfId="0" applyFill="1" applyBorder="1" applyAlignment="1">
      <alignment horizontal="center"/>
    </xf>
    <xf numFmtId="0" fontId="0" fillId="25" borderId="57" xfId="0" applyFill="1" applyBorder="1" applyAlignment="1">
      <alignment horizontal="center"/>
    </xf>
    <xf numFmtId="0" fontId="0" fillId="25" borderId="58" xfId="0" applyFill="1" applyBorder="1" applyAlignment="1">
      <alignment horizontal="center"/>
    </xf>
    <xf numFmtId="0" fontId="0" fillId="25" borderId="59" xfId="0" applyFill="1" applyBorder="1" applyAlignment="1">
      <alignment horizontal="center"/>
    </xf>
    <xf numFmtId="0" fontId="0" fillId="25" borderId="60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61" xfId="0" applyFill="1" applyBorder="1" applyAlignment="1">
      <alignment horizontal="center"/>
    </xf>
    <xf numFmtId="0" fontId="0" fillId="3" borderId="0" xfId="0" applyFill="1" applyAlignment="1">
      <alignment horizontal="center"/>
    </xf>
    <xf numFmtId="183" fontId="0" fillId="25" borderId="58" xfId="0" applyNumberFormat="1" applyFill="1" applyBorder="1" applyAlignment="1">
      <alignment horizontal="center"/>
    </xf>
    <xf numFmtId="183" fontId="0" fillId="25" borderId="59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169" fontId="0" fillId="3" borderId="56" xfId="0" applyNumberFormat="1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26" borderId="51" xfId="0" applyFill="1" applyBorder="1" applyAlignment="1">
      <alignment horizontal="center"/>
    </xf>
    <xf numFmtId="183" fontId="0" fillId="26" borderId="51" xfId="0" applyNumberFormat="1" applyFill="1" applyBorder="1" applyAlignment="1">
      <alignment horizontal="center"/>
    </xf>
    <xf numFmtId="0" fontId="0" fillId="24" borderId="57" xfId="0" applyFill="1" applyBorder="1" applyAlignment="1">
      <alignment horizontal="center"/>
    </xf>
    <xf numFmtId="0" fontId="0" fillId="24" borderId="62" xfId="0" applyFill="1" applyBorder="1" applyAlignment="1">
      <alignment horizontal="center"/>
    </xf>
    <xf numFmtId="183" fontId="0" fillId="25" borderId="60" xfId="0" applyNumberFormat="1" applyFill="1" applyBorder="1" applyAlignment="1">
      <alignment horizontal="center"/>
    </xf>
    <xf numFmtId="0" fontId="39" fillId="0" borderId="0" xfId="0" applyFont="1" applyAlignment="1">
      <alignment vertical="center"/>
    </xf>
    <xf numFmtId="0" fontId="40" fillId="0" borderId="0" xfId="2" applyFont="1"/>
    <xf numFmtId="0" fontId="40" fillId="27" borderId="2" xfId="2" applyFont="1" applyFill="1" applyBorder="1" applyAlignment="1" applyProtection="1">
      <alignment horizontal="center"/>
      <protection hidden="1"/>
    </xf>
    <xf numFmtId="177" fontId="41" fillId="5" borderId="2" xfId="2" applyNumberFormat="1" applyFont="1" applyFill="1" applyBorder="1" applyAlignment="1" applyProtection="1">
      <alignment horizontal="center"/>
      <protection hidden="1"/>
    </xf>
    <xf numFmtId="0" fontId="39" fillId="0" borderId="0" xfId="2" applyFont="1"/>
    <xf numFmtId="0" fontId="42" fillId="0" borderId="10" xfId="2" applyFont="1" applyBorder="1" applyAlignment="1">
      <alignment horizontal="right"/>
    </xf>
    <xf numFmtId="0" fontId="40" fillId="0" borderId="10" xfId="2" applyFont="1" applyBorder="1"/>
    <xf numFmtId="0" fontId="43" fillId="0" borderId="10" xfId="2" applyFont="1" applyBorder="1" applyAlignment="1">
      <alignment horizontal="left"/>
    </xf>
    <xf numFmtId="0" fontId="42" fillId="0" borderId="10" xfId="2" applyFont="1" applyBorder="1"/>
    <xf numFmtId="0" fontId="42" fillId="0" borderId="7" xfId="0" applyFont="1" applyBorder="1" applyAlignment="1">
      <alignment horizontal="right" vertical="center"/>
    </xf>
    <xf numFmtId="0" fontId="43" fillId="0" borderId="7" xfId="0" applyFont="1" applyBorder="1" applyAlignment="1">
      <alignment horizontal="right" vertical="center"/>
    </xf>
    <xf numFmtId="166" fontId="0" fillId="0" borderId="7" xfId="0" applyNumberFormat="1" applyBorder="1" applyAlignment="1">
      <alignment horizontal="right" vertical="center"/>
    </xf>
    <xf numFmtId="193" fontId="0" fillId="3" borderId="11" xfId="0" applyNumberFormat="1" applyFill="1" applyBorder="1" applyAlignment="1">
      <alignment horizontal="center"/>
    </xf>
    <xf numFmtId="0" fontId="0" fillId="28" borderId="24" xfId="0" applyFill="1" applyBorder="1" applyAlignment="1">
      <alignment horizontal="center"/>
    </xf>
    <xf numFmtId="0" fontId="0" fillId="29" borderId="26" xfId="0" applyFill="1" applyBorder="1" applyAlignment="1">
      <alignment horizontal="center"/>
    </xf>
    <xf numFmtId="186" fontId="0" fillId="25" borderId="11" xfId="0" applyNumberFormat="1" applyFill="1" applyBorder="1" applyAlignment="1">
      <alignment horizontal="center"/>
    </xf>
    <xf numFmtId="176" fontId="30" fillId="5" borderId="24" xfId="2" applyNumberFormat="1" applyFont="1" applyFill="1" applyBorder="1" applyAlignment="1" applyProtection="1">
      <alignment horizontal="center"/>
      <protection hidden="1"/>
    </xf>
    <xf numFmtId="176" fontId="30" fillId="5" borderId="26" xfId="2" applyNumberFormat="1" applyFont="1" applyFill="1" applyBorder="1" applyAlignment="1" applyProtection="1">
      <alignment horizontal="center"/>
      <protection hidden="1"/>
    </xf>
    <xf numFmtId="176" fontId="30" fillId="5" borderId="25" xfId="2" applyNumberFormat="1" applyFont="1" applyFill="1" applyBorder="1" applyAlignment="1" applyProtection="1">
      <alignment horizontal="center"/>
      <protection hidden="1"/>
    </xf>
    <xf numFmtId="0" fontId="30" fillId="5" borderId="63" xfId="2" applyFont="1" applyFill="1" applyBorder="1" applyAlignment="1">
      <alignment horizontal="center"/>
    </xf>
    <xf numFmtId="0" fontId="30" fillId="5" borderId="20" xfId="2" applyFont="1" applyFill="1" applyBorder="1" applyAlignment="1">
      <alignment horizontal="center"/>
    </xf>
    <xf numFmtId="0" fontId="30" fillId="5" borderId="23" xfId="2" applyFont="1" applyFill="1" applyBorder="1" applyAlignment="1">
      <alignment horizontal="center"/>
    </xf>
    <xf numFmtId="176" fontId="30" fillId="5" borderId="63" xfId="2" applyNumberFormat="1" applyFont="1" applyFill="1" applyBorder="1" applyAlignment="1">
      <alignment horizontal="center"/>
    </xf>
    <xf numFmtId="196" fontId="30" fillId="5" borderId="63" xfId="2" applyNumberFormat="1" applyFont="1" applyFill="1" applyBorder="1" applyAlignment="1">
      <alignment horizontal="center"/>
    </xf>
    <xf numFmtId="196" fontId="30" fillId="5" borderId="20" xfId="2" applyNumberFormat="1" applyFont="1" applyFill="1" applyBorder="1" applyAlignment="1">
      <alignment horizontal="center"/>
    </xf>
    <xf numFmtId="196" fontId="30" fillId="5" borderId="23" xfId="2" applyNumberFormat="1" applyFont="1" applyFill="1" applyBorder="1" applyAlignment="1">
      <alignment horizontal="center"/>
    </xf>
    <xf numFmtId="174" fontId="30" fillId="5" borderId="63" xfId="2" applyNumberFormat="1" applyFont="1" applyFill="1" applyBorder="1" applyAlignment="1">
      <alignment horizontal="center"/>
    </xf>
    <xf numFmtId="174" fontId="30" fillId="5" borderId="20" xfId="2" applyNumberFormat="1" applyFont="1" applyFill="1" applyBorder="1" applyAlignment="1">
      <alignment horizontal="center"/>
    </xf>
    <xf numFmtId="174" fontId="30" fillId="5" borderId="23" xfId="2" applyNumberFormat="1" applyFont="1" applyFill="1" applyBorder="1" applyAlignment="1">
      <alignment horizontal="center"/>
    </xf>
    <xf numFmtId="167" fontId="30" fillId="5" borderId="63" xfId="2" applyNumberFormat="1" applyFont="1" applyFill="1" applyBorder="1" applyAlignment="1">
      <alignment horizontal="center"/>
    </xf>
    <xf numFmtId="167" fontId="30" fillId="5" borderId="20" xfId="2" applyNumberFormat="1" applyFont="1" applyFill="1" applyBorder="1" applyAlignment="1">
      <alignment horizontal="center"/>
    </xf>
    <xf numFmtId="167" fontId="30" fillId="5" borderId="23" xfId="2" applyNumberFormat="1" applyFont="1" applyFill="1" applyBorder="1" applyAlignment="1">
      <alignment horizontal="center"/>
    </xf>
    <xf numFmtId="170" fontId="30" fillId="5" borderId="63" xfId="2" applyNumberFormat="1" applyFont="1" applyFill="1" applyBorder="1" applyAlignment="1">
      <alignment horizontal="center"/>
    </xf>
    <xf numFmtId="170" fontId="30" fillId="5" borderId="20" xfId="2" applyNumberFormat="1" applyFont="1" applyFill="1" applyBorder="1" applyAlignment="1">
      <alignment horizontal="center"/>
    </xf>
    <xf numFmtId="170" fontId="30" fillId="5" borderId="23" xfId="2" applyNumberFormat="1" applyFont="1" applyFill="1" applyBorder="1" applyAlignment="1">
      <alignment horizontal="center"/>
    </xf>
    <xf numFmtId="0" fontId="2" fillId="9" borderId="2" xfId="0" applyFont="1" applyFill="1" applyBorder="1" applyAlignment="1" applyProtection="1">
      <alignment horizontal="center" vertical="center"/>
      <protection hidden="1"/>
    </xf>
    <xf numFmtId="0" fontId="0" fillId="9" borderId="2" xfId="0" applyFill="1" applyBorder="1" applyAlignment="1" applyProtection="1">
      <alignment horizontal="center" vertical="center"/>
      <protection hidden="1"/>
    </xf>
    <xf numFmtId="0" fontId="0" fillId="0" borderId="22" xfId="0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87" fontId="2" fillId="7" borderId="2" xfId="0" applyNumberFormat="1" applyFont="1" applyFill="1" applyBorder="1" applyAlignment="1">
      <alignment horizontal="center" vertical="center"/>
    </xf>
    <xf numFmtId="197" fontId="30" fillId="5" borderId="24" xfId="2" applyNumberFormat="1" applyFont="1" applyFill="1" applyBorder="1" applyAlignment="1">
      <alignment horizontal="center"/>
    </xf>
    <xf numFmtId="197" fontId="30" fillId="5" borderId="26" xfId="2" applyNumberFormat="1" applyFont="1" applyFill="1" applyBorder="1" applyAlignment="1">
      <alignment horizontal="center"/>
    </xf>
    <xf numFmtId="197" fontId="30" fillId="5" borderId="25" xfId="2" applyNumberFormat="1" applyFont="1" applyFill="1" applyBorder="1" applyAlignment="1">
      <alignment horizontal="center"/>
    </xf>
    <xf numFmtId="0" fontId="39" fillId="0" borderId="0" xfId="2" applyFont="1" applyAlignment="1" applyProtection="1">
      <alignment horizontal="right"/>
      <protection hidden="1"/>
    </xf>
    <xf numFmtId="0" fontId="2" fillId="0" borderId="31" xfId="0" applyFont="1" applyBorder="1"/>
    <xf numFmtId="0" fontId="2" fillId="0" borderId="32" xfId="0" applyFont="1" applyBorder="1"/>
    <xf numFmtId="0" fontId="2" fillId="0" borderId="21" xfId="0" applyFont="1" applyBorder="1"/>
    <xf numFmtId="0" fontId="2" fillId="0" borderId="19" xfId="0" applyFont="1" applyBorder="1" applyAlignment="1">
      <alignment horizontal="left"/>
    </xf>
    <xf numFmtId="14" fontId="2" fillId="0" borderId="23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0" fontId="3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19" xfId="0" applyFont="1" applyBorder="1"/>
    <xf numFmtId="0" fontId="2" fillId="0" borderId="34" xfId="0" applyFont="1" applyBorder="1"/>
    <xf numFmtId="0" fontId="2" fillId="0" borderId="14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64" xfId="0" applyFont="1" applyBorder="1" applyAlignment="1">
      <alignment horizontal="center"/>
    </xf>
    <xf numFmtId="201" fontId="15" fillId="0" borderId="0" xfId="0" applyNumberFormat="1" applyFont="1"/>
    <xf numFmtId="191" fontId="0" fillId="0" borderId="0" xfId="0" applyNumberFormat="1"/>
    <xf numFmtId="192" fontId="0" fillId="0" borderId="0" xfId="0" applyNumberFormat="1"/>
    <xf numFmtId="0" fontId="38" fillId="0" borderId="0" xfId="0" applyFont="1"/>
    <xf numFmtId="192" fontId="2" fillId="30" borderId="32" xfId="0" applyNumberFormat="1" applyFont="1" applyFill="1" applyBorder="1" applyProtection="1">
      <protection locked="0"/>
    </xf>
    <xf numFmtId="198" fontId="2" fillId="0" borderId="23" xfId="0" applyNumberFormat="1" applyFont="1" applyBorder="1"/>
    <xf numFmtId="0" fontId="37" fillId="0" borderId="0" xfId="0" applyFont="1"/>
    <xf numFmtId="3" fontId="2" fillId="30" borderId="32" xfId="0" applyNumberFormat="1" applyFont="1" applyFill="1" applyBorder="1" applyAlignment="1">
      <alignment horizontal="center"/>
    </xf>
    <xf numFmtId="191" fontId="2" fillId="0" borderId="33" xfId="0" applyNumberFormat="1" applyFont="1" applyBorder="1" applyAlignment="1">
      <alignment horizontal="center"/>
    </xf>
    <xf numFmtId="192" fontId="2" fillId="0" borderId="32" xfId="0" applyNumberFormat="1" applyFont="1" applyBorder="1" applyAlignment="1">
      <alignment horizontal="center"/>
    </xf>
    <xf numFmtId="191" fontId="2" fillId="0" borderId="22" xfId="0" applyNumberFormat="1" applyFont="1" applyBorder="1" applyAlignment="1">
      <alignment horizontal="center"/>
    </xf>
    <xf numFmtId="192" fontId="2" fillId="0" borderId="23" xfId="0" applyNumberFormat="1" applyFont="1" applyBorder="1" applyAlignment="1">
      <alignment horizontal="center"/>
    </xf>
    <xf numFmtId="192" fontId="2" fillId="30" borderId="32" xfId="0" applyNumberFormat="1" applyFont="1" applyFill="1" applyBorder="1" applyAlignment="1" applyProtection="1">
      <alignment horizontal="center"/>
      <protection locked="0"/>
    </xf>
    <xf numFmtId="202" fontId="2" fillId="0" borderId="23" xfId="0" applyNumberFormat="1" applyFont="1" applyBorder="1" applyAlignment="1">
      <alignment horizontal="center"/>
    </xf>
    <xf numFmtId="201" fontId="2" fillId="0" borderId="23" xfId="0" applyNumberFormat="1" applyFont="1" applyBorder="1" applyAlignment="1">
      <alignment horizontal="center"/>
    </xf>
    <xf numFmtId="199" fontId="2" fillId="0" borderId="33" xfId="0" applyNumberFormat="1" applyFont="1" applyBorder="1" applyAlignment="1">
      <alignment horizontal="center"/>
    </xf>
    <xf numFmtId="200" fontId="2" fillId="0" borderId="32" xfId="0" applyNumberFormat="1" applyFont="1" applyBorder="1" applyAlignment="1">
      <alignment horizontal="center"/>
    </xf>
    <xf numFmtId="191" fontId="2" fillId="0" borderId="0" xfId="0" applyNumberFormat="1" applyFont="1" applyAlignment="1">
      <alignment horizontal="center"/>
    </xf>
    <xf numFmtId="192" fontId="2" fillId="0" borderId="20" xfId="0" applyNumberFormat="1" applyFont="1" applyBorder="1" applyAlignment="1">
      <alignment horizontal="center"/>
    </xf>
    <xf numFmtId="0" fontId="15" fillId="0" borderId="10" xfId="0" applyFont="1" applyBorder="1"/>
    <xf numFmtId="0" fontId="0" fillId="29" borderId="20" xfId="0" applyFill="1" applyBorder="1" applyAlignment="1">
      <alignment horizontal="center"/>
    </xf>
    <xf numFmtId="0" fontId="0" fillId="31" borderId="65" xfId="0" applyFill="1" applyBorder="1" applyAlignment="1">
      <alignment horizontal="center"/>
    </xf>
    <xf numFmtId="186" fontId="0" fillId="24" borderId="11" xfId="0" applyNumberFormat="1" applyFill="1" applyBorder="1" applyAlignment="1">
      <alignment horizontal="center"/>
    </xf>
    <xf numFmtId="203" fontId="0" fillId="24" borderId="11" xfId="0" applyNumberFormat="1" applyFill="1" applyBorder="1" applyAlignment="1">
      <alignment horizontal="center"/>
    </xf>
    <xf numFmtId="0" fontId="2" fillId="11" borderId="66" xfId="0" applyFont="1" applyFill="1" applyBorder="1" applyAlignment="1" applyProtection="1">
      <alignment horizontal="center" vertical="center"/>
      <protection hidden="1"/>
    </xf>
    <xf numFmtId="164" fontId="2" fillId="17" borderId="24" xfId="0" applyNumberFormat="1" applyFont="1" applyFill="1" applyBorder="1" applyAlignment="1">
      <alignment horizontal="center" vertical="center"/>
    </xf>
    <xf numFmtId="0" fontId="2" fillId="11" borderId="67" xfId="0" applyFont="1" applyFill="1" applyBorder="1" applyAlignment="1" applyProtection="1">
      <alignment horizontal="center" vertical="center"/>
      <protection hidden="1"/>
    </xf>
    <xf numFmtId="170" fontId="2" fillId="3" borderId="25" xfId="0" applyNumberFormat="1" applyFont="1" applyFill="1" applyBorder="1" applyAlignment="1" applyProtection="1">
      <alignment horizontal="center" vertical="center"/>
      <protection locked="0"/>
    </xf>
    <xf numFmtId="0" fontId="2" fillId="28" borderId="2" xfId="0" applyFont="1" applyFill="1" applyBorder="1" applyAlignment="1">
      <alignment horizontal="center" vertical="center"/>
    </xf>
    <xf numFmtId="0" fontId="0" fillId="30" borderId="0" xfId="0" applyFill="1"/>
    <xf numFmtId="0" fontId="0" fillId="30" borderId="0" xfId="0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9" borderId="25" xfId="0" applyFill="1" applyBorder="1" applyAlignment="1">
      <alignment horizontal="center"/>
    </xf>
    <xf numFmtId="0" fontId="1" fillId="0" borderId="0" xfId="2" applyProtection="1">
      <protection locked="0"/>
    </xf>
    <xf numFmtId="0" fontId="1" fillId="0" borderId="0" xfId="2"/>
    <xf numFmtId="0" fontId="33" fillId="0" borderId="0" xfId="2" applyFont="1"/>
    <xf numFmtId="186" fontId="0" fillId="0" borderId="0" xfId="0" applyNumberFormat="1" applyAlignment="1">
      <alignment vertical="center"/>
    </xf>
    <xf numFmtId="0" fontId="0" fillId="0" borderId="0" xfId="0" quotePrefix="1" applyAlignment="1">
      <alignment horizontal="center" vertical="center"/>
    </xf>
    <xf numFmtId="170" fontId="0" fillId="0" borderId="0" xfId="0" applyNumberFormat="1" applyAlignment="1">
      <alignment horizontal="right" vertical="center"/>
    </xf>
    <xf numFmtId="0" fontId="0" fillId="30" borderId="2" xfId="0" applyFill="1" applyBorder="1" applyAlignment="1">
      <alignment vertical="center"/>
    </xf>
    <xf numFmtId="164" fontId="2" fillId="18" borderId="24" xfId="0" applyNumberFormat="1" applyFont="1" applyFill="1" applyBorder="1" applyAlignment="1" applyProtection="1">
      <alignment horizontal="center" vertical="center"/>
      <protection locked="0"/>
    </xf>
    <xf numFmtId="0" fontId="10" fillId="0" borderId="0" xfId="1" applyAlignment="1" applyProtection="1">
      <alignment horizontal="left"/>
      <protection hidden="1"/>
    </xf>
    <xf numFmtId="166" fontId="44" fillId="0" borderId="0" xfId="0" applyNumberFormat="1" applyFont="1" applyAlignment="1">
      <alignment vertical="center"/>
    </xf>
    <xf numFmtId="0" fontId="2" fillId="0" borderId="0" xfId="0" applyFont="1" applyAlignment="1" applyProtection="1">
      <alignment horizontal="center" vertical="center"/>
      <protection hidden="1"/>
    </xf>
    <xf numFmtId="186" fontId="2" fillId="0" borderId="0" xfId="0" applyNumberFormat="1" applyFont="1" applyAlignment="1">
      <alignment horizontal="center" vertical="center"/>
    </xf>
    <xf numFmtId="204" fontId="2" fillId="32" borderId="2" xfId="0" applyNumberFormat="1" applyFont="1" applyFill="1" applyBorder="1" applyAlignment="1">
      <alignment horizontal="center" vertical="center"/>
    </xf>
    <xf numFmtId="175" fontId="0" fillId="7" borderId="46" xfId="0" applyNumberFormat="1" applyFill="1" applyBorder="1" applyAlignment="1">
      <alignment horizontal="center" vertical="center"/>
    </xf>
    <xf numFmtId="175" fontId="2" fillId="7" borderId="2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0" fontId="2" fillId="9" borderId="46" xfId="0" applyFont="1" applyFill="1" applyBorder="1" applyAlignment="1" applyProtection="1">
      <alignment horizontal="center" vertical="center"/>
      <protection hidden="1"/>
    </xf>
    <xf numFmtId="0" fontId="5" fillId="9" borderId="46" xfId="0" applyFont="1" applyFill="1" applyBorder="1" applyAlignment="1" applyProtection="1">
      <alignment horizontal="center" vertical="center"/>
      <protection hidden="1"/>
    </xf>
    <xf numFmtId="2" fontId="0" fillId="7" borderId="68" xfId="0" applyNumberFormat="1" applyFill="1" applyBorder="1" applyAlignment="1">
      <alignment horizontal="center" vertical="center"/>
    </xf>
    <xf numFmtId="187" fontId="2" fillId="7" borderId="68" xfId="0" applyNumberFormat="1" applyFont="1" applyFill="1" applyBorder="1" applyAlignment="1">
      <alignment horizontal="center" vertical="center"/>
    </xf>
    <xf numFmtId="165" fontId="0" fillId="7" borderId="69" xfId="0" applyNumberFormat="1" applyFill="1" applyBorder="1" applyAlignment="1">
      <alignment horizontal="center" vertical="center"/>
    </xf>
    <xf numFmtId="188" fontId="2" fillId="7" borderId="70" xfId="0" applyNumberFormat="1" applyFont="1" applyFill="1" applyBorder="1" applyAlignment="1">
      <alignment horizontal="center" vertical="center"/>
    </xf>
    <xf numFmtId="165" fontId="0" fillId="7" borderId="71" xfId="0" applyNumberFormat="1" applyFill="1" applyBorder="1" applyAlignment="1">
      <alignment horizontal="center" vertical="center"/>
    </xf>
    <xf numFmtId="165" fontId="0" fillId="7" borderId="70" xfId="0" applyNumberFormat="1" applyFill="1" applyBorder="1" applyAlignment="1">
      <alignment horizontal="center" vertical="center"/>
    </xf>
    <xf numFmtId="186" fontId="0" fillId="7" borderId="43" xfId="0" applyNumberFormat="1" applyFill="1" applyBorder="1" applyAlignment="1">
      <alignment horizontal="center" vertical="center"/>
    </xf>
    <xf numFmtId="165" fontId="0" fillId="7" borderId="72" xfId="0" applyNumberFormat="1" applyFill="1" applyBorder="1" applyAlignment="1">
      <alignment horizontal="center" vertical="center"/>
    </xf>
    <xf numFmtId="166" fontId="2" fillId="27" borderId="14" xfId="0" applyNumberFormat="1" applyFont="1" applyFill="1" applyBorder="1" applyAlignment="1">
      <alignment horizontal="center" vertical="center"/>
    </xf>
    <xf numFmtId="0" fontId="0" fillId="32" borderId="2" xfId="0" applyFill="1" applyBorder="1" applyAlignment="1">
      <alignment vertical="center"/>
    </xf>
    <xf numFmtId="187" fontId="0" fillId="7" borderId="73" xfId="0" applyNumberFormat="1" applyFill="1" applyBorder="1" applyAlignment="1">
      <alignment horizontal="center" vertical="center"/>
    </xf>
    <xf numFmtId="205" fontId="0" fillId="32" borderId="2" xfId="0" applyNumberFormat="1" applyFill="1" applyBorder="1" applyAlignment="1">
      <alignment horizontal="center" vertical="center"/>
    </xf>
    <xf numFmtId="206" fontId="15" fillId="0" borderId="0" xfId="2" applyNumberFormat="1" applyFont="1" applyProtection="1">
      <protection hidden="1"/>
    </xf>
    <xf numFmtId="175" fontId="2" fillId="0" borderId="0" xfId="2" applyNumberFormat="1" applyFont="1" applyProtection="1">
      <protection locked="0"/>
    </xf>
    <xf numFmtId="186" fontId="2" fillId="30" borderId="2" xfId="0" applyNumberFormat="1" applyFont="1" applyFill="1" applyBorder="1" applyAlignment="1">
      <alignment horizontal="center" vertical="center"/>
    </xf>
    <xf numFmtId="177" fontId="2" fillId="0" borderId="0" xfId="2" applyNumberFormat="1" applyFont="1"/>
    <xf numFmtId="170" fontId="2" fillId="33" borderId="25" xfId="0" applyNumberFormat="1" applyFont="1" applyFill="1" applyBorder="1" applyAlignment="1" applyProtection="1">
      <alignment horizontal="center" vertical="center"/>
      <protection locked="0"/>
    </xf>
    <xf numFmtId="165" fontId="2" fillId="5" borderId="34" xfId="2" applyNumberFormat="1" applyFont="1" applyFill="1" applyBorder="1" applyAlignment="1">
      <alignment horizontal="center"/>
    </xf>
    <xf numFmtId="178" fontId="14" fillId="5" borderId="34" xfId="2" applyNumberFormat="1" applyFont="1" applyFill="1" applyBorder="1"/>
    <xf numFmtId="179" fontId="29" fillId="5" borderId="24" xfId="2" applyNumberFormat="1" applyFont="1" applyFill="1" applyBorder="1" applyAlignment="1" applyProtection="1">
      <alignment horizontal="center" vertical="center"/>
      <protection hidden="1"/>
    </xf>
    <xf numFmtId="0" fontId="29" fillId="5" borderId="24" xfId="2" applyFont="1" applyFill="1" applyBorder="1" applyAlignment="1" applyProtection="1">
      <alignment horizontal="center" vertical="center"/>
      <protection hidden="1"/>
    </xf>
    <xf numFmtId="2" fontId="15" fillId="0" borderId="19" xfId="2" applyNumberFormat="1" applyFont="1" applyBorder="1" applyAlignment="1" applyProtection="1">
      <alignment horizontal="center"/>
      <protection hidden="1"/>
    </xf>
    <xf numFmtId="2" fontId="15" fillId="0" borderId="20" xfId="2" applyNumberFormat="1" applyFont="1" applyBorder="1" applyAlignment="1" applyProtection="1">
      <alignment horizontal="center"/>
      <protection hidden="1"/>
    </xf>
    <xf numFmtId="2" fontId="15" fillId="0" borderId="0" xfId="2" applyNumberFormat="1" applyFont="1" applyAlignment="1" applyProtection="1">
      <alignment horizontal="center"/>
      <protection hidden="1"/>
    </xf>
    <xf numFmtId="0" fontId="2" fillId="6" borderId="24" xfId="2" applyFont="1" applyFill="1" applyBorder="1" applyAlignment="1">
      <alignment vertical="center"/>
    </xf>
    <xf numFmtId="0" fontId="2" fillId="6" borderId="24" xfId="2" applyFont="1" applyFill="1" applyBorder="1" applyAlignment="1">
      <alignment horizontal="center" vertical="center"/>
    </xf>
    <xf numFmtId="0" fontId="0" fillId="7" borderId="74" xfId="0" applyFill="1" applyBorder="1" applyAlignment="1">
      <alignment horizontal="center" vertical="center"/>
    </xf>
    <xf numFmtId="175" fontId="2" fillId="0" borderId="0" xfId="0" applyNumberFormat="1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82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6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10" borderId="2" xfId="2" applyFont="1" applyFill="1" applyBorder="1" applyAlignment="1" applyProtection="1">
      <alignment horizontal="left"/>
      <protection hidden="1"/>
    </xf>
    <xf numFmtId="0" fontId="2" fillId="10" borderId="26" xfId="2" applyFont="1" applyFill="1" applyBorder="1" applyAlignment="1" applyProtection="1">
      <alignment horizontal="left"/>
      <protection hidden="1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right" vertic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left" vertical="top"/>
    </xf>
    <xf numFmtId="0" fontId="30" fillId="6" borderId="2" xfId="2" applyFont="1" applyFill="1" applyBorder="1" applyAlignment="1">
      <alignment horizontal="center"/>
    </xf>
    <xf numFmtId="165" fontId="30" fillId="5" borderId="2" xfId="2" applyNumberFormat="1" applyFont="1" applyFill="1" applyBorder="1" applyAlignment="1">
      <alignment horizontal="center"/>
    </xf>
    <xf numFmtId="0" fontId="17" fillId="5" borderId="31" xfId="2" applyFont="1" applyFill="1" applyBorder="1" applyAlignment="1">
      <alignment horizontal="center" vertical="center"/>
    </xf>
    <xf numFmtId="0" fontId="17" fillId="5" borderId="32" xfId="2" applyFont="1" applyFill="1" applyBorder="1" applyAlignment="1">
      <alignment horizontal="center" vertical="center"/>
    </xf>
    <xf numFmtId="0" fontId="17" fillId="5" borderId="21" xfId="2" applyFont="1" applyFill="1" applyBorder="1" applyAlignment="1">
      <alignment horizontal="center" vertical="center"/>
    </xf>
    <xf numFmtId="0" fontId="17" fillId="5" borderId="23" xfId="2" applyFont="1" applyFill="1" applyBorder="1" applyAlignment="1">
      <alignment horizontal="center" vertical="center"/>
    </xf>
    <xf numFmtId="165" fontId="2" fillId="5" borderId="34" xfId="2" applyNumberFormat="1" applyFont="1" applyFill="1" applyBorder="1" applyAlignment="1">
      <alignment horizontal="center"/>
    </xf>
    <xf numFmtId="165" fontId="2" fillId="5" borderId="14" xfId="2" applyNumberFormat="1" applyFont="1" applyFill="1" applyBorder="1" applyAlignment="1">
      <alignment horizontal="center"/>
    </xf>
    <xf numFmtId="178" fontId="30" fillId="5" borderId="34" xfId="2" applyNumberFormat="1" applyFont="1" applyFill="1" applyBorder="1" applyAlignment="1">
      <alignment horizontal="center"/>
    </xf>
    <xf numFmtId="178" fontId="30" fillId="5" borderId="14" xfId="2" applyNumberFormat="1" applyFont="1" applyFill="1" applyBorder="1" applyAlignment="1">
      <alignment horizontal="center"/>
    </xf>
    <xf numFmtId="0" fontId="30" fillId="6" borderId="34" xfId="2" applyFont="1" applyFill="1" applyBorder="1" applyAlignment="1">
      <alignment horizontal="center"/>
    </xf>
    <xf numFmtId="0" fontId="30" fillId="6" borderId="14" xfId="2" applyFont="1" applyFill="1" applyBorder="1" applyAlignment="1">
      <alignment horizontal="center"/>
    </xf>
    <xf numFmtId="0" fontId="2" fillId="4" borderId="2" xfId="2" applyFont="1" applyFill="1" applyBorder="1" applyAlignment="1" applyProtection="1">
      <alignment horizontal="center"/>
      <protection locked="0"/>
    </xf>
    <xf numFmtId="0" fontId="2" fillId="4" borderId="8" xfId="2" applyFont="1" applyFill="1" applyBorder="1" applyAlignment="1" applyProtection="1">
      <alignment horizontal="center"/>
      <protection locked="0"/>
    </xf>
    <xf numFmtId="177" fontId="30" fillId="5" borderId="34" xfId="2" applyNumberFormat="1" applyFont="1" applyFill="1" applyBorder="1" applyAlignment="1" applyProtection="1">
      <alignment horizontal="center"/>
      <protection hidden="1"/>
    </xf>
    <xf numFmtId="177" fontId="30" fillId="5" borderId="14" xfId="2" applyNumberFormat="1" applyFont="1" applyFill="1" applyBorder="1" applyAlignment="1" applyProtection="1">
      <alignment horizontal="center"/>
      <protection hidden="1"/>
    </xf>
    <xf numFmtId="176" fontId="30" fillId="5" borderId="34" xfId="2" applyNumberFormat="1" applyFont="1" applyFill="1" applyBorder="1" applyAlignment="1" applyProtection="1">
      <alignment horizontal="center"/>
      <protection hidden="1"/>
    </xf>
    <xf numFmtId="176" fontId="30" fillId="5" borderId="14" xfId="2" applyNumberFormat="1" applyFont="1" applyFill="1" applyBorder="1" applyAlignment="1" applyProtection="1">
      <alignment horizontal="center"/>
      <protection hidden="1"/>
    </xf>
    <xf numFmtId="177" fontId="2" fillId="4" borderId="2" xfId="2" applyNumberFormat="1" applyFont="1" applyFill="1" applyBorder="1" applyAlignment="1" applyProtection="1">
      <alignment horizontal="center"/>
      <protection locked="0"/>
    </xf>
    <xf numFmtId="0" fontId="2" fillId="10" borderId="34" xfId="2" applyFont="1" applyFill="1" applyBorder="1" applyAlignment="1" applyProtection="1">
      <alignment horizontal="center"/>
      <protection hidden="1"/>
    </xf>
    <xf numFmtId="0" fontId="2" fillId="10" borderId="14" xfId="2" applyFont="1" applyFill="1" applyBorder="1" applyAlignment="1" applyProtection="1">
      <alignment horizontal="center"/>
      <protection hidden="1"/>
    </xf>
    <xf numFmtId="177" fontId="2" fillId="4" borderId="34" xfId="2" applyNumberFormat="1" applyFont="1" applyFill="1" applyBorder="1" applyAlignment="1" applyProtection="1">
      <alignment horizontal="center"/>
      <protection locked="0"/>
    </xf>
    <xf numFmtId="177" fontId="2" fillId="4" borderId="14" xfId="2" applyNumberFormat="1" applyFont="1" applyFill="1" applyBorder="1" applyAlignment="1" applyProtection="1">
      <alignment horizontal="center"/>
      <protection locked="0"/>
    </xf>
    <xf numFmtId="0" fontId="15" fillId="0" borderId="0" xfId="2" applyFont="1" applyAlignment="1" applyProtection="1">
      <alignment horizontal="center"/>
      <protection hidden="1"/>
    </xf>
    <xf numFmtId="0" fontId="27" fillId="6" borderId="34" xfId="2" applyFont="1" applyFill="1" applyBorder="1" applyAlignment="1" applyProtection="1">
      <alignment horizontal="center"/>
      <protection hidden="1"/>
    </xf>
    <xf numFmtId="0" fontId="27" fillId="6" borderId="14" xfId="2" applyFont="1" applyFill="1" applyBorder="1" applyAlignment="1" applyProtection="1">
      <alignment horizontal="center"/>
      <protection hidden="1"/>
    </xf>
    <xf numFmtId="0" fontId="2" fillId="10" borderId="2" xfId="2" applyFont="1" applyFill="1" applyBorder="1" applyAlignment="1" applyProtection="1">
      <alignment horizontal="center"/>
      <protection hidden="1"/>
    </xf>
    <xf numFmtId="0" fontId="2" fillId="4" borderId="21" xfId="2" applyFont="1" applyFill="1" applyBorder="1" applyAlignment="1" applyProtection="1">
      <alignment horizontal="center"/>
      <protection locked="0"/>
    </xf>
    <xf numFmtId="0" fontId="2" fillId="4" borderId="77" xfId="2" applyFont="1" applyFill="1" applyBorder="1" applyAlignment="1" applyProtection="1">
      <alignment horizontal="center"/>
      <protection locked="0"/>
    </xf>
    <xf numFmtId="0" fontId="3" fillId="19" borderId="0" xfId="2" applyFont="1" applyFill="1" applyAlignment="1">
      <alignment horizontal="center"/>
    </xf>
    <xf numFmtId="0" fontId="2" fillId="0" borderId="0" xfId="2" applyFont="1" applyAlignment="1" applyProtection="1">
      <alignment horizontal="center"/>
      <protection hidden="1"/>
    </xf>
    <xf numFmtId="178" fontId="30" fillId="5" borderId="2" xfId="2" applyNumberFormat="1" applyFont="1" applyFill="1" applyBorder="1" applyAlignment="1">
      <alignment horizontal="center"/>
    </xf>
    <xf numFmtId="0" fontId="2" fillId="10" borderId="78" xfId="2" applyFont="1" applyFill="1" applyBorder="1" applyAlignment="1" applyProtection="1">
      <alignment horizontal="center"/>
      <protection hidden="1"/>
    </xf>
    <xf numFmtId="0" fontId="2" fillId="10" borderId="79" xfId="2" applyFont="1" applyFill="1" applyBorder="1" applyAlignment="1" applyProtection="1">
      <alignment horizontal="center"/>
      <protection hidden="1"/>
    </xf>
    <xf numFmtId="0" fontId="2" fillId="4" borderId="34" xfId="2" applyFont="1" applyFill="1" applyBorder="1" applyAlignment="1" applyProtection="1">
      <alignment horizontal="center"/>
      <protection locked="0"/>
    </xf>
    <xf numFmtId="0" fontId="2" fillId="4" borderId="75" xfId="2" applyFont="1" applyFill="1" applyBorder="1" applyAlignment="1" applyProtection="1">
      <alignment horizontal="center"/>
      <protection locked="0"/>
    </xf>
    <xf numFmtId="0" fontId="32" fillId="4" borderId="25" xfId="2" applyFont="1" applyFill="1" applyBorder="1" applyAlignment="1" applyProtection="1">
      <alignment horizontal="center" vertical="center"/>
      <protection locked="0"/>
    </xf>
    <xf numFmtId="0" fontId="32" fillId="4" borderId="2" xfId="2" applyFont="1" applyFill="1" applyBorder="1" applyAlignment="1" applyProtection="1">
      <alignment horizontal="center" vertical="center"/>
      <protection locked="0"/>
    </xf>
    <xf numFmtId="176" fontId="30" fillId="5" borderId="34" xfId="2" applyNumberFormat="1" applyFont="1" applyFill="1" applyBorder="1" applyAlignment="1">
      <alignment horizontal="center"/>
    </xf>
    <xf numFmtId="176" fontId="30" fillId="5" borderId="14" xfId="2" applyNumberFormat="1" applyFont="1" applyFill="1" applyBorder="1" applyAlignment="1">
      <alignment horizontal="center"/>
    </xf>
    <xf numFmtId="178" fontId="31" fillId="5" borderId="34" xfId="2" applyNumberFormat="1" applyFont="1" applyFill="1" applyBorder="1" applyAlignment="1">
      <alignment horizontal="center"/>
    </xf>
    <xf numFmtId="178" fontId="31" fillId="5" borderId="14" xfId="2" applyNumberFormat="1" applyFont="1" applyFill="1" applyBorder="1" applyAlignment="1">
      <alignment horizontal="center"/>
    </xf>
    <xf numFmtId="0" fontId="39" fillId="0" borderId="0" xfId="2" applyFont="1" applyAlignment="1">
      <alignment horizontal="center"/>
    </xf>
    <xf numFmtId="0" fontId="2" fillId="6" borderId="2" xfId="2" applyFont="1" applyFill="1" applyBorder="1" applyAlignment="1" applyProtection="1">
      <alignment horizontal="center"/>
      <protection hidden="1"/>
    </xf>
    <xf numFmtId="0" fontId="2" fillId="10" borderId="80" xfId="2" applyFont="1" applyFill="1" applyBorder="1" applyAlignment="1" applyProtection="1">
      <alignment horizontal="center"/>
      <protection hidden="1"/>
    </xf>
    <xf numFmtId="0" fontId="2" fillId="10" borderId="81" xfId="2" applyFont="1" applyFill="1" applyBorder="1" applyAlignment="1" applyProtection="1">
      <alignment horizontal="center"/>
      <protection hidden="1"/>
    </xf>
    <xf numFmtId="0" fontId="39" fillId="4" borderId="25" xfId="2" applyFont="1" applyFill="1" applyBorder="1" applyAlignment="1" applyProtection="1">
      <alignment horizontal="center"/>
      <protection locked="0"/>
    </xf>
    <xf numFmtId="0" fontId="39" fillId="4" borderId="82" xfId="2" applyFont="1" applyFill="1" applyBorder="1" applyAlignment="1" applyProtection="1">
      <alignment horizontal="center"/>
      <protection locked="0"/>
    </xf>
    <xf numFmtId="165" fontId="30" fillId="5" borderId="34" xfId="2" applyNumberFormat="1" applyFont="1" applyFill="1" applyBorder="1" applyAlignment="1">
      <alignment horizontal="center"/>
    </xf>
    <xf numFmtId="165" fontId="30" fillId="5" borderId="14" xfId="2" applyNumberFormat="1" applyFont="1" applyFill="1" applyBorder="1" applyAlignment="1">
      <alignment horizontal="center"/>
    </xf>
    <xf numFmtId="0" fontId="2" fillId="10" borderId="83" xfId="2" applyFont="1" applyFill="1" applyBorder="1" applyAlignment="1" applyProtection="1">
      <alignment horizontal="center"/>
      <protection hidden="1"/>
    </xf>
    <xf numFmtId="0" fontId="2" fillId="10" borderId="84" xfId="2" applyFont="1" applyFill="1" applyBorder="1" applyAlignment="1" applyProtection="1">
      <alignment horizontal="center"/>
      <protection hidden="1"/>
    </xf>
    <xf numFmtId="0" fontId="2" fillId="0" borderId="0" xfId="2" applyFont="1" applyAlignment="1">
      <alignment horizontal="center"/>
    </xf>
    <xf numFmtId="20" fontId="2" fillId="4" borderId="34" xfId="2" applyNumberFormat="1" applyFont="1" applyFill="1" applyBorder="1" applyAlignment="1" applyProtection="1">
      <alignment horizontal="center"/>
      <protection locked="0"/>
    </xf>
    <xf numFmtId="20" fontId="2" fillId="4" borderId="75" xfId="2" applyNumberFormat="1" applyFont="1" applyFill="1" applyBorder="1" applyAlignment="1" applyProtection="1">
      <alignment horizontal="center"/>
      <protection locked="0"/>
    </xf>
    <xf numFmtId="0" fontId="39" fillId="0" borderId="76" xfId="2" applyFont="1" applyBorder="1" applyAlignment="1">
      <alignment horizontal="left"/>
    </xf>
    <xf numFmtId="0" fontId="3" fillId="20" borderId="0" xfId="0" applyFont="1" applyFill="1" applyAlignment="1">
      <alignment horizontal="center"/>
    </xf>
    <xf numFmtId="0" fontId="2" fillId="12" borderId="15" xfId="0" applyFont="1" applyFill="1" applyBorder="1" applyAlignment="1" applyProtection="1">
      <alignment horizontal="center"/>
      <protection hidden="1"/>
    </xf>
    <xf numFmtId="0" fontId="32" fillId="13" borderId="1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/>
      <protection hidden="1"/>
    </xf>
    <xf numFmtId="0" fontId="2" fillId="4" borderId="34" xfId="2" applyFont="1" applyFill="1" applyBorder="1" applyAlignment="1" applyProtection="1">
      <alignment horizontal="center" vertical="center"/>
      <protection locked="0"/>
    </xf>
    <xf numFmtId="0" fontId="2" fillId="4" borderId="14" xfId="2" applyFont="1" applyFill="1" applyBorder="1" applyAlignment="1" applyProtection="1">
      <alignment horizontal="center" vertical="center"/>
      <protection locked="0"/>
    </xf>
    <xf numFmtId="0" fontId="14" fillId="8" borderId="85" xfId="0" applyFont="1" applyFill="1" applyBorder="1" applyAlignment="1" applyProtection="1">
      <alignment horizontal="center" vertical="center"/>
      <protection hidden="1"/>
    </xf>
    <xf numFmtId="0" fontId="14" fillId="8" borderId="43" xfId="0" applyFont="1" applyFill="1" applyBorder="1" applyAlignment="1" applyProtection="1">
      <alignment horizontal="center" vertical="center"/>
      <protection hidden="1"/>
    </xf>
    <xf numFmtId="0" fontId="2" fillId="10" borderId="2" xfId="2" applyFont="1" applyFill="1" applyBorder="1" applyAlignment="1" applyProtection="1">
      <alignment horizontal="center" vertical="center"/>
      <protection hidden="1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4" borderId="2" xfId="2" applyFont="1" applyFill="1" applyBorder="1" applyAlignment="1" applyProtection="1">
      <alignment horizontal="center" vertical="center"/>
      <protection locked="0"/>
    </xf>
    <xf numFmtId="0" fontId="2" fillId="12" borderId="66" xfId="0" applyFont="1" applyFill="1" applyBorder="1" applyAlignment="1" applyProtection="1">
      <alignment horizontal="center"/>
      <protection hidden="1"/>
    </xf>
    <xf numFmtId="0" fontId="2" fillId="12" borderId="86" xfId="0" applyFont="1" applyFill="1" applyBorder="1" applyAlignment="1" applyProtection="1">
      <alignment horizontal="center"/>
      <protection hidden="1"/>
    </xf>
    <xf numFmtId="0" fontId="11" fillId="8" borderId="87" xfId="0" applyFont="1" applyFill="1" applyBorder="1" applyAlignment="1" applyProtection="1">
      <alignment horizontal="center" vertical="center"/>
      <protection hidden="1"/>
    </xf>
    <xf numFmtId="0" fontId="11" fillId="8" borderId="68" xfId="0" applyFont="1" applyFill="1" applyBorder="1" applyAlignment="1" applyProtection="1">
      <alignment horizontal="center" vertical="center"/>
      <protection hidden="1"/>
    </xf>
    <xf numFmtId="0" fontId="12" fillId="8" borderId="88" xfId="0" applyFont="1" applyFill="1" applyBorder="1" applyAlignment="1" applyProtection="1">
      <alignment horizontal="center" vertical="center"/>
      <protection hidden="1"/>
    </xf>
    <xf numFmtId="0" fontId="12" fillId="8" borderId="16" xfId="0" applyFont="1" applyFill="1" applyBorder="1" applyAlignment="1" applyProtection="1">
      <alignment horizontal="center" vertical="center"/>
      <protection hidden="1"/>
    </xf>
    <xf numFmtId="0" fontId="11" fillId="8" borderId="89" xfId="0" applyFont="1" applyFill="1" applyBorder="1" applyAlignment="1" applyProtection="1">
      <alignment horizontal="center" vertical="center"/>
      <protection hidden="1"/>
    </xf>
    <xf numFmtId="0" fontId="11" fillId="8" borderId="15" xfId="0" applyFont="1" applyFill="1" applyBorder="1" applyAlignment="1" applyProtection="1">
      <alignment horizontal="center" vertical="center"/>
      <protection hidden="1"/>
    </xf>
    <xf numFmtId="0" fontId="36" fillId="8" borderId="90" xfId="0" applyFont="1" applyFill="1" applyBorder="1" applyAlignment="1" applyProtection="1">
      <alignment horizontal="center" vertical="center"/>
      <protection hidden="1"/>
    </xf>
    <xf numFmtId="0" fontId="36" fillId="8" borderId="91" xfId="0" applyFont="1" applyFill="1" applyBorder="1" applyAlignment="1" applyProtection="1">
      <alignment horizontal="center" vertical="center"/>
      <protection hidden="1"/>
    </xf>
    <xf numFmtId="0" fontId="2" fillId="13" borderId="92" xfId="0" applyFont="1" applyFill="1" applyBorder="1" applyAlignment="1" applyProtection="1">
      <alignment horizontal="center" vertical="center"/>
      <protection locked="0"/>
    </xf>
    <xf numFmtId="0" fontId="2" fillId="13" borderId="93" xfId="0" applyFont="1" applyFill="1" applyBorder="1" applyAlignment="1" applyProtection="1">
      <alignment horizontal="center" vertical="center"/>
      <protection locked="0"/>
    </xf>
    <xf numFmtId="164" fontId="2" fillId="13" borderId="46" xfId="0" applyNumberFormat="1" applyFont="1" applyFill="1" applyBorder="1" applyAlignment="1">
      <alignment horizontal="center" vertical="center"/>
    </xf>
    <xf numFmtId="168" fontId="2" fillId="13" borderId="15" xfId="0" applyNumberFormat="1" applyFont="1" applyFill="1" applyBorder="1" applyAlignment="1" applyProtection="1">
      <alignment horizontal="center" vertical="center"/>
      <protection locked="0"/>
    </xf>
    <xf numFmtId="167" fontId="2" fillId="13" borderId="15" xfId="0" applyNumberFormat="1" applyFont="1" applyFill="1" applyBorder="1" applyAlignment="1" applyProtection="1">
      <alignment horizontal="center" vertical="center"/>
      <protection locked="0"/>
    </xf>
    <xf numFmtId="0" fontId="2" fillId="13" borderId="94" xfId="0" applyFont="1" applyFill="1" applyBorder="1" applyAlignment="1">
      <alignment horizontal="center"/>
    </xf>
    <xf numFmtId="0" fontId="2" fillId="13" borderId="93" xfId="0" applyFont="1" applyFill="1" applyBorder="1" applyAlignment="1">
      <alignment horizontal="center"/>
    </xf>
    <xf numFmtId="166" fontId="2" fillId="17" borderId="46" xfId="0" applyNumberFormat="1" applyFont="1" applyFill="1" applyBorder="1" applyAlignment="1">
      <alignment horizontal="center" vertical="center"/>
    </xf>
    <xf numFmtId="0" fontId="36" fillId="8" borderId="95" xfId="0" applyFont="1" applyFill="1" applyBorder="1" applyAlignment="1" applyProtection="1">
      <alignment horizontal="center" vertical="center"/>
      <protection hidden="1"/>
    </xf>
    <xf numFmtId="0" fontId="36" fillId="8" borderId="96" xfId="0" applyFont="1" applyFill="1" applyBorder="1" applyAlignment="1" applyProtection="1">
      <alignment horizontal="center" vertical="center"/>
      <protection hidden="1"/>
    </xf>
    <xf numFmtId="0" fontId="2" fillId="8" borderId="97" xfId="0" applyFont="1" applyFill="1" applyBorder="1" applyAlignment="1" applyProtection="1">
      <alignment horizontal="center" vertical="center"/>
      <protection hidden="1"/>
    </xf>
    <xf numFmtId="0" fontId="36" fillId="8" borderId="98" xfId="0" applyFont="1" applyFill="1" applyBorder="1" applyAlignment="1" applyProtection="1">
      <alignment horizontal="center" vertical="center"/>
      <protection hidden="1"/>
    </xf>
    <xf numFmtId="0" fontId="14" fillId="8" borderId="15" xfId="0" applyFont="1" applyFill="1" applyBorder="1" applyAlignment="1" applyProtection="1">
      <alignment horizontal="center" vertical="center"/>
      <protection hidden="1"/>
    </xf>
    <xf numFmtId="0" fontId="12" fillId="8" borderId="17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20" xfId="0" applyFill="1" applyBorder="1" applyAlignment="1" applyProtection="1">
      <alignment horizontal="center"/>
      <protection locked="0"/>
    </xf>
    <xf numFmtId="0" fontId="0" fillId="30" borderId="21" xfId="0" applyFill="1" applyBorder="1" applyAlignment="1" applyProtection="1">
      <alignment horizontal="center"/>
      <protection locked="0"/>
    </xf>
    <xf numFmtId="0" fontId="0" fillId="30" borderId="23" xfId="0" applyFill="1" applyBorder="1" applyAlignment="1" applyProtection="1">
      <alignment horizontal="center"/>
      <protection locked="0"/>
    </xf>
    <xf numFmtId="0" fontId="0" fillId="30" borderId="19" xfId="0" applyFill="1" applyBorder="1" applyAlignment="1">
      <alignment horizontal="center"/>
    </xf>
    <xf numFmtId="0" fontId="0" fillId="30" borderId="20" xfId="0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30" borderId="19" xfId="0" applyFill="1" applyBorder="1" applyAlignment="1" applyProtection="1">
      <alignment horizontal="center"/>
      <protection locked="0"/>
    </xf>
    <xf numFmtId="0" fontId="0" fillId="30" borderId="20" xfId="0" applyFill="1" applyBorder="1" applyAlignment="1" applyProtection="1">
      <alignment horizontal="center"/>
      <protection locked="0"/>
    </xf>
    <xf numFmtId="0" fontId="0" fillId="0" borderId="33" xfId="0" applyBorder="1" applyAlignment="1">
      <alignment horizontal="center"/>
    </xf>
    <xf numFmtId="0" fontId="0" fillId="28" borderId="31" xfId="0" applyFill="1" applyBorder="1" applyAlignment="1">
      <alignment horizontal="center"/>
    </xf>
    <xf numFmtId="0" fontId="0" fillId="28" borderId="32" xfId="0" applyFill="1" applyBorder="1" applyAlignment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30" borderId="21" xfId="0" applyFill="1" applyBorder="1" applyAlignment="1">
      <alignment horizontal="center"/>
    </xf>
    <xf numFmtId="0" fontId="0" fillId="30" borderId="23" xfId="0" applyFill="1" applyBorder="1" applyAlignment="1">
      <alignment horizontal="center"/>
    </xf>
    <xf numFmtId="2" fontId="0" fillId="22" borderId="53" xfId="0" applyNumberFormat="1" applyFill="1" applyBorder="1" applyAlignment="1">
      <alignment horizontal="center"/>
    </xf>
    <xf numFmtId="2" fontId="0" fillId="22" borderId="65" xfId="0" applyNumberFormat="1" applyFill="1" applyBorder="1" applyAlignment="1">
      <alignment horizontal="center"/>
    </xf>
    <xf numFmtId="2" fontId="0" fillId="22" borderId="11" xfId="0" applyNumberFormat="1" applyFill="1" applyBorder="1" applyAlignment="1">
      <alignment horizontal="center"/>
    </xf>
    <xf numFmtId="2" fontId="0" fillId="22" borderId="54" xfId="0" applyNumberFormat="1" applyFill="1" applyBorder="1" applyAlignment="1">
      <alignment horizontal="center"/>
    </xf>
    <xf numFmtId="0" fontId="0" fillId="22" borderId="99" xfId="0" applyFill="1" applyBorder="1" applyAlignment="1">
      <alignment horizontal="center"/>
    </xf>
    <xf numFmtId="0" fontId="0" fillId="22" borderId="100" xfId="0" applyFill="1" applyBorder="1" applyAlignment="1">
      <alignment horizontal="center"/>
    </xf>
    <xf numFmtId="0" fontId="0" fillId="22" borderId="101" xfId="0" applyFill="1" applyBorder="1" applyAlignment="1">
      <alignment horizontal="center"/>
    </xf>
    <xf numFmtId="2" fontId="0" fillId="22" borderId="52" xfId="0" applyNumberFormat="1" applyFill="1" applyBorder="1" applyAlignment="1">
      <alignment horizontal="center"/>
    </xf>
    <xf numFmtId="194" fontId="2" fillId="13" borderId="46" xfId="0" applyNumberFormat="1" applyFont="1" applyFill="1" applyBorder="1" applyAlignment="1">
      <alignment horizontal="center" vertical="center"/>
    </xf>
    <xf numFmtId="195" fontId="2" fillId="17" borderId="15" xfId="0" applyNumberFormat="1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46" xfId="0" applyFont="1" applyFill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165" fontId="2" fillId="0" borderId="33" xfId="0" applyNumberFormat="1" applyFont="1" applyBorder="1" applyAlignment="1">
      <alignment horizontal="center" vertical="center"/>
    </xf>
    <xf numFmtId="165" fontId="2" fillId="0" borderId="32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5" fontId="2" fillId="0" borderId="22" xfId="0" applyNumberFormat="1" applyFont="1" applyBorder="1" applyAlignment="1">
      <alignment horizontal="center" vertical="center"/>
    </xf>
    <xf numFmtId="175" fontId="2" fillId="0" borderId="23" xfId="0" applyNumberFormat="1" applyFont="1" applyBorder="1" applyAlignment="1">
      <alignment horizontal="center" vertical="center"/>
    </xf>
  </cellXfs>
  <cellStyles count="3">
    <cellStyle name="Lien hypertexte" xfId="1" builtinId="8"/>
    <cellStyle name="Normal" xfId="0" builtinId="0"/>
    <cellStyle name="Normal 2" xfId="2" xr:uid="{84631061-BD5E-FA4B-A480-657850535639}"/>
  </cellStyles>
  <dxfs count="54"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indexed="42"/>
          <bgColor rgb="FFFFFFCC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7"/>
          <bgColor rgb="FFFFCCFF"/>
        </patternFill>
      </fill>
    </dxf>
    <dxf>
      <font>
        <color rgb="FFFF0000"/>
      </font>
    </dxf>
    <dxf>
      <font>
        <color rgb="FF808080"/>
      </font>
    </dxf>
    <dxf>
      <fill>
        <patternFill>
          <bgColor indexed="10"/>
        </patternFill>
      </fill>
    </dxf>
    <dxf>
      <fill>
        <patternFill patternType="solid">
          <fgColor indexed="53"/>
          <bgColor rgb="FFFF0000"/>
        </patternFill>
      </fill>
    </dxf>
    <dxf>
      <fill>
        <patternFill patternType="solid">
          <fgColor indexed="60"/>
          <bgColor indexed="10"/>
        </patternFill>
      </fill>
    </dxf>
    <dxf>
      <fill>
        <patternFill>
          <bgColor rgb="FFFF0000"/>
        </patternFill>
      </fill>
    </dxf>
    <dxf>
      <font>
        <color rgb="FFCCFFFF"/>
      </font>
    </dxf>
    <dxf>
      <font>
        <color rgb="FFCC6600"/>
      </font>
    </dxf>
    <dxf>
      <font>
        <color rgb="FFCC6600"/>
      </font>
    </dxf>
    <dxf>
      <fill>
        <patternFill>
          <bgColor rgb="FFFF0000"/>
        </patternFill>
      </fill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bottom/>
      </border>
    </dxf>
    <dxf>
      <font>
        <color rgb="FF99CCFF"/>
      </font>
    </dxf>
    <dxf>
      <fill>
        <patternFill>
          <bgColor indexed="10"/>
        </patternFill>
      </fill>
    </dxf>
    <dxf>
      <font>
        <color theme="0"/>
      </font>
      <fill>
        <patternFill>
          <bgColor theme="0"/>
        </patternFill>
      </fill>
      <border>
        <right/>
        <top/>
        <bottom/>
      </border>
    </dxf>
    <dxf>
      <font>
        <color indexed="9"/>
      </font>
      <fill>
        <patternFill patternType="solid">
          <bgColor indexed="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solid">
          <bgColor theme="0"/>
        </patternFill>
      </fill>
      <border>
        <right/>
        <bottom/>
      </border>
    </dxf>
    <dxf>
      <fill>
        <patternFill patternType="solid">
          <fgColor indexed="60"/>
          <bgColor indexed="10"/>
        </patternFill>
      </fill>
    </dxf>
    <dxf>
      <font>
        <color rgb="FFFFFF99"/>
        <name val="Cambria"/>
        <scheme val="none"/>
      </font>
    </dxf>
    <dxf>
      <font>
        <color rgb="FFFFCC99"/>
      </font>
    </dxf>
    <dxf>
      <font>
        <color rgb="FF808080"/>
      </font>
    </dxf>
    <dxf>
      <font>
        <color theme="0"/>
      </font>
      <fill>
        <patternFill>
          <bgColor theme="0"/>
        </patternFill>
      </fill>
      <border>
        <left/>
        <right/>
        <bottom/>
      </border>
    </dxf>
    <dxf>
      <font>
        <color rgb="FFFF0000"/>
      </font>
    </dxf>
    <dxf>
      <font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theme="1"/>
      </font>
    </dxf>
    <dxf>
      <font>
        <color rgb="FFCC6600"/>
      </font>
    </dxf>
    <dxf>
      <font>
        <color rgb="FFFF0000"/>
      </font>
    </dxf>
    <dxf>
      <font>
        <color rgb="FFCC6600"/>
      </font>
    </dxf>
    <dxf>
      <font>
        <color theme="0"/>
      </font>
      <fill>
        <patternFill patternType="none">
          <bgColor indexed="65"/>
        </patternFill>
      </fill>
      <border>
        <left/>
        <right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3CAFF"/>
      <rgbColor rgb="00993366"/>
      <rgbColor rgb="00E6E6E6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970566137003713E-2"/>
          <c:y val="6.4690026954178165E-2"/>
          <c:w val="0.84871001627006726"/>
          <c:h val="0.90566037735849292"/>
        </c:manualLayout>
      </c:layout>
      <c:scatterChart>
        <c:scatterStyle val="lineMarker"/>
        <c:varyColors val="0"/>
        <c:ser>
          <c:idx val="0"/>
          <c:order val="0"/>
          <c:tx>
            <c:v>fuselage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Stabilito!$D$124:$D$131</c:f>
              <c:numCache>
                <c:formatCode>0</c:formatCode>
                <c:ptCount val="8"/>
                <c:pt idx="0">
                  <c:v>0</c:v>
                </c:pt>
                <c:pt idx="1">
                  <c:v>42</c:v>
                </c:pt>
                <c:pt idx="2">
                  <c:v>42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0</c:v>
                </c:pt>
              </c:numCache>
            </c:numRef>
          </c:xVal>
          <c:yVal>
            <c:numRef>
              <c:f>Stabilito!$C$124:$C$131</c:f>
              <c:numCache>
                <c:formatCode>0</c:formatCode>
                <c:ptCount val="8"/>
                <c:pt idx="0">
                  <c:v>-275</c:v>
                </c:pt>
                <c:pt idx="1">
                  <c:v>-275</c:v>
                </c:pt>
                <c:pt idx="2">
                  <c:v>-1035</c:v>
                </c:pt>
                <c:pt idx="3">
                  <c:v>-1110</c:v>
                </c:pt>
                <c:pt idx="4">
                  <c:v>-1942</c:v>
                </c:pt>
                <c:pt idx="5">
                  <c:v>-1992</c:v>
                </c:pt>
                <c:pt idx="6">
                  <c:v>-1992</c:v>
                </c:pt>
                <c:pt idx="7">
                  <c:v>-1992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E-8D4F-A848-A4470DE867AA}"/>
            </c:ext>
          </c:extLst>
        </c:ser>
        <c:ser>
          <c:idx val="1"/>
          <c:order val="1"/>
          <c:tx>
            <c:v>aileron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Stabilito!$D$132:$D$136</c:f>
              <c:numCache>
                <c:formatCode>0</c:formatCode>
                <c:ptCount val="5"/>
                <c:pt idx="0">
                  <c:v>52</c:v>
                </c:pt>
                <c:pt idx="1">
                  <c:v>182</c:v>
                </c:pt>
                <c:pt idx="2">
                  <c:v>182</c:v>
                </c:pt>
                <c:pt idx="3">
                  <c:v>52</c:v>
                </c:pt>
                <c:pt idx="4">
                  <c:v>52</c:v>
                </c:pt>
              </c:numCache>
            </c:numRef>
          </c:xVal>
          <c:yVal>
            <c:numRef>
              <c:f>Stabilito!$C$132:$C$136</c:f>
              <c:numCache>
                <c:formatCode>0</c:formatCode>
                <c:ptCount val="5"/>
                <c:pt idx="0">
                  <c:v>-1782</c:v>
                </c:pt>
                <c:pt idx="1">
                  <c:v>-1962</c:v>
                </c:pt>
                <c:pt idx="2">
                  <c:v>-2022</c:v>
                </c:pt>
                <c:pt idx="3">
                  <c:v>-1972</c:v>
                </c:pt>
                <c:pt idx="4">
                  <c:v>-1782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5E-8D4F-A848-A4470DE867AA}"/>
            </c:ext>
          </c:extLst>
        </c:ser>
        <c:ser>
          <c:idx val="2"/>
          <c:order val="2"/>
          <c:tx>
            <c:v>fuselage2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Stabilito!$E$124:$E$131</c:f>
              <c:numCache>
                <c:formatCode>0</c:formatCode>
                <c:ptCount val="8"/>
                <c:pt idx="0">
                  <c:v>0</c:v>
                </c:pt>
                <c:pt idx="1">
                  <c:v>-42</c:v>
                </c:pt>
                <c:pt idx="2">
                  <c:v>-42</c:v>
                </c:pt>
                <c:pt idx="3">
                  <c:v>-52</c:v>
                </c:pt>
                <c:pt idx="4">
                  <c:v>-52</c:v>
                </c:pt>
                <c:pt idx="5">
                  <c:v>-52</c:v>
                </c:pt>
                <c:pt idx="6">
                  <c:v>-52</c:v>
                </c:pt>
                <c:pt idx="7">
                  <c:v>0</c:v>
                </c:pt>
              </c:numCache>
            </c:numRef>
          </c:xVal>
          <c:yVal>
            <c:numRef>
              <c:f>Stabilito!$C$124:$C$131</c:f>
              <c:numCache>
                <c:formatCode>0</c:formatCode>
                <c:ptCount val="8"/>
                <c:pt idx="0">
                  <c:v>-275</c:v>
                </c:pt>
                <c:pt idx="1">
                  <c:v>-275</c:v>
                </c:pt>
                <c:pt idx="2">
                  <c:v>-1035</c:v>
                </c:pt>
                <c:pt idx="3">
                  <c:v>-1110</c:v>
                </c:pt>
                <c:pt idx="4">
                  <c:v>-1942</c:v>
                </c:pt>
                <c:pt idx="5">
                  <c:v>-1992</c:v>
                </c:pt>
                <c:pt idx="6">
                  <c:v>-1992</c:v>
                </c:pt>
                <c:pt idx="7">
                  <c:v>-1992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5E-8D4F-A848-A4470DE867AA}"/>
            </c:ext>
          </c:extLst>
        </c:ser>
        <c:ser>
          <c:idx val="3"/>
          <c:order val="3"/>
          <c:tx>
            <c:v>aileron2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Stabilito!$E$132:$E$136</c:f>
              <c:numCache>
                <c:formatCode>0</c:formatCode>
                <c:ptCount val="5"/>
                <c:pt idx="0">
                  <c:v>-52</c:v>
                </c:pt>
                <c:pt idx="1">
                  <c:v>-182</c:v>
                </c:pt>
                <c:pt idx="2">
                  <c:v>-182</c:v>
                </c:pt>
                <c:pt idx="3">
                  <c:v>-52</c:v>
                </c:pt>
                <c:pt idx="4">
                  <c:v>-52</c:v>
                </c:pt>
              </c:numCache>
            </c:numRef>
          </c:xVal>
          <c:yVal>
            <c:numRef>
              <c:f>Stabilito!$C$132:$C$136</c:f>
              <c:numCache>
                <c:formatCode>0</c:formatCode>
                <c:ptCount val="5"/>
                <c:pt idx="0">
                  <c:v>-1782</c:v>
                </c:pt>
                <c:pt idx="1">
                  <c:v>-1962</c:v>
                </c:pt>
                <c:pt idx="2">
                  <c:v>-2022</c:v>
                </c:pt>
                <c:pt idx="3">
                  <c:v>-1972</c:v>
                </c:pt>
                <c:pt idx="4">
                  <c:v>-1782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5E-8D4F-A848-A4470DE867AA}"/>
            </c:ext>
          </c:extLst>
        </c:ser>
        <c:ser>
          <c:idx val="4"/>
          <c:order val="4"/>
          <c:tx>
            <c:strRef>
              <c:f>Stabilito!$B$12</c:f>
              <c:strCache>
                <c:ptCount val="1"/>
                <c:pt idx="0">
                  <c:v>Centre de Masse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Stabilito!$D$149:$D$150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Stabilito!$C$149:$C$150</c:f>
              <c:numCache>
                <c:formatCode>0</c:formatCode>
                <c:ptCount val="2"/>
                <c:pt idx="0">
                  <c:v>-1142.7880301516668</c:v>
                </c:pt>
                <c:pt idx="1">
                  <c:v>-1018.5338148391332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5E-8D4F-A848-A4470DE867AA}"/>
            </c:ext>
          </c:extLst>
        </c:ser>
        <c:ser>
          <c:idx val="5"/>
          <c:order val="5"/>
          <c:tx>
            <c:strRef>
              <c:f>Stabilito!$F$28</c:f>
              <c:strCache>
                <c:ptCount val="1"/>
                <c:pt idx="0">
                  <c:v>Portance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8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Stabilito!$D$151:$D$154</c:f>
              <c:numCache>
                <c:formatCode>0</c:formatCode>
                <c:ptCount val="4"/>
                <c:pt idx="0">
                  <c:v>0</c:v>
                </c:pt>
                <c:pt idx="1">
                  <c:v>155.72630247752588</c:v>
                </c:pt>
                <c:pt idx="2">
                  <c:v>155.72630247752588</c:v>
                </c:pt>
                <c:pt idx="3">
                  <c:v>0</c:v>
                </c:pt>
              </c:numCache>
            </c:numRef>
          </c:xVal>
          <c:yVal>
            <c:numRef>
              <c:f>Stabilito!$C$151:$C$154</c:f>
              <c:numCache>
                <c:formatCode>0</c:formatCode>
                <c:ptCount val="4"/>
                <c:pt idx="0">
                  <c:v>-1407.0532667206064</c:v>
                </c:pt>
                <c:pt idx="1">
                  <c:v>-1407.0532667206064</c:v>
                </c:pt>
                <c:pt idx="2">
                  <c:v>-1407.0532667206064</c:v>
                </c:pt>
                <c:pt idx="3">
                  <c:v>-1407.0532667206064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5E-8D4F-A848-A4470DE867AA}"/>
            </c:ext>
          </c:extLst>
        </c:ser>
        <c:ser>
          <c:idx val="6"/>
          <c:order val="6"/>
          <c:tx>
            <c:v>canard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Stabilito!$D$158:$D$162</c:f>
              <c:numCache>
                <c:formatCode>0</c:formatCode>
                <c:ptCount val="5"/>
                <c:pt idx="0">
                  <c:v>52</c:v>
                </c:pt>
                <c:pt idx="1">
                  <c:v>182</c:v>
                </c:pt>
                <c:pt idx="2">
                  <c:v>182</c:v>
                </c:pt>
                <c:pt idx="3">
                  <c:v>52</c:v>
                </c:pt>
                <c:pt idx="4">
                  <c:v>52</c:v>
                </c:pt>
              </c:numCache>
            </c:numRef>
          </c:xVal>
          <c:yVal>
            <c:numRef>
              <c:f>Stabilito!$C$158:$C$162</c:f>
              <c:numCache>
                <c:formatCode>0</c:formatCode>
                <c:ptCount val="5"/>
                <c:pt idx="0">
                  <c:v>-845</c:v>
                </c:pt>
                <c:pt idx="1">
                  <c:v>-1025</c:v>
                </c:pt>
                <c:pt idx="2">
                  <c:v>-1085</c:v>
                </c:pt>
                <c:pt idx="3">
                  <c:v>-1035</c:v>
                </c:pt>
                <c:pt idx="4">
                  <c:v>-845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5E-8D4F-A848-A4470DE867AA}"/>
            </c:ext>
          </c:extLst>
        </c:ser>
        <c:ser>
          <c:idx val="7"/>
          <c:order val="7"/>
          <c:tx>
            <c:v>canard2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Stabilito!$E$158:$E$162</c:f>
              <c:numCache>
                <c:formatCode>0</c:formatCode>
                <c:ptCount val="5"/>
                <c:pt idx="0">
                  <c:v>-52</c:v>
                </c:pt>
                <c:pt idx="1">
                  <c:v>-182</c:v>
                </c:pt>
                <c:pt idx="2">
                  <c:v>-182</c:v>
                </c:pt>
                <c:pt idx="3">
                  <c:v>-52</c:v>
                </c:pt>
                <c:pt idx="4">
                  <c:v>-52</c:v>
                </c:pt>
              </c:numCache>
            </c:numRef>
          </c:xVal>
          <c:yVal>
            <c:numRef>
              <c:f>Stabilito!$C$158:$C$162</c:f>
              <c:numCache>
                <c:formatCode>0</c:formatCode>
                <c:ptCount val="5"/>
                <c:pt idx="0">
                  <c:v>-845</c:v>
                </c:pt>
                <c:pt idx="1">
                  <c:v>-1025</c:v>
                </c:pt>
                <c:pt idx="2">
                  <c:v>-1085</c:v>
                </c:pt>
                <c:pt idx="3">
                  <c:v>-1035</c:v>
                </c:pt>
                <c:pt idx="4">
                  <c:v>-845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5E-8D4F-A848-A4470DE867AA}"/>
            </c:ext>
          </c:extLst>
        </c:ser>
        <c:ser>
          <c:idx val="8"/>
          <c:order val="8"/>
          <c:tx>
            <c:v>masquage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Stabilito!$D$163:$D$167</c:f>
              <c:numCache>
                <c:formatCode>0</c:formatCode>
                <c:ptCount val="5"/>
                <c:pt idx="0">
                  <c:v>52</c:v>
                </c:pt>
                <c:pt idx="1">
                  <c:v>172</c:v>
                </c:pt>
                <c:pt idx="2">
                  <c:v>172</c:v>
                </c:pt>
                <c:pt idx="3">
                  <c:v>52</c:v>
                </c:pt>
                <c:pt idx="4">
                  <c:v>52</c:v>
                </c:pt>
              </c:numCache>
            </c:numRef>
          </c:xVal>
          <c:yVal>
            <c:numRef>
              <c:f>Stabilito!$C$163:$C$167</c:f>
              <c:numCache>
                <c:formatCode>0</c:formatCode>
                <c:ptCount val="5"/>
                <c:pt idx="0">
                  <c:v>-1782</c:v>
                </c:pt>
                <c:pt idx="1">
                  <c:v>-1948.1538461538462</c:v>
                </c:pt>
                <c:pt idx="2">
                  <c:v>-2018.1538461538462</c:v>
                </c:pt>
                <c:pt idx="3">
                  <c:v>-1972</c:v>
                </c:pt>
                <c:pt idx="4">
                  <c:v>-1782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C5E-8D4F-A848-A4470DE867AA}"/>
            </c:ext>
          </c:extLst>
        </c:ser>
        <c:ser>
          <c:idx val="9"/>
          <c:order val="9"/>
          <c:tx>
            <c:v>masquage2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Stabilito!$E$163:$E$167</c:f>
              <c:numCache>
                <c:formatCode>0</c:formatCode>
                <c:ptCount val="5"/>
                <c:pt idx="0">
                  <c:v>-52</c:v>
                </c:pt>
                <c:pt idx="1">
                  <c:v>-172</c:v>
                </c:pt>
                <c:pt idx="2">
                  <c:v>-172</c:v>
                </c:pt>
                <c:pt idx="3">
                  <c:v>-52</c:v>
                </c:pt>
                <c:pt idx="4">
                  <c:v>-52</c:v>
                </c:pt>
              </c:numCache>
            </c:numRef>
          </c:xVal>
          <c:yVal>
            <c:numRef>
              <c:f>Stabilito!$C$163:$C$167</c:f>
              <c:numCache>
                <c:formatCode>0</c:formatCode>
                <c:ptCount val="5"/>
                <c:pt idx="0">
                  <c:v>-1782</c:v>
                </c:pt>
                <c:pt idx="1">
                  <c:v>-1948.1538461538462</c:v>
                </c:pt>
                <c:pt idx="2">
                  <c:v>-2018.1538461538462</c:v>
                </c:pt>
                <c:pt idx="3">
                  <c:v>-1972</c:v>
                </c:pt>
                <c:pt idx="4">
                  <c:v>-1782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C5E-8D4F-A848-A4470DE867AA}"/>
            </c:ext>
          </c:extLst>
        </c:ser>
        <c:ser>
          <c:idx val="10"/>
          <c:order val="10"/>
          <c:tx>
            <c:v>cadre</c:v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none"/>
          </c:marker>
          <c:xVal>
            <c:numRef>
              <c:f>Stabilito!$D$168:$D$169</c:f>
              <c:numCache>
                <c:formatCode>0</c:formatCode>
                <c:ptCount val="2"/>
                <c:pt idx="0">
                  <c:v>664</c:v>
                </c:pt>
                <c:pt idx="1">
                  <c:v>-664</c:v>
                </c:pt>
              </c:numCache>
            </c:numRef>
          </c:xVal>
          <c:yVal>
            <c:numRef>
              <c:f>Stabilito!$C$168:$C$169</c:f>
              <c:numCache>
                <c:formatCode>0</c:formatCode>
                <c:ptCount val="2"/>
                <c:pt idx="0">
                  <c:v>-2042.22</c:v>
                </c:pt>
                <c:pt idx="1">
                  <c:v>-2042.22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C5E-8D4F-A848-A4470DE867AA}"/>
            </c:ext>
          </c:extLst>
        </c:ser>
        <c:ser>
          <c:idx val="11"/>
          <c:order val="11"/>
          <c:tx>
            <c:v>Propu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Stabilito!$D$170:$D$174</c:f>
              <c:numCache>
                <c:formatCode>0</c:formatCode>
                <c:ptCount val="5"/>
                <c:pt idx="0">
                  <c:v>-37.5</c:v>
                </c:pt>
                <c:pt idx="1">
                  <c:v>37.5</c:v>
                </c:pt>
                <c:pt idx="2">
                  <c:v>37.5</c:v>
                </c:pt>
                <c:pt idx="3">
                  <c:v>-37.5</c:v>
                </c:pt>
                <c:pt idx="4">
                  <c:v>-37.5</c:v>
                </c:pt>
              </c:numCache>
            </c:numRef>
          </c:xVal>
          <c:yVal>
            <c:numRef>
              <c:f>Stabilito!$C$170:$C$174</c:f>
              <c:numCache>
                <c:formatCode>0</c:formatCode>
                <c:ptCount val="5"/>
                <c:pt idx="0">
                  <c:v>-1506</c:v>
                </c:pt>
                <c:pt idx="1">
                  <c:v>-1506</c:v>
                </c:pt>
                <c:pt idx="2">
                  <c:v>-1992</c:v>
                </c:pt>
                <c:pt idx="3">
                  <c:v>-1992</c:v>
                </c:pt>
                <c:pt idx="4">
                  <c:v>-1506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C5E-8D4F-A848-A4470DE867AA}"/>
            </c:ext>
          </c:extLst>
        </c:ser>
        <c:ser>
          <c:idx val="12"/>
          <c:order val="12"/>
          <c:tx>
            <c:v>Cone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Stabilito!$D$175:$D$180</c:f>
              <c:numCache>
                <c:formatCode>0</c:formatCode>
                <c:ptCount val="6"/>
                <c:pt idx="0">
                  <c:v>0</c:v>
                </c:pt>
                <c:pt idx="1">
                  <c:v>4.2</c:v>
                </c:pt>
                <c:pt idx="2">
                  <c:v>10.5</c:v>
                </c:pt>
                <c:pt idx="3">
                  <c:v>21</c:v>
                </c:pt>
                <c:pt idx="4">
                  <c:v>31.5</c:v>
                </c:pt>
                <c:pt idx="5">
                  <c:v>42</c:v>
                </c:pt>
              </c:numCache>
            </c:numRef>
          </c:xVal>
          <c:yVal>
            <c:numRef>
              <c:f>Stabilito!$C$175:$C$180</c:f>
              <c:numCache>
                <c:formatCode>0</c:formatCode>
                <c:ptCount val="6"/>
                <c:pt idx="0">
                  <c:v>0</c:v>
                </c:pt>
                <c:pt idx="1">
                  <c:v>-27.5</c:v>
                </c:pt>
                <c:pt idx="2">
                  <c:v>-68.75</c:v>
                </c:pt>
                <c:pt idx="3">
                  <c:v>-137.5</c:v>
                </c:pt>
                <c:pt idx="4">
                  <c:v>-206.25</c:v>
                </c:pt>
                <c:pt idx="5">
                  <c:v>-275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C5E-8D4F-A848-A4470DE867AA}"/>
            </c:ext>
          </c:extLst>
        </c:ser>
        <c:ser>
          <c:idx val="13"/>
          <c:order val="13"/>
          <c:tx>
            <c:v>Cone1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Stabilito!$E$175:$E$180</c:f>
              <c:numCache>
                <c:formatCode>0</c:formatCode>
                <c:ptCount val="6"/>
                <c:pt idx="0">
                  <c:v>0</c:v>
                </c:pt>
                <c:pt idx="1">
                  <c:v>-4.2</c:v>
                </c:pt>
                <c:pt idx="2">
                  <c:v>-10.5</c:v>
                </c:pt>
                <c:pt idx="3">
                  <c:v>-21</c:v>
                </c:pt>
                <c:pt idx="4">
                  <c:v>-31.5</c:v>
                </c:pt>
                <c:pt idx="5">
                  <c:v>-42</c:v>
                </c:pt>
              </c:numCache>
            </c:numRef>
          </c:xVal>
          <c:yVal>
            <c:numRef>
              <c:f>Stabilito!$C$175:$C$180</c:f>
              <c:numCache>
                <c:formatCode>0</c:formatCode>
                <c:ptCount val="6"/>
                <c:pt idx="0">
                  <c:v>0</c:v>
                </c:pt>
                <c:pt idx="1">
                  <c:v>-27.5</c:v>
                </c:pt>
                <c:pt idx="2">
                  <c:v>-68.75</c:v>
                </c:pt>
                <c:pt idx="3">
                  <c:v>-137.5</c:v>
                </c:pt>
                <c:pt idx="4">
                  <c:v>-206.25</c:v>
                </c:pt>
                <c:pt idx="5">
                  <c:v>-275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C5E-8D4F-A848-A4470DE867AA}"/>
            </c:ext>
          </c:extLst>
        </c:ser>
        <c:ser>
          <c:idx val="14"/>
          <c:order val="14"/>
          <c:tx>
            <c:strRef>
              <c:f>Stabilito!$B$137</c:f>
              <c:strCache>
                <c:ptCount val="1"/>
                <c:pt idx="0">
                  <c:v>Envergure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Stabilito!$D$137:$D$139</c:f>
              <c:numCache>
                <c:formatCode>0</c:formatCode>
                <c:ptCount val="3"/>
                <c:pt idx="0">
                  <c:v>-182</c:v>
                </c:pt>
                <c:pt idx="1">
                  <c:v>-117</c:v>
                </c:pt>
                <c:pt idx="2">
                  <c:v>-52</c:v>
                </c:pt>
              </c:numCache>
            </c:numRef>
          </c:xVal>
          <c:yVal>
            <c:numRef>
              <c:f>Stabilito!$C$137:$C$139</c:f>
              <c:numCache>
                <c:formatCode>0</c:formatCode>
                <c:ptCount val="3"/>
                <c:pt idx="0">
                  <c:v>-2088.4</c:v>
                </c:pt>
                <c:pt idx="1">
                  <c:v>-2088.4</c:v>
                </c:pt>
                <c:pt idx="2">
                  <c:v>-2088.4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C5E-8D4F-A848-A4470DE867AA}"/>
            </c:ext>
          </c:extLst>
        </c:ser>
        <c:ser>
          <c:idx val="15"/>
          <c:order val="15"/>
          <c:tx>
            <c:strRef>
              <c:f>Stabilito!$B$143</c:f>
              <c:strCache>
                <c:ptCount val="1"/>
                <c:pt idx="0">
                  <c:v>Flèche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Stabilito!$D$143:$D$145</c:f>
              <c:numCache>
                <c:formatCode>0</c:formatCode>
                <c:ptCount val="3"/>
                <c:pt idx="0">
                  <c:v>-248.4</c:v>
                </c:pt>
                <c:pt idx="1">
                  <c:v>-248.4</c:v>
                </c:pt>
                <c:pt idx="2">
                  <c:v>-248.4</c:v>
                </c:pt>
              </c:numCache>
            </c:numRef>
          </c:xVal>
          <c:yVal>
            <c:numRef>
              <c:f>Stabilito!$C$143:$C$145</c:f>
              <c:numCache>
                <c:formatCode>0</c:formatCode>
                <c:ptCount val="3"/>
                <c:pt idx="0">
                  <c:v>-1782</c:v>
                </c:pt>
                <c:pt idx="1">
                  <c:v>-1872</c:v>
                </c:pt>
                <c:pt idx="2">
                  <c:v>-1962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C5E-8D4F-A848-A4470DE867AA}"/>
            </c:ext>
          </c:extLst>
        </c:ser>
        <c:ser>
          <c:idx val="16"/>
          <c:order val="16"/>
          <c:tx>
            <c:strRef>
              <c:f>Stabilito!$B$146</c:f>
              <c:strCache>
                <c:ptCount val="1"/>
                <c:pt idx="0">
                  <c:v>Saumon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Stabilito!$D$146:$D$148</c:f>
              <c:numCache>
                <c:formatCode>0</c:formatCode>
                <c:ptCount val="3"/>
                <c:pt idx="0">
                  <c:v>-281.60000000000002</c:v>
                </c:pt>
                <c:pt idx="1">
                  <c:v>-281.60000000000002</c:v>
                </c:pt>
                <c:pt idx="2">
                  <c:v>-281.60000000000002</c:v>
                </c:pt>
              </c:numCache>
            </c:numRef>
          </c:xVal>
          <c:yVal>
            <c:numRef>
              <c:f>Stabilito!$C$146:$C$148</c:f>
              <c:numCache>
                <c:formatCode>0</c:formatCode>
                <c:ptCount val="3"/>
                <c:pt idx="0">
                  <c:v>-1962</c:v>
                </c:pt>
                <c:pt idx="1">
                  <c:v>-1992</c:v>
                </c:pt>
                <c:pt idx="2">
                  <c:v>-2022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C5E-8D4F-A848-A4470DE867AA}"/>
            </c:ext>
          </c:extLst>
        </c:ser>
        <c:ser>
          <c:idx val="17"/>
          <c:order val="17"/>
          <c:tx>
            <c:strRef>
              <c:f>Stabilito!$B$140</c:f>
              <c:strCache>
                <c:ptCount val="1"/>
                <c:pt idx="0">
                  <c:v>Emplanture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Stabilito!$D$140:$D$142</c:f>
              <c:numCache>
                <c:formatCode>0</c:formatCode>
                <c:ptCount val="3"/>
                <c:pt idx="0">
                  <c:v>281.60000000000002</c:v>
                </c:pt>
                <c:pt idx="1">
                  <c:v>281.60000000000002</c:v>
                </c:pt>
                <c:pt idx="2">
                  <c:v>281.60000000000002</c:v>
                </c:pt>
              </c:numCache>
            </c:numRef>
          </c:xVal>
          <c:yVal>
            <c:numRef>
              <c:f>Stabilito!$C$140:$C$142</c:f>
              <c:numCache>
                <c:formatCode>0</c:formatCode>
                <c:ptCount val="3"/>
                <c:pt idx="0">
                  <c:v>-1782</c:v>
                </c:pt>
                <c:pt idx="1">
                  <c:v>-1877</c:v>
                </c:pt>
                <c:pt idx="2">
                  <c:v>-1972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C5E-8D4F-A848-A4470DE867AA}"/>
            </c:ext>
          </c:extLst>
        </c:ser>
        <c:ser>
          <c:idx val="18"/>
          <c:order val="18"/>
          <c:tx>
            <c:strRef>
              <c:f>Stabilito!$B$155</c:f>
              <c:strCache>
                <c:ptCount val="1"/>
                <c:pt idx="0">
                  <c:v>Marge Statique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Stabilito!$D$155:$D$157</c:f>
              <c:numCache>
                <c:formatCode>0</c:formatCode>
                <c:ptCount val="3"/>
                <c:pt idx="0">
                  <c:v>-281.60000000000002</c:v>
                </c:pt>
                <c:pt idx="1">
                  <c:v>-281.60000000000002</c:v>
                </c:pt>
                <c:pt idx="2">
                  <c:v>-281.60000000000002</c:v>
                </c:pt>
              </c:numCache>
            </c:numRef>
          </c:xVal>
          <c:yVal>
            <c:numRef>
              <c:f>Stabilito!$C$155:$C$157</c:f>
              <c:numCache>
                <c:formatCode>0</c:formatCode>
                <c:ptCount val="3"/>
                <c:pt idx="0">
                  <c:v>-1080.6609224954</c:v>
                </c:pt>
                <c:pt idx="1">
                  <c:v>-1243.8570946080031</c:v>
                </c:pt>
                <c:pt idx="2">
                  <c:v>-1407.0532667206064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C5E-8D4F-A848-A4470DE86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155984"/>
        <c:axId val="1"/>
      </c:scatterChart>
      <c:valAx>
        <c:axId val="1806155984"/>
        <c:scaling>
          <c:orientation val="minMax"/>
        </c:scaling>
        <c:delete val="0"/>
        <c:axPos val="t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max"/>
        <c:crossBetween val="midCat"/>
      </c:valAx>
      <c:valAx>
        <c:axId val="1"/>
        <c:scaling>
          <c:orientation val="minMax"/>
          <c:max val="0"/>
          <c:min val="-2100"/>
        </c:scaling>
        <c:delete val="0"/>
        <c:axPos val="r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6155984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89" footer="0.49212598450000089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Abaco!$B$75</c:f>
          <c:strCache>
            <c:ptCount val="1"/>
            <c:pt idx="0">
              <c:v>Vitesse max / Masse totale</c:v>
            </c:pt>
          </c:strCache>
        </c:strRef>
      </c:tx>
      <c:layout>
        <c:manualLayout>
          <c:xMode val="edge"/>
          <c:yMode val="edge"/>
          <c:x val="0.32580555555555557"/>
          <c:y val="3.2407484861159096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3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75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3.5110000000000001</c:v>
                </c:pt>
                <c:pt idx="1">
                  <c:v>5.3860000000000001</c:v>
                </c:pt>
                <c:pt idx="2">
                  <c:v>7.2610000000000001</c:v>
                </c:pt>
                <c:pt idx="3">
                  <c:v>9.1359999999999992</c:v>
                </c:pt>
                <c:pt idx="4">
                  <c:v>11.010999999999999</c:v>
                </c:pt>
                <c:pt idx="5">
                  <c:v>12.885999999999999</c:v>
                </c:pt>
                <c:pt idx="6">
                  <c:v>14.760999999999999</c:v>
                </c:pt>
                <c:pt idx="7">
                  <c:v>16.635999999999999</c:v>
                </c:pt>
                <c:pt idx="8">
                  <c:v>18.510999999999999</c:v>
                </c:pt>
              </c:numCache>
            </c:numRef>
          </c:xVal>
          <c:yVal>
            <c:numRef>
              <c:f>Abaco!$K$41:$K$49</c:f>
              <c:numCache>
                <c:formatCode>General" m/s"</c:formatCode>
                <c:ptCount val="9"/>
                <c:pt idx="0">
                  <c:v>720.40587937186433</c:v>
                </c:pt>
                <c:pt idx="1">
                  <c:v>587.94141297585895</c:v>
                </c:pt>
                <c:pt idx="2">
                  <c:v>463.80592066014958</c:v>
                </c:pt>
                <c:pt idx="3">
                  <c:v>371.66605697710401</c:v>
                </c:pt>
                <c:pt idx="4">
                  <c:v>304.74082272403933</c:v>
                </c:pt>
                <c:pt idx="5">
                  <c:v>255.07468153225415</c:v>
                </c:pt>
                <c:pt idx="6">
                  <c:v>217.15875383438348</c:v>
                </c:pt>
                <c:pt idx="7">
                  <c:v>187.43191914175162</c:v>
                </c:pt>
                <c:pt idx="8">
                  <c:v>163.57767929638004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A-1547-920C-707F56EFF605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104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3.5110000000000001</c:v>
                </c:pt>
                <c:pt idx="1">
                  <c:v>5.3860000000000001</c:v>
                </c:pt>
                <c:pt idx="2">
                  <c:v>7.2610000000000001</c:v>
                </c:pt>
                <c:pt idx="3">
                  <c:v>9.1359999999999992</c:v>
                </c:pt>
                <c:pt idx="4">
                  <c:v>11.010999999999999</c:v>
                </c:pt>
                <c:pt idx="5">
                  <c:v>12.885999999999999</c:v>
                </c:pt>
                <c:pt idx="6">
                  <c:v>14.760999999999999</c:v>
                </c:pt>
                <c:pt idx="7">
                  <c:v>16.635999999999999</c:v>
                </c:pt>
                <c:pt idx="8">
                  <c:v>18.510999999999999</c:v>
                </c:pt>
              </c:numCache>
            </c:numRef>
          </c:xVal>
          <c:yVal>
            <c:numRef>
              <c:f>Abaco!$K$50:$K$58</c:f>
              <c:numCache>
                <c:formatCode>General" m/s"</c:formatCode>
                <c:ptCount val="9"/>
                <c:pt idx="0">
                  <c:v>539.09786790963688</c:v>
                </c:pt>
                <c:pt idx="1">
                  <c:v>485.15387138839668</c:v>
                </c:pt>
                <c:pt idx="2">
                  <c:v>410.71938060933371</c:v>
                </c:pt>
                <c:pt idx="3">
                  <c:v>343.12172444476033</c:v>
                </c:pt>
                <c:pt idx="4">
                  <c:v>288.39716899977691</c:v>
                </c:pt>
                <c:pt idx="5">
                  <c:v>245.15441621184036</c:v>
                </c:pt>
                <c:pt idx="6">
                  <c:v>210.83446165343074</c:v>
                </c:pt>
                <c:pt idx="7">
                  <c:v>183.23429101009421</c:v>
                </c:pt>
                <c:pt idx="8">
                  <c:v>160.69801320747735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A-1547-920C-707F56EFF605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156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3.5110000000000001</c:v>
                </c:pt>
                <c:pt idx="1">
                  <c:v>5.3860000000000001</c:v>
                </c:pt>
                <c:pt idx="2">
                  <c:v>7.2610000000000001</c:v>
                </c:pt>
                <c:pt idx="3">
                  <c:v>9.1359999999999992</c:v>
                </c:pt>
                <c:pt idx="4">
                  <c:v>11.010999999999999</c:v>
                </c:pt>
                <c:pt idx="5">
                  <c:v>12.885999999999999</c:v>
                </c:pt>
                <c:pt idx="6">
                  <c:v>14.760999999999999</c:v>
                </c:pt>
                <c:pt idx="7">
                  <c:v>16.635999999999999</c:v>
                </c:pt>
                <c:pt idx="8">
                  <c:v>18.510999999999999</c:v>
                </c:pt>
              </c:numCache>
            </c:numRef>
          </c:xVal>
          <c:yVal>
            <c:numRef>
              <c:f>Abaco!$K$59:$K$67</c:f>
              <c:numCache>
                <c:formatCode>General" m/s"</c:formatCode>
                <c:ptCount val="9"/>
                <c:pt idx="0">
                  <c:v>363.24076561679539</c:v>
                </c:pt>
                <c:pt idx="1">
                  <c:v>350.6937138774266</c:v>
                </c:pt>
                <c:pt idx="2">
                  <c:v>323.44012699757161</c:v>
                </c:pt>
                <c:pt idx="3">
                  <c:v>288.84494611143788</c:v>
                </c:pt>
                <c:pt idx="4">
                  <c:v>254.33225217999922</c:v>
                </c:pt>
                <c:pt idx="5">
                  <c:v>223.20753694671095</c:v>
                </c:pt>
                <c:pt idx="6">
                  <c:v>196.27021550750464</c:v>
                </c:pt>
                <c:pt idx="7">
                  <c:v>173.29356964192101</c:v>
                </c:pt>
                <c:pt idx="8">
                  <c:v>153.74019463544306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6A-1547-920C-707F56EFF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915968"/>
        <c:axId val="1"/>
      </c:scatterChart>
      <c:valAx>
        <c:axId val="1764915968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2650918635"/>
              <c:y val="0.80923605680929611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strRef>
              <c:f>Abaco!$B$74</c:f>
              <c:strCache>
                <c:ptCount val="1"/>
                <c:pt idx="0">
                  <c:v>Vitesse max</c:v>
                </c:pt>
              </c:strCache>
            </c:strRef>
          </c:tx>
          <c:layout>
            <c:manualLayout>
              <c:xMode val="edge"/>
              <c:yMode val="edge"/>
              <c:x val="0.14166666666666666"/>
              <c:y val="5.803422378207343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m/s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64915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79253351905304"/>
          <c:y val="0.19266706401523412"/>
          <c:w val="0.19231382461027713"/>
          <c:h val="0.2477147965910152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Abaco!$B$77</c:f>
          <c:strCache>
            <c:ptCount val="1"/>
            <c:pt idx="0">
              <c:v>Altitude max / Masse totale</c:v>
            </c:pt>
          </c:strCache>
        </c:strRef>
      </c:tx>
      <c:layout>
        <c:manualLayout>
          <c:xMode val="edge"/>
          <c:yMode val="edge"/>
          <c:x val="0.32580555555555557"/>
          <c:y val="3.2407517456544348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3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75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3.5110000000000001</c:v>
                </c:pt>
                <c:pt idx="1">
                  <c:v>5.3860000000000001</c:v>
                </c:pt>
                <c:pt idx="2">
                  <c:v>7.2610000000000001</c:v>
                </c:pt>
                <c:pt idx="3">
                  <c:v>9.1359999999999992</c:v>
                </c:pt>
                <c:pt idx="4">
                  <c:v>11.010999999999999</c:v>
                </c:pt>
                <c:pt idx="5">
                  <c:v>12.885999999999999</c:v>
                </c:pt>
                <c:pt idx="6">
                  <c:v>14.760999999999999</c:v>
                </c:pt>
                <c:pt idx="7">
                  <c:v>16.635999999999999</c:v>
                </c:pt>
                <c:pt idx="8">
                  <c:v>18.510999999999999</c:v>
                </c:pt>
              </c:numCache>
            </c:numRef>
          </c:xVal>
          <c:yVal>
            <c:numRef>
              <c:f>Abaco!$L$41:$L$49</c:f>
              <c:numCache>
                <c:formatCode>General" m"</c:formatCode>
                <c:ptCount val="9"/>
                <c:pt idx="0">
                  <c:v>4565.8665325686015</c:v>
                </c:pt>
                <c:pt idx="1">
                  <c:v>5065.7218495341622</c:v>
                </c:pt>
                <c:pt idx="2">
                  <c:v>4903.4223440397263</c:v>
                </c:pt>
                <c:pt idx="3">
                  <c:v>4368.1671435496546</c:v>
                </c:pt>
                <c:pt idx="4">
                  <c:v>3695.1799703649112</c:v>
                </c:pt>
                <c:pt idx="5">
                  <c:v>3036.1305171124577</c:v>
                </c:pt>
                <c:pt idx="6">
                  <c:v>2462.5927775537448</c:v>
                </c:pt>
                <c:pt idx="7">
                  <c:v>1992.6339129528174</c:v>
                </c:pt>
                <c:pt idx="8">
                  <c:v>1618.3112284851968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E-854A-A2A4-035D919DB043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104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3.5110000000000001</c:v>
                </c:pt>
                <c:pt idx="1">
                  <c:v>5.3860000000000001</c:v>
                </c:pt>
                <c:pt idx="2">
                  <c:v>7.2610000000000001</c:v>
                </c:pt>
                <c:pt idx="3">
                  <c:v>9.1359999999999992</c:v>
                </c:pt>
                <c:pt idx="4">
                  <c:v>11.010999999999999</c:v>
                </c:pt>
                <c:pt idx="5">
                  <c:v>12.885999999999999</c:v>
                </c:pt>
                <c:pt idx="6">
                  <c:v>14.760999999999999</c:v>
                </c:pt>
                <c:pt idx="7">
                  <c:v>16.635999999999999</c:v>
                </c:pt>
                <c:pt idx="8">
                  <c:v>18.510999999999999</c:v>
                </c:pt>
              </c:numCache>
            </c:numRef>
          </c:xVal>
          <c:yVal>
            <c:numRef>
              <c:f>Abaco!$L$50:$L$58</c:f>
              <c:numCache>
                <c:formatCode>General" m"</c:formatCode>
                <c:ptCount val="9"/>
                <c:pt idx="0">
                  <c:v>3090.9606477392999</c:v>
                </c:pt>
                <c:pt idx="1">
                  <c:v>3403.2314770044113</c:v>
                </c:pt>
                <c:pt idx="2">
                  <c:v>3409.8981308918692</c:v>
                </c:pt>
                <c:pt idx="3">
                  <c:v>3203.2252929622373</c:v>
                </c:pt>
                <c:pt idx="4">
                  <c:v>2872.2108431839879</c:v>
                </c:pt>
                <c:pt idx="5">
                  <c:v>2492.6167365313854</c:v>
                </c:pt>
                <c:pt idx="6">
                  <c:v>2117.9003615756319</c:v>
                </c:pt>
                <c:pt idx="7">
                  <c:v>1778.2012491864557</c:v>
                </c:pt>
                <c:pt idx="8">
                  <c:v>1485.4567003542115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E-854A-A2A4-035D919DB043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156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3.5110000000000001</c:v>
                </c:pt>
                <c:pt idx="1">
                  <c:v>5.3860000000000001</c:v>
                </c:pt>
                <c:pt idx="2">
                  <c:v>7.2610000000000001</c:v>
                </c:pt>
                <c:pt idx="3">
                  <c:v>9.1359999999999992</c:v>
                </c:pt>
                <c:pt idx="4">
                  <c:v>11.010999999999999</c:v>
                </c:pt>
                <c:pt idx="5">
                  <c:v>12.885999999999999</c:v>
                </c:pt>
                <c:pt idx="6">
                  <c:v>14.760999999999999</c:v>
                </c:pt>
                <c:pt idx="7">
                  <c:v>16.635999999999999</c:v>
                </c:pt>
                <c:pt idx="8">
                  <c:v>18.510999999999999</c:v>
                </c:pt>
              </c:numCache>
            </c:numRef>
          </c:xVal>
          <c:yVal>
            <c:numRef>
              <c:f>Abaco!$L$59:$L$67</c:f>
              <c:numCache>
                <c:formatCode>General" m"</c:formatCode>
                <c:ptCount val="9"/>
                <c:pt idx="0">
                  <c:v>1941.4938071543661</c:v>
                </c:pt>
                <c:pt idx="1">
                  <c:v>2089.3148135941342</c:v>
                </c:pt>
                <c:pt idx="2">
                  <c:v>2126.0017452414368</c:v>
                </c:pt>
                <c:pt idx="3">
                  <c:v>2076.0726236962578</c:v>
                </c:pt>
                <c:pt idx="4">
                  <c:v>1960.2154645338896</c:v>
                </c:pt>
                <c:pt idx="5">
                  <c:v>1800.4228189140445</c:v>
                </c:pt>
                <c:pt idx="6">
                  <c:v>1617.5393735491994</c:v>
                </c:pt>
                <c:pt idx="7">
                  <c:v>1428.9054110346774</c:v>
                </c:pt>
                <c:pt idx="8">
                  <c:v>1247.0787338716461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1E-854A-A2A4-035D919DB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963536"/>
        <c:axId val="1"/>
      </c:scatterChart>
      <c:valAx>
        <c:axId val="1764963536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2650918635"/>
              <c:y val="0.80923599762293863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strRef>
              <c:f>Abaco!$B$76</c:f>
              <c:strCache>
                <c:ptCount val="1"/>
                <c:pt idx="0">
                  <c:v>Altitude max</c:v>
                </c:pt>
              </c:strCache>
            </c:strRef>
          </c:tx>
          <c:layout>
            <c:manualLayout>
              <c:xMode val="edge"/>
              <c:yMode val="edge"/>
              <c:x val="0.14166666666666666"/>
              <c:y val="5.8034467389689502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m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6496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822834919091606"/>
          <c:y val="0.19457634243306321"/>
          <c:w val="0.19231382461027713"/>
          <c:h val="0.2443516858461724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Abaco!$B$79</c:f>
          <c:strCache>
            <c:ptCount val="1"/>
            <c:pt idx="0">
              <c:v>Temps de culmination / Masse totale</c:v>
            </c:pt>
          </c:strCache>
        </c:strRef>
      </c:tx>
      <c:layout>
        <c:manualLayout>
          <c:xMode val="edge"/>
          <c:yMode val="edge"/>
          <c:x val="0.18369438576275526"/>
          <c:y val="3.2407517456544348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3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75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3.5110000000000001</c:v>
                </c:pt>
                <c:pt idx="1">
                  <c:v>5.3860000000000001</c:v>
                </c:pt>
                <c:pt idx="2">
                  <c:v>7.2610000000000001</c:v>
                </c:pt>
                <c:pt idx="3">
                  <c:v>9.1359999999999992</c:v>
                </c:pt>
                <c:pt idx="4">
                  <c:v>11.010999999999999</c:v>
                </c:pt>
                <c:pt idx="5">
                  <c:v>12.885999999999999</c:v>
                </c:pt>
                <c:pt idx="6">
                  <c:v>14.760999999999999</c:v>
                </c:pt>
                <c:pt idx="7">
                  <c:v>16.635999999999999</c:v>
                </c:pt>
                <c:pt idx="8">
                  <c:v>18.510999999999999</c:v>
                </c:pt>
              </c:numCache>
            </c:numRef>
          </c:xVal>
          <c:yVal>
            <c:numRef>
              <c:f>Abaco!$M$41:$M$49</c:f>
              <c:numCache>
                <c:formatCode>General" s"</c:formatCode>
                <c:ptCount val="9"/>
                <c:pt idx="0">
                  <c:v>20.462214926687707</c:v>
                </c:pt>
                <c:pt idx="1">
                  <c:v>25.922900598286283</c:v>
                </c:pt>
                <c:pt idx="2">
                  <c:v>28.211976975324788</c:v>
                </c:pt>
                <c:pt idx="3">
                  <c:v>28.48555128429313</c:v>
                </c:pt>
                <c:pt idx="4">
                  <c:v>27.492343102643513</c:v>
                </c:pt>
                <c:pt idx="5">
                  <c:v>25.831319222018191</c:v>
                </c:pt>
                <c:pt idx="6">
                  <c:v>23.927094298470699</c:v>
                </c:pt>
                <c:pt idx="7">
                  <c:v>22.03057529467247</c:v>
                </c:pt>
                <c:pt idx="8">
                  <c:v>20.2636347210419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7-A64B-83D1-484ECF67F6C4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104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3.5110000000000001</c:v>
                </c:pt>
                <c:pt idx="1">
                  <c:v>5.3860000000000001</c:v>
                </c:pt>
                <c:pt idx="2">
                  <c:v>7.2610000000000001</c:v>
                </c:pt>
                <c:pt idx="3">
                  <c:v>9.1359999999999992</c:v>
                </c:pt>
                <c:pt idx="4">
                  <c:v>11.010999999999999</c:v>
                </c:pt>
                <c:pt idx="5">
                  <c:v>12.885999999999999</c:v>
                </c:pt>
                <c:pt idx="6">
                  <c:v>14.760999999999999</c:v>
                </c:pt>
                <c:pt idx="7">
                  <c:v>16.635999999999999</c:v>
                </c:pt>
                <c:pt idx="8">
                  <c:v>18.510999999999999</c:v>
                </c:pt>
              </c:numCache>
            </c:numRef>
          </c:xVal>
          <c:yVal>
            <c:numRef>
              <c:f>Abaco!$M$50:$M$58</c:f>
              <c:numCache>
                <c:formatCode>General" s"</c:formatCode>
                <c:ptCount val="9"/>
                <c:pt idx="0">
                  <c:v>16.104459543837429</c:v>
                </c:pt>
                <c:pt idx="1">
                  <c:v>20.376451457974124</c:v>
                </c:pt>
                <c:pt idx="2">
                  <c:v>22.649951217794172</c:v>
                </c:pt>
                <c:pt idx="3">
                  <c:v>23.597658347332974</c:v>
                </c:pt>
                <c:pt idx="4">
                  <c:v>23.581424880659544</c:v>
                </c:pt>
                <c:pt idx="5">
                  <c:v>22.904045760956699</c:v>
                </c:pt>
                <c:pt idx="6">
                  <c:v>21.828521109772094</c:v>
                </c:pt>
                <c:pt idx="7">
                  <c:v>20.56131566957853</c:v>
                </c:pt>
                <c:pt idx="8">
                  <c:v>19.244560045970562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7-A64B-83D1-484ECF67F6C4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156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3.5110000000000001</c:v>
                </c:pt>
                <c:pt idx="1">
                  <c:v>5.3860000000000001</c:v>
                </c:pt>
                <c:pt idx="2">
                  <c:v>7.2610000000000001</c:v>
                </c:pt>
                <c:pt idx="3">
                  <c:v>9.1359999999999992</c:v>
                </c:pt>
                <c:pt idx="4">
                  <c:v>11.010999999999999</c:v>
                </c:pt>
                <c:pt idx="5">
                  <c:v>12.885999999999999</c:v>
                </c:pt>
                <c:pt idx="6">
                  <c:v>14.760999999999999</c:v>
                </c:pt>
                <c:pt idx="7">
                  <c:v>16.635999999999999</c:v>
                </c:pt>
                <c:pt idx="8">
                  <c:v>18.510999999999999</c:v>
                </c:pt>
              </c:numCache>
            </c:numRef>
          </c:xVal>
          <c:yVal>
            <c:numRef>
              <c:f>Abaco!$M$59:$M$67</c:f>
              <c:numCache>
                <c:formatCode>General" s"</c:formatCode>
                <c:ptCount val="9"/>
                <c:pt idx="0">
                  <c:v>12.304372550295348</c:v>
                </c:pt>
                <c:pt idx="1">
                  <c:v>15.281394270358486</c:v>
                </c:pt>
                <c:pt idx="2">
                  <c:v>17.127681660562828</c:v>
                </c:pt>
                <c:pt idx="3">
                  <c:v>18.242513663567937</c:v>
                </c:pt>
                <c:pt idx="4">
                  <c:v>18.78275551062454</c:v>
                </c:pt>
                <c:pt idx="5">
                  <c:v>18.861643891683713</c:v>
                </c:pt>
                <c:pt idx="6">
                  <c:v>18.583646812013605</c:v>
                </c:pt>
                <c:pt idx="7">
                  <c:v>18.048537358641809</c:v>
                </c:pt>
                <c:pt idx="8">
                  <c:v>17.346436853393065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47-A64B-83D1-484ECF67F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999296"/>
        <c:axId val="1"/>
      </c:scatterChart>
      <c:valAx>
        <c:axId val="1764999296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425132834"/>
              <c:y val="0.80923599762293863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strRef>
              <c:f>Abaco!$B$78</c:f>
              <c:strCache>
                <c:ptCount val="1"/>
                <c:pt idx="0">
                  <c:v>Temps de culmination</c:v>
                </c:pt>
              </c:strCache>
            </c:strRef>
          </c:tx>
          <c:layout>
            <c:manualLayout>
              <c:xMode val="edge"/>
              <c:yMode val="edge"/>
              <c:x val="0.14166677336064698"/>
              <c:y val="5.8034467389689502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s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64999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6971728612397"/>
          <c:y val="0.19457634243306321"/>
          <c:w val="0.18703852547642652"/>
          <c:h val="0.2443516858461724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Stabilito!$B$117</c:f>
          <c:strCache>
            <c:ptCount val="1"/>
            <c:pt idx="0">
              <c:v>Diagramme des critères de stabilité</c:v>
            </c:pt>
          </c:strCache>
        </c:strRef>
      </c:tx>
      <c:layout>
        <c:manualLayout>
          <c:xMode val="edge"/>
          <c:yMode val="edge"/>
          <c:x val="0.19620910443519402"/>
          <c:y val="8.02141732283464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092838196286504E-2"/>
          <c:y val="5.8823683008029461E-2"/>
          <c:w val="0.93899204244031864"/>
          <c:h val="0.8288791696585972"/>
        </c:manualLayout>
      </c:layout>
      <c:scatterChart>
        <c:scatterStyle val="smoothMarker"/>
        <c:varyColors val="0"/>
        <c:ser>
          <c:idx val="0"/>
          <c:order val="0"/>
          <c:tx>
            <c:v>Cna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Stabilito!$B$182:$B$183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Stabilito!$C$182:$C$183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48-824B-8B6E-E20872B57592}"/>
            </c:ext>
          </c:extLst>
        </c:ser>
        <c:ser>
          <c:idx val="1"/>
          <c:order val="1"/>
          <c:tx>
            <c:v>Cna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Stabilito!$B$184:$B$185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Stabilito!$C$184:$C$185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48-824B-8B6E-E20872B57592}"/>
            </c:ext>
          </c:extLst>
        </c:ser>
        <c:ser>
          <c:idx val="2"/>
          <c:order val="2"/>
          <c:tx>
            <c:v>MS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Stabilito!$B$186:$B$187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Stabilito!$C$186:$C$187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48-824B-8B6E-E20872B57592}"/>
            </c:ext>
          </c:extLst>
        </c:ser>
        <c:ser>
          <c:idx val="3"/>
          <c:order val="3"/>
          <c:tx>
            <c:v>MS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Stabilito!$B$188:$B$189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Stabilito!$C$188:$C$189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48-824B-8B6E-E20872B57592}"/>
            </c:ext>
          </c:extLst>
        </c:ser>
        <c:ser>
          <c:idx val="5"/>
          <c:order val="6"/>
          <c:tx>
            <c:v>MS*Cna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Stabilito!$D$182:$D$187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</c:numCache>
            </c:numRef>
          </c:xVal>
          <c:yVal>
            <c:numRef>
              <c:f>Stabilito!$E$182:$E$187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13.333333333333334</c:v>
                </c:pt>
                <c:pt idx="4">
                  <c:v>8</c:v>
                </c:pt>
                <c:pt idx="5">
                  <c:v>5.7142857142857144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48-824B-8B6E-E20872B57592}"/>
            </c:ext>
          </c:extLst>
        </c:ser>
        <c:ser>
          <c:idx val="6"/>
          <c:order val="7"/>
          <c:tx>
            <c:v>MS*Cna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Stabilito!$D$188:$D$193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Stabilito!$E$188:$E$193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33.333333333333336</c:v>
                </c:pt>
                <c:pt idx="3">
                  <c:v>25</c:v>
                </c:pt>
                <c:pt idx="4">
                  <c:v>16.666666666666668</c:v>
                </c:pt>
                <c:pt idx="5">
                  <c:v>14.285714285714286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48-824B-8B6E-E20872B57592}"/>
            </c:ext>
          </c:extLst>
        </c:ser>
        <c:ser>
          <c:idx val="7"/>
          <c:order val="8"/>
          <c:tx>
            <c:v>Cna moy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Stabilito!$B$195:$B$196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Stabilito!$C$195:$C$196</c:f>
              <c:numCache>
                <c:formatCode>General</c:formatCode>
                <c:ptCount val="2"/>
                <c:pt idx="0">
                  <c:v>27.5</c:v>
                </c:pt>
                <c:pt idx="1">
                  <c:v>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48-824B-8B6E-E20872B57592}"/>
            </c:ext>
          </c:extLst>
        </c:ser>
        <c:ser>
          <c:idx val="8"/>
          <c:order val="9"/>
          <c:tx>
            <c:v>Cna moy2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Stabilito!$B$197:$B$198</c:f>
              <c:numCache>
                <c:formatCode>General</c:formatCode>
                <c:ptCount val="2"/>
                <c:pt idx="0">
                  <c:v>3.6363636363636362</c:v>
                </c:pt>
                <c:pt idx="1">
                  <c:v>7</c:v>
                </c:pt>
              </c:numCache>
            </c:numRef>
          </c:xVal>
          <c:yVal>
            <c:numRef>
              <c:f>Stabilito!$C$197:$C$198</c:f>
              <c:numCache>
                <c:formatCode>General</c:formatCode>
                <c:ptCount val="2"/>
                <c:pt idx="0">
                  <c:v>27.5</c:v>
                </c:pt>
                <c:pt idx="1">
                  <c:v>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48-824B-8B6E-E20872B57592}"/>
            </c:ext>
          </c:extLst>
        </c:ser>
        <c:ser>
          <c:idx val="9"/>
          <c:order val="10"/>
          <c:tx>
            <c:v>MS moy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Stabilito!$B$199:$B$200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Stabilito!$C$199:$C$200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248-824B-8B6E-E20872B57592}"/>
            </c:ext>
          </c:extLst>
        </c:ser>
        <c:ser>
          <c:idx val="10"/>
          <c:order val="11"/>
          <c:tx>
            <c:v>MS moy2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Stabilito!$B$201:$B$202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Stabilito!$C$201:$C$202</c:f>
              <c:numCache>
                <c:formatCode>General</c:formatCode>
                <c:ptCount val="2"/>
                <c:pt idx="0">
                  <c:v>25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248-824B-8B6E-E20872B5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58336"/>
        <c:axId val="1"/>
      </c:scatterChart>
      <c:scatterChart>
        <c:scatterStyle val="lineMarker"/>
        <c:varyColors val="0"/>
        <c:ser>
          <c:idx val="4"/>
          <c:order val="4"/>
          <c:tx>
            <c:v>Fusée en cours</c:v>
          </c:tx>
          <c:spPr>
            <a:ln w="25400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Stabilito!$B$190:$B$193</c:f>
              <c:numCache>
                <c:formatCode>0.00</c:formatCode>
                <c:ptCount val="4"/>
                <c:pt idx="0">
                  <c:v>2.5410118900859575</c:v>
                </c:pt>
                <c:pt idx="1">
                  <c:v>2.5410118900859575</c:v>
                </c:pt>
                <c:pt idx="2">
                  <c:v>3.7357639603987804</c:v>
                </c:pt>
                <c:pt idx="3">
                  <c:v>3.7357639603987804</c:v>
                </c:pt>
              </c:numCache>
            </c:numRef>
          </c:xVal>
          <c:yVal>
            <c:numRef>
              <c:f>Stabilito!$C$190:$C$193</c:f>
              <c:numCache>
                <c:formatCode>0.00</c:formatCode>
                <c:ptCount val="4"/>
                <c:pt idx="0">
                  <c:v>22.460524395797002</c:v>
                </c:pt>
                <c:pt idx="1">
                  <c:v>22.460524395797002</c:v>
                </c:pt>
                <c:pt idx="2">
                  <c:v>22.460524395797002</c:v>
                </c:pt>
                <c:pt idx="3">
                  <c:v>22.460524395797002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48-824B-8B6E-E20872B57592}"/>
            </c:ext>
          </c:extLst>
        </c:ser>
        <c:ser>
          <c:idx val="11"/>
          <c:order val="5"/>
          <c:tx>
            <c:v>Fusée en cours0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Stabilito!$B$193:$B$194</c:f>
              <c:numCache>
                <c:formatCode>0.00</c:formatCode>
                <c:ptCount val="2"/>
                <c:pt idx="0">
                  <c:v>3.7357639603987804</c:v>
                </c:pt>
                <c:pt idx="1">
                  <c:v>2.5410118900859575</c:v>
                </c:pt>
              </c:numCache>
            </c:numRef>
          </c:xVal>
          <c:yVal>
            <c:numRef>
              <c:f>Stabilito!$C$193:$C$194</c:f>
              <c:numCache>
                <c:formatCode>0.00</c:formatCode>
                <c:ptCount val="2"/>
                <c:pt idx="0">
                  <c:v>22.460524395797002</c:v>
                </c:pt>
                <c:pt idx="1">
                  <c:v>22.460524395797002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248-824B-8B6E-E20872B5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58336"/>
        <c:axId val="1"/>
      </c:scatterChart>
      <c:valAx>
        <c:axId val="1806258336"/>
        <c:scaling>
          <c:orientation val="minMax"/>
          <c:max val="7"/>
          <c:min val="0"/>
        </c:scaling>
        <c:delete val="0"/>
        <c:axPos val="b"/>
        <c:title>
          <c:tx>
            <c:strRef>
              <c:f>Stabilito!$B$118</c:f>
              <c:strCache>
                <c:ptCount val="1"/>
                <c:pt idx="0">
                  <c:v>Marge Statique (MS)</c:v>
                </c:pt>
              </c:strCache>
            </c:strRef>
          </c:tx>
          <c:layout>
            <c:manualLayout>
              <c:xMode val="edge"/>
              <c:yMode val="edge"/>
              <c:x val="0.51717271009913568"/>
              <c:y val="0.73094047244094484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5"/>
          <c:min val="0"/>
        </c:scaling>
        <c:delete val="0"/>
        <c:axPos val="l"/>
        <c:title>
          <c:tx>
            <c:strRef>
              <c:f>Stabilito!$B$119</c:f>
              <c:strCache>
                <c:ptCount val="1"/>
                <c:pt idx="0">
                  <c:v>Portance Cnα</c:v>
                </c:pt>
              </c:strCache>
            </c:strRef>
          </c:tx>
          <c:layout>
            <c:manualLayout>
              <c:xMode val="edge"/>
              <c:yMode val="edge"/>
              <c:x val="6.9119481083972784E-2"/>
              <c:y val="0.24099905511811026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62583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89" footer="0.49212598450000089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Trajecto!$B$110</c:f>
          <c:strCache>
            <c:ptCount val="1"/>
            <c:pt idx="0">
              <c:v>Trajectoire (x z)</c:v>
            </c:pt>
          </c:strCache>
        </c:strRef>
      </c:tx>
      <c:layout>
        <c:manualLayout>
          <c:xMode val="edge"/>
          <c:yMode val="edge"/>
          <c:x val="0.66868786671936276"/>
          <c:y val="3.857574406972712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697175950449913E-2"/>
          <c:y val="3.5608360198500402E-2"/>
          <c:w val="0.89697235136230857"/>
          <c:h val="0.89614373166225958"/>
        </c:manualLayout>
      </c:layout>
      <c:scatterChart>
        <c:scatterStyle val="lineMarker"/>
        <c:varyColors val="0"/>
        <c:ser>
          <c:idx val="0"/>
          <c:order val="0"/>
          <c:tx>
            <c:v>Point invisible pour mise à l'echelle</c:v>
          </c:tx>
          <c:spPr>
            <a:ln w="3175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Trajecto!$B$120</c:f>
              <c:numCache>
                <c:formatCode>0</c:formatCode>
                <c:ptCount val="1"/>
                <c:pt idx="0">
                  <c:v>2708.2410082607034</c:v>
                </c:pt>
              </c:numCache>
            </c:numRef>
          </c:xVal>
          <c:yVal>
            <c:numRef>
              <c:f>Trajecto!$C$118</c:f>
              <c:numCache>
                <c:formatCode>0</c:formatCode>
                <c:ptCount val="1"/>
                <c:pt idx="0">
                  <c:v>2708.2410082607034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B-6442-AFEC-07E56791BA28}"/>
            </c:ext>
          </c:extLst>
        </c:ser>
        <c:ser>
          <c:idx val="1"/>
          <c:order val="1"/>
          <c:tx>
            <c:v>1 point par seconde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Calculs!$AD$4:$AD$1004</c:f>
              <c:numCache>
                <c:formatCode>0</c:formatCode>
                <c:ptCount val="100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3.9532351636018062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17.018816218637255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38.763227297423654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67.380125905183547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99.743521119653082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130.13155357630094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158.3444880619758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184.78823439786123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209.77154447204319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233.53566854968815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256.2734944947598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278.14237368411642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299.27299338960279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319.77568239388023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339.74499589816998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359.26311059179221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378.40236687060849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397.22716492785531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415.79531484922074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434.15881124597803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452.36375205122522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470.44851759705392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488.43842055809313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506.33768550492289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524.1284647431695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541.77946254388041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559.2538220703492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576.51311401318787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593.51925098832692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610.23554340763872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626.62736964010844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642.66264077019366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658.31213434918914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673.54973097501727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688.35257103352876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702.70114202811317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716.57930411392977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729.97426045577163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742.87647881809437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755.27957087892048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767.18013588895167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778.57757534955067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789.47388530180137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799.873432586425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809.78272105751444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819.2101532328129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828.16579226838303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836.66112848806893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844.70885400997952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4.8454537426533613E-4</c:v>
                </c:pt>
                <c:pt idx="2">
                  <c:v>3.0098523531846906E-3</c:v>
                </c:pt>
                <c:pt idx="3">
                  <c:v>9.0924669372744408E-3</c:v>
                </c:pt>
                <c:pt idx="4">
                  <c:v>1.9622488329450273E-2</c:v>
                </c:pt>
                <c:pt idx="5">
                  <c:v>3.5490770437777167E-2</c:v>
                </c:pt>
                <c:pt idx="6">
                  <c:v>5.7589035102754378E-2</c:v>
                </c:pt>
                <c:pt idx="7">
                  <c:v>8.6809984293011788E-2</c:v>
                </c:pt>
                <c:pt idx="8">
                  <c:v>0.12404741131150263</c:v>
                </c:pt>
                <c:pt idx="9">
                  <c:v>0.17019631105286553</c:v>
                </c:pt>
                <c:pt idx="10">
                  <c:v>0.22615298935126302</c:v>
                </c:pt>
                <c:pt idx="11">
                  <c:v>0.29255910031611482</c:v>
                </c:pt>
                <c:pt idx="12">
                  <c:v>0.36954504731527471</c:v>
                </c:pt>
                <c:pt idx="13">
                  <c:v>0.45698322648663359</c:v>
                </c:pt>
                <c:pt idx="14">
                  <c:v>0.55474185008536059</c:v>
                </c:pt>
                <c:pt idx="15">
                  <c:v>0.66268689479262965</c:v>
                </c:pt>
                <c:pt idx="16">
                  <c:v>0.78068405450253586</c:v>
                </c:pt>
                <c:pt idx="17">
                  <c:v>0.90859874514596273</c:v>
                </c:pt>
                <c:pt idx="18">
                  <c:v>1.0462961095112582</c:v>
                </c:pt>
                <c:pt idx="19">
                  <c:v>1.1936410220609734</c:v>
                </c:pt>
                <c:pt idx="20">
                  <c:v>1.3504980937439244</c:v>
                </c:pt>
                <c:pt idx="21">
                  <c:v>1.5167316768018404</c:v>
                </c:pt>
                <c:pt idx="22">
                  <c:v>1.6922058695698703</c:v>
                </c:pt>
                <c:pt idx="23">
                  <c:v>1.8767845212702179</c:v>
                </c:pt>
                <c:pt idx="24">
                  <c:v>2.070331236798189</c:v>
                </c:pt>
                <c:pt idx="25">
                  <c:v>2.2727093814999333</c:v>
                </c:pt>
                <c:pt idx="26">
                  <c:v>2.4837820859411726</c:v>
                </c:pt>
                <c:pt idx="27">
                  <c:v>2.7034466785245099</c:v>
                </c:pt>
                <c:pt idx="28">
                  <c:v>2.9316691784966009</c:v>
                </c:pt>
                <c:pt idx="29">
                  <c:v>3.1684499594633553</c:v>
                </c:pt>
                <c:pt idx="30">
                  <c:v>3.4137893501040186</c:v>
                </c:pt>
                <c:pt idx="31">
                  <c:v>3.6676876341132512</c:v>
                </c:pt>
                <c:pt idx="32">
                  <c:v>3.9301450501442883</c:v>
                </c:pt>
                <c:pt idx="33">
                  <c:v>4.2011617917531918</c:v>
                </c:pt>
                <c:pt idx="34">
                  <c:v>4.4807342796552891</c:v>
                </c:pt>
                <c:pt idx="35">
                  <c:v>4.7688587659544588</c:v>
                </c:pt>
                <c:pt idx="36">
                  <c:v>5.0655350626862239</c:v>
                </c:pt>
                <c:pt idx="37">
                  <c:v>5.37076294017763</c:v>
                </c:pt>
                <c:pt idx="38">
                  <c:v>5.684542128653665</c:v>
                </c:pt>
                <c:pt idx="39">
                  <c:v>6.0068723179364136</c:v>
                </c:pt>
                <c:pt idx="40">
                  <c:v>6.3377531571639567</c:v>
                </c:pt>
                <c:pt idx="41">
                  <c:v>6.6771842545272015</c:v>
                </c:pt>
                <c:pt idx="42">
                  <c:v>7.0251651770230428</c:v>
                </c:pt>
                <c:pt idx="43">
                  <c:v>7.3816954502224439</c:v>
                </c:pt>
                <c:pt idx="44">
                  <c:v>7.7467745580521896</c:v>
                </c:pt>
                <c:pt idx="45">
                  <c:v>8.1204019425892007</c:v>
                </c:pt>
                <c:pt idx="46">
                  <c:v>8.5025770038664259</c:v>
                </c:pt>
                <c:pt idx="47">
                  <c:v>8.8932990996894254</c:v>
                </c:pt>
                <c:pt idx="48">
                  <c:v>9.2925675454628678</c:v>
                </c:pt>
                <c:pt idx="49">
                  <c:v>9.7003816140262167</c:v>
                </c:pt>
                <c:pt idx="50">
                  <c:v>10.116740535497987</c:v>
                </c:pt>
                <c:pt idx="51">
                  <c:v>10.541643497127991</c:v>
                </c:pt>
                <c:pt idx="52">
                  <c:v>10.975089643157048</c:v>
                </c:pt>
                <c:pt idx="53">
                  <c:v>11.417078074683706</c:v>
                </c:pt>
                <c:pt idx="54">
                  <c:v>11.867607849537535</c:v>
                </c:pt>
                <c:pt idx="55">
                  <c:v>12.326677982158607</c:v>
                </c:pt>
                <c:pt idx="56">
                  <c:v>12.794287443482824</c:v>
                </c:pt>
                <c:pt idx="57">
                  <c:v>13.270435160832752</c:v>
                </c:pt>
                <c:pt idx="58">
                  <c:v>13.755120017813685</c:v>
                </c:pt>
                <c:pt idx="59">
                  <c:v>14.248340854214662</c:v>
                </c:pt>
                <c:pt idx="60">
                  <c:v>14.750096465914199</c:v>
                </c:pt>
                <c:pt idx="61">
                  <c:v>15.260385604790489</c:v>
                </c:pt>
                <c:pt idx="62">
                  <c:v>15.779206978635896</c:v>
                </c:pt>
                <c:pt idx="63">
                  <c:v>16.30655925107552</c:v>
                </c:pt>
                <c:pt idx="64">
                  <c:v>16.842441041489678</c:v>
                </c:pt>
                <c:pt idx="65">
                  <c:v>17.38685092494012</c:v>
                </c:pt>
                <c:pt idx="66">
                  <c:v>17.939787432099855</c:v>
                </c:pt>
                <c:pt idx="67">
                  <c:v>18.50124904918642</c:v>
                </c:pt>
                <c:pt idx="68">
                  <c:v>19.071234217898471</c:v>
                </c:pt>
                <c:pt idx="69">
                  <c:v>19.649741335355603</c:v>
                </c:pt>
                <c:pt idx="70">
                  <c:v>20.236768754041247</c:v>
                </c:pt>
                <c:pt idx="71">
                  <c:v>20.832314781748551</c:v>
                </c:pt>
                <c:pt idx="72">
                  <c:v>21.436377287415919</c:v>
                </c:pt>
                <c:pt idx="73">
                  <c:v>22.048953306369146</c:v>
                </c:pt>
                <c:pt idx="74">
                  <c:v>22.670039433573695</c:v>
                </c:pt>
                <c:pt idx="75">
                  <c:v>23.299632217497475</c:v>
                </c:pt>
                <c:pt idx="76">
                  <c:v>23.937728160093723</c:v>
                </c:pt>
                <c:pt idx="77">
                  <c:v>24.584323716786518</c:v>
                </c:pt>
                <c:pt idx="78">
                  <c:v>25.239415296458819</c:v>
                </c:pt>
                <c:pt idx="79">
                  <c:v>25.902999261443011</c:v>
                </c:pt>
                <c:pt idx="80">
                  <c:v>26.57507192751385</c:v>
                </c:pt>
                <c:pt idx="81">
                  <c:v>27.25562956388379</c:v>
                </c:pt>
                <c:pt idx="82">
                  <c:v>27.944668393200619</c:v>
                </c:pt>
                <c:pt idx="83">
                  <c:v>28.642184591547345</c:v>
                </c:pt>
                <c:pt idx="84">
                  <c:v>29.348174288444326</c:v>
                </c:pt>
                <c:pt idx="85">
                  <c:v>30.062633566853549</c:v>
                </c:pt>
                <c:pt idx="86">
                  <c:v>30.785558463185041</c:v>
                </c:pt>
                <c:pt idx="87">
                  <c:v>31.516944967305385</c:v>
                </c:pt>
                <c:pt idx="88">
                  <c:v>32.256789022548269</c:v>
                </c:pt>
                <c:pt idx="89">
                  <c:v>33.005086525727073</c:v>
                </c:pt>
                <c:pt idx="90">
                  <c:v>33.761833327149418</c:v>
                </c:pt>
                <c:pt idx="91">
                  <c:v>34.527025230633676</c:v>
                </c:pt>
                <c:pt idx="92">
                  <c:v>35.300657993527402</c:v>
                </c:pt>
                <c:pt idx="93">
                  <c:v>36.082727326727664</c:v>
                </c:pt>
                <c:pt idx="94">
                  <c:v>36.87322889470321</c:v>
                </c:pt>
                <c:pt idx="95">
                  <c:v>37.672158315518516</c:v>
                </c:pt>
                <c:pt idx="96">
                  <c:v>38.479511160859595</c:v>
                </c:pt>
                <c:pt idx="97">
                  <c:v>39.295282956061627</c:v>
                </c:pt>
                <c:pt idx="98">
                  <c:v>40.119469180138367</c:v>
                </c:pt>
                <c:pt idx="99">
                  <c:v>40.952065265813246</c:v>
                </c:pt>
                <c:pt idx="100">
                  <c:v>41.793066599552247</c:v>
                </c:pt>
                <c:pt idx="101">
                  <c:v>42.64246852159846</c:v>
                </c:pt>
                <c:pt idx="102">
                  <c:v>43.500266326008301</c:v>
                </c:pt>
                <c:pt idx="103">
                  <c:v>44.366455260689435</c:v>
                </c:pt>
                <c:pt idx="104">
                  <c:v>45.241030527440309</c:v>
                </c:pt>
                <c:pt idx="105">
                  <c:v>46.12398728199134</c:v>
                </c:pt>
                <c:pt idx="106">
                  <c:v>47.015320634047697</c:v>
                </c:pt>
                <c:pt idx="107">
                  <c:v>47.915025647333692</c:v>
                </c:pt>
                <c:pt idx="108">
                  <c:v>48.823097339638743</c:v>
                </c:pt>
                <c:pt idx="109">
                  <c:v>49.739530682864903</c:v>
                </c:pt>
                <c:pt idx="110">
                  <c:v>50.66432060307595</c:v>
                </c:pt>
                <c:pt idx="111">
                  <c:v>51.597461980548005</c:v>
                </c:pt>
                <c:pt idx="112">
                  <c:v>52.53894964982166</c:v>
                </c:pt>
                <c:pt idx="113">
                  <c:v>53.488778399755667</c:v>
                </c:pt>
                <c:pt idx="114">
                  <c:v>54.446942973582054</c:v>
                </c:pt>
                <c:pt idx="115">
                  <c:v>55.413438068962783</c:v>
                </c:pt>
                <c:pt idx="116">
                  <c:v>56.388258338047869</c:v>
                </c:pt>
                <c:pt idx="117">
                  <c:v>57.371398387534924</c:v>
                </c:pt>
                <c:pt idx="118">
                  <c:v>58.362852778730208</c:v>
                </c:pt>
                <c:pt idx="119">
                  <c:v>59.362616027611068</c:v>
                </c:pt>
                <c:pt idx="120">
                  <c:v>60.370682604889844</c:v>
                </c:pt>
                <c:pt idx="121">
                  <c:v>61.387046936079166</c:v>
                </c:pt>
                <c:pt idx="122">
                  <c:v>62.411703401558675</c:v>
                </c:pt>
                <c:pt idx="123">
                  <c:v>63.444646336643125</c:v>
                </c:pt>
                <c:pt idx="124">
                  <c:v>64.485870031651871</c:v>
                </c:pt>
                <c:pt idx="125">
                  <c:v>65.535368731979773</c:v>
                </c:pt>
                <c:pt idx="126">
                  <c:v>66.593136638169398</c:v>
                </c:pt>
                <c:pt idx="127">
                  <c:v>67.659167905984631</c:v>
                </c:pt>
                <c:pt idx="128">
                  <c:v>68.733456646485635</c:v>
                </c:pt>
                <c:pt idx="129">
                  <c:v>69.815995104083711</c:v>
                </c:pt>
                <c:pt idx="130">
                  <c:v>70.906771832403919</c:v>
                </c:pt>
                <c:pt idx="131">
                  <c:v>72.005773513763401</c:v>
                </c:pt>
                <c:pt idx="132">
                  <c:v>73.112986780907136</c:v>
                </c:pt>
                <c:pt idx="133">
                  <c:v>74.228398217214703</c:v>
                </c:pt>
                <c:pt idx="134">
                  <c:v>75.351994356908321</c:v>
                </c:pt>
                <c:pt idx="135">
                  <c:v>76.483761685262238</c:v>
                </c:pt>
                <c:pt idx="136">
                  <c:v>77.623686638813453</c:v>
                </c:pt>
                <c:pt idx="137">
                  <c:v>78.771755605573759</c:v>
                </c:pt>
                <c:pt idx="138">
                  <c:v>79.927954925243043</c:v>
                </c:pt>
                <c:pt idx="139">
                  <c:v>81.092270889423858</c:v>
                </c:pt>
                <c:pt idx="140">
                  <c:v>82.264689741837287</c:v>
                </c:pt>
                <c:pt idx="141">
                  <c:v>83.445197678539955</c:v>
                </c:pt>
                <c:pt idx="142">
                  <c:v>84.633780848142365</c:v>
                </c:pt>
                <c:pt idx="143">
                  <c:v>85.830425352028371</c:v>
                </c:pt>
                <c:pt idx="144">
                  <c:v>87.035117244575844</c:v>
                </c:pt>
                <c:pt idx="145">
                  <c:v>88.247842533378517</c:v>
                </c:pt>
                <c:pt idx="146">
                  <c:v>89.468587179469012</c:v>
                </c:pt>
                <c:pt idx="147">
                  <c:v>90.697337097542928</c:v>
                </c:pt>
                <c:pt idx="148">
                  <c:v>91.934078156184114</c:v>
                </c:pt>
                <c:pt idx="149">
                  <c:v>93.178796178091048</c:v>
                </c:pt>
                <c:pt idx="150">
                  <c:v>94.431476940304236</c:v>
                </c:pt>
                <c:pt idx="151">
                  <c:v>95.692106174434784</c:v>
                </c:pt>
                <c:pt idx="152">
                  <c:v>96.960669566893927</c:v>
                </c:pt>
                <c:pt idx="153">
                  <c:v>98.237152759123688</c:v>
                </c:pt>
                <c:pt idx="154">
                  <c:v>99.521541347828489</c:v>
                </c:pt>
                <c:pt idx="155">
                  <c:v>100.81382088520783</c:v>
                </c:pt>
                <c:pt idx="156">
                  <c:v>102.11397687918991</c:v>
                </c:pt>
                <c:pt idx="157">
                  <c:v>103.42199479366624</c:v>
                </c:pt>
                <c:pt idx="158">
                  <c:v>104.7378600487273</c:v>
                </c:pt>
                <c:pt idx="159">
                  <c:v>106.06155802089899</c:v>
                </c:pt>
                <c:pt idx="160">
                  <c:v>107.39307404338014</c:v>
                </c:pt>
                <c:pt idx="161">
                  <c:v>108.73239340628091</c:v>
                </c:pt>
                <c:pt idx="162">
                  <c:v>110.07950135686204</c:v>
                </c:pt>
                <c:pt idx="163">
                  <c:v>111.43438309977505</c:v>
                </c:pt>
                <c:pt idx="164">
                  <c:v>112.79702379730327</c:v>
                </c:pt>
                <c:pt idx="165">
                  <c:v>114.16740856960375</c:v>
                </c:pt>
                <c:pt idx="166">
                  <c:v>115.54552249494999</c:v>
                </c:pt>
                <c:pt idx="167">
                  <c:v>116.93135060997554</c:v>
                </c:pt>
                <c:pt idx="168">
                  <c:v>118.32487790991833</c:v>
                </c:pt>
                <c:pt idx="169">
                  <c:v>119.72608934886588</c:v>
                </c:pt>
                <c:pt idx="170">
                  <c:v>121.13496984000126</c:v>
                </c:pt>
                <c:pt idx="171">
                  <c:v>122.55150425584981</c:v>
                </c:pt>
                <c:pt idx="172">
                  <c:v>123.97567742852658</c:v>
                </c:pt>
                <c:pt idx="173">
                  <c:v>125.40747414998459</c:v>
                </c:pt>
                <c:pt idx="174">
                  <c:v>126.84687917226375</c:v>
                </c:pt>
                <c:pt idx="175">
                  <c:v>128.29387720774048</c:v>
                </c:pt>
                <c:pt idx="176">
                  <c:v>129.74845292937806</c:v>
                </c:pt>
                <c:pt idx="177">
                  <c:v>131.21059097097768</c:v>
                </c:pt>
                <c:pt idx="178">
                  <c:v>132.68027592743002</c:v>
                </c:pt>
                <c:pt idx="179">
                  <c:v>134.15749235496764</c:v>
                </c:pt>
                <c:pt idx="180">
                  <c:v>135.642224771418</c:v>
                </c:pt>
                <c:pt idx="181">
                  <c:v>137.13445765645687</c:v>
                </c:pt>
                <c:pt idx="182">
                  <c:v>138.63417545186266</c:v>
                </c:pt>
                <c:pt idx="183">
                  <c:v>140.14136256177113</c:v>
                </c:pt>
                <c:pt idx="184">
                  <c:v>141.65600335293078</c:v>
                </c:pt>
                <c:pt idx="185">
                  <c:v>143.1780821549587</c:v>
                </c:pt>
                <c:pt idx="186">
                  <c:v>144.70758326059709</c:v>
                </c:pt>
                <c:pt idx="187">
                  <c:v>146.24449092597021</c:v>
                </c:pt>
                <c:pt idx="188">
                  <c:v>147.7887893708419</c:v>
                </c:pt>
                <c:pt idx="189">
                  <c:v>149.34046277887364</c:v>
                </c:pt>
                <c:pt idx="190">
                  <c:v>150.89949529788302</c:v>
                </c:pt>
                <c:pt idx="191">
                  <c:v>152.46587104010274</c:v>
                </c:pt>
                <c:pt idx="192">
                  <c:v>154.03957408244</c:v>
                </c:pt>
                <c:pt idx="193">
                  <c:v>155.62058846673645</c:v>
                </c:pt>
                <c:pt idx="194">
                  <c:v>157.20889820002856</c:v>
                </c:pt>
                <c:pt idx="195">
                  <c:v>158.80448725480827</c:v>
                </c:pt>
                <c:pt idx="196">
                  <c:v>160.40733956928423</c:v>
                </c:pt>
                <c:pt idx="197">
                  <c:v>162.01743904764328</c:v>
                </c:pt>
                <c:pt idx="198">
                  <c:v>163.63476956031244</c:v>
                </c:pt>
                <c:pt idx="199">
                  <c:v>165.25931494422113</c:v>
                </c:pt>
                <c:pt idx="200">
                  <c:v>166.8910590030639</c:v>
                </c:pt>
                <c:pt idx="201">
                  <c:v>168.52998550756334</c:v>
                </c:pt>
                <c:pt idx="202">
                  <c:v>170.1760781957334</c:v>
                </c:pt>
                <c:pt idx="203">
                  <c:v>171.82932077314302</c:v>
                </c:pt>
                <c:pt idx="204">
                  <c:v>173.48969691318004</c:v>
                </c:pt>
                <c:pt idx="205">
                  <c:v>175.15719025731531</c:v>
                </c:pt>
                <c:pt idx="206">
                  <c:v>176.83178396925146</c:v>
                </c:pt>
                <c:pt idx="207">
                  <c:v>178.51346028877683</c:v>
                </c:pt>
                <c:pt idx="208">
                  <c:v>180.20220097796303</c:v>
                </c:pt>
                <c:pt idx="209">
                  <c:v>181.8979877676733</c:v>
                </c:pt>
                <c:pt idx="210">
                  <c:v>183.60080235785898</c:v>
                </c:pt>
                <c:pt idx="211">
                  <c:v>185.31062641785618</c:v>
                </c:pt>
                <c:pt idx="212">
                  <c:v>187.0274415866825</c:v>
                </c:pt>
                <c:pt idx="213">
                  <c:v>188.75122947333372</c:v>
                </c:pt>
                <c:pt idx="214">
                  <c:v>190.48197165708078</c:v>
                </c:pt>
                <c:pt idx="215">
                  <c:v>192.21964968776649</c:v>
                </c:pt>
                <c:pt idx="216">
                  <c:v>193.96424508610258</c:v>
                </c:pt>
                <c:pt idx="217">
                  <c:v>195.71573934396656</c:v>
                </c:pt>
                <c:pt idx="218">
                  <c:v>197.4741139246986</c:v>
                </c:pt>
                <c:pt idx="219">
                  <c:v>199.23935026339851</c:v>
                </c:pt>
                <c:pt idx="220">
                  <c:v>201.0114297672225</c:v>
                </c:pt>
                <c:pt idx="221">
                  <c:v>202.7903338156801</c:v>
                </c:pt>
                <c:pt idx="222">
                  <c:v>204.57604376093084</c:v>
                </c:pt>
                <c:pt idx="223">
                  <c:v>206.36854092808099</c:v>
                </c:pt>
                <c:pt idx="224">
                  <c:v>208.16780661548012</c:v>
                </c:pt>
                <c:pt idx="225">
                  <c:v>209.97382209501762</c:v>
                </c:pt>
                <c:pt idx="226">
                  <c:v>211.78656861241902</c:v>
                </c:pt>
                <c:pt idx="227">
                  <c:v>213.6060273875423</c:v>
                </c:pt>
                <c:pt idx="228">
                  <c:v>215.43217961467394</c:v>
                </c:pt>
                <c:pt idx="229">
                  <c:v>217.26500646282491</c:v>
                </c:pt>
                <c:pt idx="230">
                  <c:v>219.10448907602637</c:v>
                </c:pt>
                <c:pt idx="231">
                  <c:v>220.95060857362526</c:v>
                </c:pt>
                <c:pt idx="232">
                  <c:v>222.80334605057973</c:v>
                </c:pt>
                <c:pt idx="233">
                  <c:v>224.66268257775425</c:v>
                </c:pt>
                <c:pt idx="234">
                  <c:v>226.52859920221459</c:v>
                </c:pt>
                <c:pt idx="235">
                  <c:v>228.40107694752251</c:v>
                </c:pt>
                <c:pt idx="236">
                  <c:v>230.28009681403012</c:v>
                </c:pt>
                <c:pt idx="237">
                  <c:v>232.1656397791742</c:v>
                </c:pt>
                <c:pt idx="238">
                  <c:v>234.05768679776997</c:v>
                </c:pt>
                <c:pt idx="239">
                  <c:v>235.95621880230479</c:v>
                </c:pt>
                <c:pt idx="240">
                  <c:v>237.86121670323132</c:v>
                </c:pt>
                <c:pt idx="241">
                  <c:v>239.77266138926066</c:v>
                </c:pt>
                <c:pt idx="242">
                  <c:v>241.69053218186937</c:v>
                </c:pt>
                <c:pt idx="243">
                  <c:v>243.614805289185</c:v>
                </c:pt>
                <c:pt idx="244">
                  <c:v>245.54545535217216</c:v>
                </c:pt>
                <c:pt idx="245">
                  <c:v>247.48245699149339</c:v>
                </c:pt>
                <c:pt idx="246">
                  <c:v>249.42578480790837</c:v>
                </c:pt>
                <c:pt idx="247">
                  <c:v>251.37541338267218</c:v>
                </c:pt>
                <c:pt idx="248">
                  <c:v>253.33131727793264</c:v>
                </c:pt>
                <c:pt idx="249">
                  <c:v>255.29347103712661</c:v>
                </c:pt>
                <c:pt idx="250">
                  <c:v>257.26184918537524</c:v>
                </c:pt>
                <c:pt idx="251">
                  <c:v>259.23642622987842</c:v>
                </c:pt>
                <c:pt idx="252">
                  <c:v>261.21717666030787</c:v>
                </c:pt>
                <c:pt idx="253">
                  <c:v>263.20407494919942</c:v>
                </c:pt>
                <c:pt idx="254">
                  <c:v>265.19709555234425</c:v>
                </c:pt>
                <c:pt idx="255">
                  <c:v>267.19621290917883</c:v>
                </c:pt>
                <c:pt idx="256">
                  <c:v>269.20140144317384</c:v>
                </c:pt>
                <c:pt idx="257">
                  <c:v>271.21263556222209</c:v>
                </c:pt>
                <c:pt idx="258">
                  <c:v>273.22988965902528</c:v>
                </c:pt>
                <c:pt idx="259">
                  <c:v>275.25313811147947</c:v>
                </c:pt>
                <c:pt idx="260">
                  <c:v>277.28235528305947</c:v>
                </c:pt>
                <c:pt idx="261">
                  <c:v>279.31751552320202</c:v>
                </c:pt>
                <c:pt idx="262">
                  <c:v>281.35859316768796</c:v>
                </c:pt>
                <c:pt idx="263">
                  <c:v>283.40556253902292</c:v>
                </c:pt>
                <c:pt idx="264">
                  <c:v>285.45839794681694</c:v>
                </c:pt>
                <c:pt idx="265">
                  <c:v>287.51707368816284</c:v>
                </c:pt>
                <c:pt idx="266">
                  <c:v>289.58156404801326</c:v>
                </c:pt>
                <c:pt idx="267">
                  <c:v>291.65184329955656</c:v>
                </c:pt>
                <c:pt idx="268">
                  <c:v>293.7278857045913</c:v>
                </c:pt>
                <c:pt idx="269">
                  <c:v>295.80966551389957</c:v>
                </c:pt>
                <c:pt idx="270">
                  <c:v>297.89715696761886</c:v>
                </c:pt>
                <c:pt idx="271">
                  <c:v>299.99033429561274</c:v>
                </c:pt>
                <c:pt idx="272">
                  <c:v>302.08917171784014</c:v>
                </c:pt>
                <c:pt idx="273">
                  <c:v>304.19364344472331</c:v>
                </c:pt>
                <c:pt idx="274">
                  <c:v>306.30372367751431</c:v>
                </c:pt>
                <c:pt idx="275">
                  <c:v>308.41938660866032</c:v>
                </c:pt>
                <c:pt idx="276">
                  <c:v>310.54060642216734</c:v>
                </c:pt>
                <c:pt idx="277">
                  <c:v>312.66735729396277</c:v>
                </c:pt>
                <c:pt idx="278">
                  <c:v>314.79961339225622</c:v>
                </c:pt>
                <c:pt idx="279">
                  <c:v>316.9373488778993</c:v>
                </c:pt>
                <c:pt idx="280">
                  <c:v>319.08053790474361</c:v>
                </c:pt>
                <c:pt idx="281">
                  <c:v>321.22915461999747</c:v>
                </c:pt>
                <c:pt idx="282">
                  <c:v>323.38317316458125</c:v>
                </c:pt>
                <c:pt idx="283">
                  <c:v>325.54256767348102</c:v>
                </c:pt>
                <c:pt idx="284">
                  <c:v>327.70731409559357</c:v>
                </c:pt>
                <c:pt idx="285">
                  <c:v>329.87739201368942</c:v>
                </c:pt>
                <c:pt idx="286">
                  <c:v>332.05278282405664</c:v>
                </c:pt>
                <c:pt idx="287">
                  <c:v>334.23346791596867</c:v>
                </c:pt>
                <c:pt idx="288">
                  <c:v>336.41942867192046</c:v>
                </c:pt>
                <c:pt idx="289">
                  <c:v>338.61064646786394</c:v>
                </c:pt>
                <c:pt idx="290">
                  <c:v>340.8071026734425</c:v>
                </c:pt>
                <c:pt idx="291">
                  <c:v>343.00877865222498</c:v>
                </c:pt>
                <c:pt idx="292">
                  <c:v>345.21565576193865</c:v>
                </c:pt>
                <c:pt idx="293">
                  <c:v>347.42771535470143</c:v>
                </c:pt>
                <c:pt idx="294">
                  <c:v>349.64493877725334</c:v>
                </c:pt>
                <c:pt idx="295">
                  <c:v>351.86730737118722</c:v>
                </c:pt>
                <c:pt idx="296">
                  <c:v>354.09480247317839</c:v>
                </c:pt>
                <c:pt idx="297">
                  <c:v>356.32740541521378</c:v>
                </c:pt>
                <c:pt idx="298">
                  <c:v>358.56509752481992</c:v>
                </c:pt>
                <c:pt idx="299">
                  <c:v>360.80786012529046</c:v>
                </c:pt>
                <c:pt idx="300">
                  <c:v>363.05567453591249</c:v>
                </c:pt>
                <c:pt idx="301">
                  <c:v>365.3085220721922</c:v>
                </c:pt>
                <c:pt idx="302">
                  <c:v>367.56638404607969</c:v>
                </c:pt>
                <c:pt idx="303">
                  <c:v>369.82924176619287</c:v>
                </c:pt>
                <c:pt idx="304">
                  <c:v>372.09707653804043</c:v>
                </c:pt>
                <c:pt idx="305">
                  <c:v>374.36986966424411</c:v>
                </c:pt>
                <c:pt idx="306">
                  <c:v>376.64760244475997</c:v>
                </c:pt>
                <c:pt idx="307">
                  <c:v>378.93025617709873</c:v>
                </c:pt>
                <c:pt idx="308">
                  <c:v>381.21781215654545</c:v>
                </c:pt>
                <c:pt idx="309">
                  <c:v>383.51025167637795</c:v>
                </c:pt>
                <c:pt idx="310">
                  <c:v>385.80755602808472</c:v>
                </c:pt>
                <c:pt idx="311">
                  <c:v>388.10970650158168</c:v>
                </c:pt>
                <c:pt idx="312">
                  <c:v>390.41668438542808</c:v>
                </c:pt>
                <c:pt idx="313">
                  <c:v>392.72847096704157</c:v>
                </c:pt>
                <c:pt idx="314">
                  <c:v>395.04504753291218</c:v>
                </c:pt>
                <c:pt idx="315">
                  <c:v>397.36639536881552</c:v>
                </c:pt>
                <c:pt idx="316">
                  <c:v>399.69249576002517</c:v>
                </c:pt>
                <c:pt idx="317">
                  <c:v>402.02332999152372</c:v>
                </c:pt>
                <c:pt idx="318">
                  <c:v>404.35887934821341</c:v>
                </c:pt>
                <c:pt idx="319">
                  <c:v>406.69912511512524</c:v>
                </c:pt>
                <c:pt idx="320">
                  <c:v>409.04404857762779</c:v>
                </c:pt>
                <c:pt idx="321">
                  <c:v>411.39363102163452</c:v>
                </c:pt>
                <c:pt idx="322">
                  <c:v>413.74785373381036</c:v>
                </c:pt>
                <c:pt idx="323">
                  <c:v>416.10669800177743</c:v>
                </c:pt>
                <c:pt idx="324">
                  <c:v>418.47014511431968</c:v>
                </c:pt>
                <c:pt idx="325">
                  <c:v>420.83817636158648</c:v>
                </c:pt>
                <c:pt idx="326">
                  <c:v>423.21077314732901</c:v>
                </c:pt>
                <c:pt idx="327">
                  <c:v>425.58791710111495</c:v>
                </c:pt>
                <c:pt idx="328">
                  <c:v>427.96958996636937</c:v>
                </c:pt>
                <c:pt idx="329">
                  <c:v>430.35577348843356</c:v>
                </c:pt>
                <c:pt idx="330">
                  <c:v>432.74644941475805</c:v>
                </c:pt>
                <c:pt idx="331">
                  <c:v>435.14159949509531</c:v>
                </c:pt>
                <c:pt idx="332">
                  <c:v>437.54120548169107</c:v>
                </c:pt>
                <c:pt idx="333">
                  <c:v>439.94524912947475</c:v>
                </c:pt>
                <c:pt idx="334">
                  <c:v>442.35371219624915</c:v>
                </c:pt>
                <c:pt idx="335">
                  <c:v>444.766576442879</c:v>
                </c:pt>
                <c:pt idx="336">
                  <c:v>447.18382363347854</c:v>
                </c:pt>
                <c:pt idx="337">
                  <c:v>449.60543553559825</c:v>
                </c:pt>
                <c:pt idx="338">
                  <c:v>452.03139392041049</c:v>
                </c:pt>
                <c:pt idx="339">
                  <c:v>454.46168056289434</c:v>
                </c:pt>
                <c:pt idx="340">
                  <c:v>456.89627724201915</c:v>
                </c:pt>
                <c:pt idx="341">
                  <c:v>459.33516574092761</c:v>
                </c:pt>
                <c:pt idx="342">
                  <c:v>461.77832784711728</c:v>
                </c:pt>
                <c:pt idx="343">
                  <c:v>464.22574535262163</c:v>
                </c:pt>
                <c:pt idx="344">
                  <c:v>466.67740005418972</c:v>
                </c:pt>
                <c:pt idx="345">
                  <c:v>469.13327375346523</c:v>
                </c:pt>
                <c:pt idx="346">
                  <c:v>471.59334825716422</c:v>
                </c:pt>
                <c:pt idx="347">
                  <c:v>474.057605377252</c:v>
                </c:pt>
                <c:pt idx="348">
                  <c:v>476.52602693111908</c:v>
                </c:pt>
                <c:pt idx="349">
                  <c:v>478.99859474175605</c:v>
                </c:pt>
                <c:pt idx="350">
                  <c:v>481.47529063792751</c:v>
                </c:pt>
                <c:pt idx="351">
                  <c:v>483.95609645434496</c:v>
                </c:pt>
                <c:pt idx="352">
                  <c:v>486.44099403183867</c:v>
                </c:pt>
                <c:pt idx="353">
                  <c:v>488.92996521752866</c:v>
                </c:pt>
                <c:pt idx="354">
                  <c:v>491.42299186499451</c:v>
                </c:pt>
                <c:pt idx="355">
                  <c:v>493.92005583444438</c:v>
                </c:pt>
                <c:pt idx="356">
                  <c:v>496.42113899288273</c:v>
                </c:pt>
                <c:pt idx="357">
                  <c:v>498.9262232142774</c:v>
                </c:pt>
                <c:pt idx="358">
                  <c:v>501.43529037972542</c:v>
                </c:pt>
                <c:pt idx="359">
                  <c:v>503.94832237761779</c:v>
                </c:pt>
                <c:pt idx="360">
                  <c:v>506.46530110380343</c:v>
                </c:pt>
                <c:pt idx="361">
                  <c:v>508.98620846175203</c:v>
                </c:pt>
                <c:pt idx="362">
                  <c:v>511.51102636271577</c:v>
                </c:pt>
                <c:pt idx="363">
                  <c:v>514.03973672589018</c:v>
                </c:pt>
                <c:pt idx="364">
                  <c:v>516.57232147857417</c:v>
                </c:pt>
                <c:pt idx="365">
                  <c:v>519.10876255632832</c:v>
                </c:pt>
                <c:pt idx="366">
                  <c:v>521.64904474905177</c:v>
                </c:pt>
                <c:pt idx="367">
                  <c:v>524.19315854590275</c:v>
                </c:pt>
                <c:pt idx="368">
                  <c:v>526.74109728523047</c:v>
                </c:pt>
                <c:pt idx="369">
                  <c:v>529.29285430561185</c:v>
                </c:pt>
                <c:pt idx="370">
                  <c:v>531.84842294590771</c:v>
                </c:pt>
                <c:pt idx="371">
                  <c:v>534.40779654531786</c:v>
                </c:pt>
                <c:pt idx="372">
                  <c:v>536.97096844343707</c:v>
                </c:pt>
                <c:pt idx="373">
                  <c:v>539.53793198030962</c:v>
                </c:pt>
                <c:pt idx="374">
                  <c:v>542.10868049648502</c:v>
                </c:pt>
                <c:pt idx="375">
                  <c:v>544.68320733307235</c:v>
                </c:pt>
                <c:pt idx="376">
                  <c:v>547.26150583179526</c:v>
                </c:pt>
                <c:pt idx="377">
                  <c:v>549.84356933504614</c:v>
                </c:pt>
                <c:pt idx="378">
                  <c:v>552.42939118594063</c:v>
                </c:pt>
                <c:pt idx="379">
                  <c:v>555.01896472837166</c:v>
                </c:pt>
                <c:pt idx="380">
                  <c:v>557.61228330706342</c:v>
                </c:pt>
                <c:pt idx="381">
                  <c:v>560.2093371937342</c:v>
                </c:pt>
                <c:pt idx="382">
                  <c:v>562.81011051464532</c:v>
                </c:pt>
                <c:pt idx="383">
                  <c:v>565.4145843294715</c:v>
                </c:pt>
                <c:pt idx="384">
                  <c:v>568.02273970883641</c:v>
                </c:pt>
                <c:pt idx="385">
                  <c:v>570.63455773446969</c:v>
                </c:pt>
                <c:pt idx="386">
                  <c:v>573.25001949936211</c:v>
                </c:pt>
                <c:pt idx="387">
                  <c:v>575.86910610791949</c:v>
                </c:pt>
                <c:pt idx="388">
                  <c:v>578.49179867611633</c:v>
                </c:pt>
                <c:pt idx="389">
                  <c:v>581.11807833164733</c:v>
                </c:pt>
                <c:pt idx="390">
                  <c:v>583.74792621407823</c:v>
                </c:pt>
                <c:pt idx="391">
                  <c:v>586.38132347499595</c:v>
                </c:pt>
                <c:pt idx="392">
                  <c:v>589.01825127815653</c:v>
                </c:pt>
                <c:pt idx="393">
                  <c:v>591.65869079963295</c:v>
                </c:pt>
                <c:pt idx="394">
                  <c:v>594.30262322796125</c:v>
                </c:pt>
                <c:pt idx="395">
                  <c:v>596.95002976428589</c:v>
                </c:pt>
                <c:pt idx="396">
                  <c:v>599.60089162250347</c:v>
                </c:pt>
                <c:pt idx="397">
                  <c:v>602.25519002940598</c:v>
                </c:pt>
                <c:pt idx="398">
                  <c:v>604.91290622482234</c:v>
                </c:pt>
                <c:pt idx="399">
                  <c:v>607.57402146175912</c:v>
                </c:pt>
                <c:pt idx="400">
                  <c:v>610.23851700654006</c:v>
                </c:pt>
                <c:pt idx="401">
                  <c:v>612.90637172400773</c:v>
                </c:pt>
                <c:pt idx="402">
                  <c:v>615.5775596640807</c:v>
                </c:pt>
                <c:pt idx="403">
                  <c:v>618.2520524811755</c:v>
                </c:pt>
                <c:pt idx="404">
                  <c:v>620.92982185232142</c:v>
                </c:pt>
                <c:pt idx="405">
                  <c:v>623.61083947739746</c:v>
                </c:pt>
                <c:pt idx="406">
                  <c:v>626.29507707936659</c:v>
                </c:pt>
                <c:pt idx="407">
                  <c:v>628.98250640450806</c:v>
                </c:pt>
                <c:pt idx="408">
                  <c:v>631.67309922264712</c:v>
                </c:pt>
                <c:pt idx="409">
                  <c:v>634.36682732738257</c:v>
                </c:pt>
                <c:pt idx="410">
                  <c:v>637.06366253631154</c:v>
                </c:pt>
                <c:pt idx="411">
                  <c:v>639.76356335697892</c:v>
                </c:pt>
                <c:pt idx="412">
                  <c:v>642.46646166144524</c:v>
                </c:pt>
                <c:pt idx="413">
                  <c:v>645.1722760468158</c:v>
                </c:pt>
                <c:pt idx="414">
                  <c:v>647.88092518766075</c:v>
                </c:pt>
                <c:pt idx="415">
                  <c:v>650.59232783725099</c:v>
                </c:pt>
                <c:pt idx="416">
                  <c:v>653.3064028287771</c:v>
                </c:pt>
                <c:pt idx="417">
                  <c:v>656.023069076551</c:v>
                </c:pt>
                <c:pt idx="418">
                  <c:v>658.74224557719106</c:v>
                </c:pt>
                <c:pt idx="419">
                  <c:v>661.4638514107902</c:v>
                </c:pt>
                <c:pt idx="420">
                  <c:v>664.18779816192296</c:v>
                </c:pt>
                <c:pt idx="421">
                  <c:v>666.91398234686756</c:v>
                </c:pt>
                <c:pt idx="422">
                  <c:v>669.64229301185446</c:v>
                </c:pt>
                <c:pt idx="423">
                  <c:v>672.37261932551746</c:v>
                </c:pt>
                <c:pt idx="424">
                  <c:v>675.10485058087602</c:v>
                </c:pt>
                <c:pt idx="425">
                  <c:v>677.83887619728694</c:v>
                </c:pt>
                <c:pt idx="426">
                  <c:v>680.57458572236442</c:v>
                </c:pt>
                <c:pt idx="427">
                  <c:v>683.31186883386931</c:v>
                </c:pt>
                <c:pt idx="428">
                  <c:v>686.05061534156766</c:v>
                </c:pt>
                <c:pt idx="429">
                  <c:v>688.79071518905801</c:v>
                </c:pt>
                <c:pt idx="430">
                  <c:v>691.53205845556806</c:v>
                </c:pt>
                <c:pt idx="431">
                  <c:v>694.27453535772065</c:v>
                </c:pt>
                <c:pt idx="432">
                  <c:v>697.01802404696218</c:v>
                </c:pt>
                <c:pt idx="433">
                  <c:v>699.7623784205523</c:v>
                </c:pt>
                <c:pt idx="434">
                  <c:v>702.50744036046444</c:v>
                </c:pt>
                <c:pt idx="435">
                  <c:v>705.25305195959697</c:v>
                </c:pt>
                <c:pt idx="436">
                  <c:v>707.99905552523455</c:v>
                </c:pt>
                <c:pt idx="437">
                  <c:v>710.74529358244638</c:v>
                </c:pt>
                <c:pt idx="438">
                  <c:v>713.49160887742107</c:v>
                </c:pt>
                <c:pt idx="439">
                  <c:v>716.23784438073869</c:v>
                </c:pt>
                <c:pt idx="440">
                  <c:v>718.98384329057956</c:v>
                </c:pt>
                <c:pt idx="441">
                  <c:v>721.72944903587063</c:v>
                </c:pt>
                <c:pt idx="442">
                  <c:v>724.47451268687644</c:v>
                </c:pt>
                <c:pt idx="443">
                  <c:v>727.21890035510876</c:v>
                </c:pt>
                <c:pt idx="444">
                  <c:v>729.96248576525772</c:v>
                </c:pt>
                <c:pt idx="445">
                  <c:v>732.70514283713146</c:v>
                </c:pt>
                <c:pt idx="446">
                  <c:v>735.4467456874072</c:v>
                </c:pt>
                <c:pt idx="447">
                  <c:v>738.18716863134216</c:v>
                </c:pt>
                <c:pt idx="448">
                  <c:v>740.92628618444496</c:v>
                </c:pt>
                <c:pt idx="449">
                  <c:v>743.66397306410681</c:v>
                </c:pt>
                <c:pt idx="450">
                  <c:v>746.40010419119403</c:v>
                </c:pt>
                <c:pt idx="451">
                  <c:v>749.13455469160044</c:v>
                </c:pt>
                <c:pt idx="452">
                  <c:v>751.86719989776157</c:v>
                </c:pt>
                <c:pt idx="453">
                  <c:v>754.59792595167778</c:v>
                </c:pt>
                <c:pt idx="454">
                  <c:v>757.32664039002009</c:v>
                </c:pt>
                <c:pt idx="455">
                  <c:v>760.05326150658777</c:v>
                </c:pt>
                <c:pt idx="456">
                  <c:v>762.77770773212467</c:v>
                </c:pt>
                <c:pt idx="457">
                  <c:v>765.49989763468864</c:v>
                </c:pt>
                <c:pt idx="458">
                  <c:v>768.21974992000605</c:v>
                </c:pt>
                <c:pt idx="459">
                  <c:v>770.93718343181092</c:v>
                </c:pt>
                <c:pt idx="460">
                  <c:v>773.65211715216822</c:v>
                </c:pt>
                <c:pt idx="461">
                  <c:v>776.36447973960242</c:v>
                </c:pt>
                <c:pt idx="462">
                  <c:v>779.07421905014326</c:v>
                </c:pt>
                <c:pt idx="463">
                  <c:v>781.78129256493651</c:v>
                </c:pt>
                <c:pt idx="464">
                  <c:v>784.48565783473327</c:v>
                </c:pt>
                <c:pt idx="465">
                  <c:v>787.18727247979427</c:v>
                </c:pt>
                <c:pt idx="466">
                  <c:v>789.88608617832358</c:v>
                </c:pt>
                <c:pt idx="467">
                  <c:v>792.58203266951068</c:v>
                </c:pt>
                <c:pt idx="468">
                  <c:v>795.2749485806055</c:v>
                </c:pt>
                <c:pt idx="469">
                  <c:v>797.96460158357081</c:v>
                </c:pt>
                <c:pt idx="470">
                  <c:v>800.65088891350365</c:v>
                </c:pt>
                <c:pt idx="471">
                  <c:v>803.33381716255894</c:v>
                </c:pt>
                <c:pt idx="472">
                  <c:v>806.01339289964346</c:v>
                </c:pt>
                <c:pt idx="473">
                  <c:v>808.68962267052541</c:v>
                </c:pt>
                <c:pt idx="474">
                  <c:v>811.3625129979431</c:v>
                </c:pt>
                <c:pt idx="475">
                  <c:v>814.0320703817132</c:v>
                </c:pt>
                <c:pt idx="476">
                  <c:v>816.69830129883837</c:v>
                </c:pt>
                <c:pt idx="477">
                  <c:v>819.36121220361417</c:v>
                </c:pt>
                <c:pt idx="478">
                  <c:v>822.02080952773531</c:v>
                </c:pt>
                <c:pt idx="479">
                  <c:v>824.67709968040117</c:v>
                </c:pt>
                <c:pt idx="480">
                  <c:v>827.33008904842109</c:v>
                </c:pt>
                <c:pt idx="481">
                  <c:v>829.97978399631859</c:v>
                </c:pt>
                <c:pt idx="482">
                  <c:v>832.62619086643519</c:v>
                </c:pt>
                <c:pt idx="483">
                  <c:v>835.26931597903388</c:v>
                </c:pt>
                <c:pt idx="484">
                  <c:v>837.90916563240137</c:v>
                </c:pt>
                <c:pt idx="485">
                  <c:v>840.54574610295015</c:v>
                </c:pt>
                <c:pt idx="486">
                  <c:v>843.17906364531996</c:v>
                </c:pt>
                <c:pt idx="487">
                  <c:v>845.80912449247853</c:v>
                </c:pt>
                <c:pt idx="488">
                  <c:v>848.43593485582187</c:v>
                </c:pt>
                <c:pt idx="489">
                  <c:v>851.05950092527371</c:v>
                </c:pt>
                <c:pt idx="490">
                  <c:v>853.67982886938466</c:v>
                </c:pt>
                <c:pt idx="491">
                  <c:v>856.29692483543079</c:v>
                </c:pt>
                <c:pt idx="492">
                  <c:v>858.91079494951111</c:v>
                </c:pt>
                <c:pt idx="493">
                  <c:v>861.52144531664555</c:v>
                </c:pt>
                <c:pt idx="494">
                  <c:v>864.12888202087106</c:v>
                </c:pt>
                <c:pt idx="495">
                  <c:v>866.73311112533816</c:v>
                </c:pt>
                <c:pt idx="496">
                  <c:v>869.33413867240654</c:v>
                </c:pt>
                <c:pt idx="497">
                  <c:v>871.93197068374013</c:v>
                </c:pt>
                <c:pt idx="498">
                  <c:v>874.52661316040155</c:v>
                </c:pt>
                <c:pt idx="499">
                  <c:v>877.11807208294613</c:v>
                </c:pt>
                <c:pt idx="500">
                  <c:v>879.70635341151558</c:v>
                </c:pt>
                <c:pt idx="501">
                  <c:v>905.41485913659324</c:v>
                </c:pt>
                <c:pt idx="502">
                  <c:v>930.80942794625344</c:v>
                </c:pt>
                <c:pt idx="503">
                  <c:v>955.89582565768217</c:v>
                </c:pt>
                <c:pt idx="504">
                  <c:v>980.67962600729425</c:v>
                </c:pt>
                <c:pt idx="505">
                  <c:v>1005.166219106284</c:v>
                </c:pt>
                <c:pt idx="506">
                  <c:v>1029.3608194301369</c:v>
                </c:pt>
                <c:pt idx="507">
                  <c:v>1053.2684733727758</c:v>
                </c:pt>
                <c:pt idx="508">
                  <c:v>1076.8940663936735</c:v>
                </c:pt>
                <c:pt idx="509">
                  <c:v>1100.2423297841258</c:v>
                </c:pt>
                <c:pt idx="510">
                  <c:v>1123.3178470769235</c:v>
                </c:pt>
                <c:pt idx="511">
                  <c:v>1146.1250601218715</c:v>
                </c:pt>
                <c:pt idx="512">
                  <c:v>1168.6682748479654</c:v>
                </c:pt>
                <c:pt idx="513">
                  <c:v>1190.9516667315308</c:v>
                </c:pt>
                <c:pt idx="514">
                  <c:v>1212.9792859882482</c:v>
                </c:pt>
                <c:pt idx="515">
                  <c:v>1234.7550625057245</c:v>
                </c:pt>
                <c:pt idx="516">
                  <c:v>1256.2828105320978</c:v>
                </c:pt>
                <c:pt idx="517">
                  <c:v>1277.5662331350941</c:v>
                </c:pt>
                <c:pt idx="518">
                  <c:v>1298.6089264449627</c:v>
                </c:pt>
                <c:pt idx="519">
                  <c:v>1319.4143836938065</c:v>
                </c:pt>
                <c:pt idx="520">
                  <c:v>1339.9859990629805</c:v>
                </c:pt>
                <c:pt idx="521">
                  <c:v>1360.3270713494551</c:v>
                </c:pt>
                <c:pt idx="522">
                  <c:v>1380.4408074613225</c:v>
                </c:pt>
                <c:pt idx="523">
                  <c:v>1400.3303257519585</c:v>
                </c:pt>
                <c:pt idx="524">
                  <c:v>1419.9986592017376</c:v>
                </c:pt>
                <c:pt idx="525">
                  <c:v>1439.4487584556293</c:v>
                </c:pt>
                <c:pt idx="526">
                  <c:v>1458.6834947244754</c:v>
                </c:pt>
                <c:pt idx="527">
                  <c:v>1477.7056625572534</c:v>
                </c:pt>
                <c:pt idx="528">
                  <c:v>1496.5179824911829</c:v>
                </c:pt>
                <c:pt idx="529">
                  <c:v>1515.1231035861019</c:v>
                </c:pt>
                <c:pt idx="530">
                  <c:v>1533.5236058491505</c:v>
                </c:pt>
                <c:pt idx="531">
                  <c:v>1551.7220025554323</c:v>
                </c:pt>
                <c:pt idx="532">
                  <c:v>1569.7207424699809</c:v>
                </c:pt>
                <c:pt idx="533">
                  <c:v>1587.5222119760467</c:v>
                </c:pt>
                <c:pt idx="534">
                  <c:v>1605.1287371144158</c:v>
                </c:pt>
                <c:pt idx="535">
                  <c:v>1622.5425855382023</c:v>
                </c:pt>
                <c:pt idx="536">
                  <c:v>1639.7659683872967</c:v>
                </c:pt>
                <c:pt idx="537">
                  <c:v>1656.8010420864096</c:v>
                </c:pt>
                <c:pt idx="538">
                  <c:v>1673.649910070427</c:v>
                </c:pt>
                <c:pt idx="539">
                  <c:v>1690.3146244405834</c:v>
                </c:pt>
                <c:pt idx="540">
                  <c:v>1706.7971875547607</c:v>
                </c:pt>
                <c:pt idx="541">
                  <c:v>1723.0995535550385</c:v>
                </c:pt>
                <c:pt idx="542">
                  <c:v>1739.2236298354453</c:v>
                </c:pt>
                <c:pt idx="543">
                  <c:v>1755.1712784527042</c:v>
                </c:pt>
                <c:pt idx="544">
                  <c:v>1770.9443174826076</c:v>
                </c:pt>
                <c:pt idx="545">
                  <c:v>1786.5445223245208</c:v>
                </c:pt>
                <c:pt idx="546">
                  <c:v>1801.9736269563734</c:v>
                </c:pt>
                <c:pt idx="547">
                  <c:v>1817.2333251423788</c:v>
                </c:pt>
                <c:pt idx="548">
                  <c:v>1832.3252715955996</c:v>
                </c:pt>
                <c:pt idx="549">
                  <c:v>1847.251083097367</c:v>
                </c:pt>
                <c:pt idx="550">
                  <c:v>1862.0123395754586</c:v>
                </c:pt>
                <c:pt idx="551">
                  <c:v>1876.6105851428426</c:v>
                </c:pt>
                <c:pt idx="552">
                  <c:v>1891.0473290986997</c:v>
                </c:pt>
                <c:pt idx="553">
                  <c:v>1905.3240468933507</c:v>
                </c:pt>
                <c:pt idx="554">
                  <c:v>1919.4421810586357</c:v>
                </c:pt>
                <c:pt idx="555">
                  <c:v>1933.4031421052114</c:v>
                </c:pt>
                <c:pt idx="556">
                  <c:v>1947.208309388162</c:v>
                </c:pt>
                <c:pt idx="557">
                  <c:v>1960.859031942249</c:v>
                </c:pt>
                <c:pt idx="558">
                  <c:v>1974.3566292880639</c:v>
                </c:pt>
                <c:pt idx="559">
                  <c:v>1987.7023922102801</c:v>
                </c:pt>
                <c:pt idx="560">
                  <c:v>2000.8975835091485</c:v>
                </c:pt>
                <c:pt idx="561">
                  <c:v>2013.9434387263243</c:v>
                </c:pt>
                <c:pt idx="562">
                  <c:v>2026.8411668460594</c:v>
                </c:pt>
                <c:pt idx="563">
                  <c:v>2039.5919509727485</c:v>
                </c:pt>
                <c:pt idx="564">
                  <c:v>2052.1969489857684</c:v>
                </c:pt>
                <c:pt idx="565">
                  <c:v>2064.6572941725067</c:v>
                </c:pt>
                <c:pt idx="566">
                  <c:v>2076.9740958404386</c:v>
                </c:pt>
                <c:pt idx="567">
                  <c:v>2089.1484399090614</c:v>
                </c:pt>
                <c:pt idx="568">
                  <c:v>2101.1813894824709</c:v>
                </c:pt>
                <c:pt idx="569">
                  <c:v>2113.0739854033186</c:v>
                </c:pt>
                <c:pt idx="570">
                  <c:v>2124.8272467888651</c:v>
                </c:pt>
                <c:pt idx="571">
                  <c:v>2136.4421715497988</c:v>
                </c:pt>
                <c:pt idx="572">
                  <c:v>2147.9197368924774</c:v>
                </c:pt>
                <c:pt idx="573">
                  <c:v>2159.2608998052028</c:v>
                </c:pt>
                <c:pt idx="574">
                  <c:v>2170.4665975291277</c:v>
                </c:pt>
                <c:pt idx="575">
                  <c:v>2181.5377480143552</c:v>
                </c:pt>
                <c:pt idx="576">
                  <c:v>2192.475250361776</c:v>
                </c:pt>
                <c:pt idx="577">
                  <c:v>2203.2799852511585</c:v>
                </c:pt>
                <c:pt idx="578">
                  <c:v>2213.9528153559904</c:v>
                </c:pt>
                <c:pt idx="579">
                  <c:v>2224.4945857455455</c:v>
                </c:pt>
                <c:pt idx="580">
                  <c:v>2234.9061242746275</c:v>
                </c:pt>
                <c:pt idx="581">
                  <c:v>2245.1882419614312</c:v>
                </c:pt>
                <c:pt idx="582">
                  <c:v>2255.3417333539351</c:v>
                </c:pt>
                <c:pt idx="583">
                  <c:v>2265.3673768852241</c:v>
                </c:pt>
                <c:pt idx="584">
                  <c:v>2275.2659352181313</c:v>
                </c:pt>
                <c:pt idx="585">
                  <c:v>2285.038155579558</c:v>
                </c:pt>
                <c:pt idx="586">
                  <c:v>2294.6847700848321</c:v>
                </c:pt>
                <c:pt idx="587">
                  <c:v>2304.2064960524385</c:v>
                </c:pt>
                <c:pt idx="588">
                  <c:v>2313.6040363094485</c:v>
                </c:pt>
                <c:pt idx="589">
                  <c:v>2322.8780794879558</c:v>
                </c:pt>
                <c:pt idx="590">
                  <c:v>2332.0293003128254</c:v>
                </c:pt>
                <c:pt idx="591">
                  <c:v>2341.0583598810326</c:v>
                </c:pt>
                <c:pt idx="592">
                  <c:v>2349.9659059328783</c:v>
                </c:pt>
                <c:pt idx="593">
                  <c:v>2358.7525731153364</c:v>
                </c:pt>
                <c:pt idx="594">
                  <c:v>2367.4189832377942</c:v>
                </c:pt>
                <c:pt idx="595">
                  <c:v>2375.9657455204278</c:v>
                </c:pt>
                <c:pt idx="596">
                  <c:v>2384.393456835448</c:v>
                </c:pt>
                <c:pt idx="597">
                  <c:v>2392.7027019414427</c:v>
                </c:pt>
                <c:pt idx="598">
                  <c:v>2400.8940537110357</c:v>
                </c:pt>
                <c:pt idx="599">
                  <c:v>2408.9680733520663</c:v>
                </c:pt>
                <c:pt idx="600">
                  <c:v>2416.9253106224974</c:v>
                </c:pt>
                <c:pt idx="601">
                  <c:v>2424.7663040392408</c:v>
                </c:pt>
                <c:pt idx="602">
                  <c:v>2432.4915810810885</c:v>
                </c:pt>
                <c:pt idx="603">
                  <c:v>2440.1016583859314</c:v>
                </c:pt>
                <c:pt idx="604">
                  <c:v>2447.5970419424352</c:v>
                </c:pt>
                <c:pt idx="605">
                  <c:v>2454.9782272763432</c:v>
                </c:pt>
                <c:pt idx="606">
                  <c:v>2462.2456996315645</c:v>
                </c:pt>
                <c:pt idx="607">
                  <c:v>2469.3999341462063</c:v>
                </c:pt>
                <c:pt idx="608">
                  <c:v>2476.4413960236948</c:v>
                </c:pt>
                <c:pt idx="609">
                  <c:v>2483.3705406991344</c:v>
                </c:pt>
                <c:pt idx="610">
                  <c:v>2490.1878140010399</c:v>
                </c:pt>
                <c:pt idx="611">
                  <c:v>2496.8936523085804</c:v>
                </c:pt>
                <c:pt idx="612">
                  <c:v>2503.4884827044611</c:v>
                </c:pt>
                <c:pt idx="613">
                  <c:v>2509.9727231235706</c:v>
                </c:pt>
                <c:pt idx="614">
                  <c:v>2516.3467824975155</c:v>
                </c:pt>
                <c:pt idx="615">
                  <c:v>2522.6110608951585</c:v>
                </c:pt>
                <c:pt idx="616">
                  <c:v>2528.765949659276</c:v>
                </c:pt>
                <c:pt idx="617">
                  <c:v>2534.8118315394418</c:v>
                </c:pt>
                <c:pt idx="618">
                  <c:v>2540.7490808212488</c:v>
                </c:pt>
                <c:pt idx="619">
                  <c:v>2546.5780634519679</c:v>
                </c:pt>
                <c:pt idx="620">
                  <c:v>2552.2991371627481</c:v>
                </c:pt>
                <c:pt idx="621">
                  <c:v>2557.9126515874564</c:v>
                </c:pt>
                <c:pt idx="622">
                  <c:v>2563.4189483782502</c:v>
                </c:pt>
                <c:pt idx="623">
                  <c:v>2568.818361317979</c:v>
                </c:pt>
                <c:pt idx="624">
                  <c:v>2574.1112164295046</c:v>
                </c:pt>
                <c:pt idx="625">
                  <c:v>2579.297832082033</c:v>
                </c:pt>
                <c:pt idx="626">
                  <c:v>2584.3785190945405</c:v>
                </c:pt>
                <c:pt idx="627">
                  <c:v>2589.3535808363858</c:v>
                </c:pt>
                <c:pt idx="628">
                  <c:v>2594.223313325193</c:v>
                </c:pt>
                <c:pt idx="629">
                  <c:v>2598.9880053220886</c:v>
                </c:pt>
                <c:pt idx="630">
                  <c:v>2603.6479384243803</c:v>
                </c:pt>
                <c:pt idx="631">
                  <c:v>2608.2033871557592</c:v>
                </c:pt>
                <c:pt idx="632">
                  <c:v>2612.6546190541144</c:v>
                </c:pt>
                <c:pt idx="633">
                  <c:v>2617.0018947570452</c:v>
                </c:pt>
                <c:pt idx="634">
                  <c:v>2621.2454680851556</c:v>
                </c:pt>
                <c:pt idx="635">
                  <c:v>2625.3855861232259</c:v>
                </c:pt>
                <c:pt idx="636">
                  <c:v>2629.4224892993516</c:v>
                </c:pt>
                <c:pt idx="637">
                  <c:v>2633.3564114621449</c:v>
                </c:pt>
                <c:pt idx="638">
                  <c:v>2637.1875799561021</c:v>
                </c:pt>
                <c:pt idx="639">
                  <c:v>2640.9162156952402</c:v>
                </c:pt>
                <c:pt idx="640">
                  <c:v>2644.5425332351178</c:v>
                </c:pt>
                <c:pt idx="641">
                  <c:v>2648.0667408433587</c:v>
                </c:pt>
                <c:pt idx="642">
                  <c:v>2651.4890405688125</c:v>
                </c:pt>
                <c:pt idx="643">
                  <c:v>2654.8096283094892</c:v>
                </c:pt>
                <c:pt idx="644">
                  <c:v>2658.028693879427</c:v>
                </c:pt>
                <c:pt idx="645">
                  <c:v>2661.1464210746649</c:v>
                </c:pt>
                <c:pt idx="646">
                  <c:v>2664.1629877385076</c:v>
                </c:pt>
                <c:pt idx="647">
                  <c:v>2667.0785658263017</c:v>
                </c:pt>
                <c:pt idx="648">
                  <c:v>2669.8933214699578</c:v>
                </c:pt>
                <c:pt idx="649">
                  <c:v>2672.607415042492</c:v>
                </c:pt>
                <c:pt idx="650">
                  <c:v>2675.2210012228948</c:v>
                </c:pt>
                <c:pt idx="651">
                  <c:v>2677.7342290616766</c:v>
                </c:pt>
                <c:pt idx="652">
                  <c:v>2680.1472420474902</c:v>
                </c:pt>
                <c:pt idx="653">
                  <c:v>2682.4601781752872</c:v>
                </c:pt>
                <c:pt idx="654">
                  <c:v>2684.6731700165351</c:v>
                </c:pt>
                <c:pt idx="655">
                  <c:v>2686.7863447920968</c:v>
                </c:pt>
                <c:pt idx="656">
                  <c:v>2688.7998244484629</c:v>
                </c:pt>
                <c:pt idx="657">
                  <c:v>2690.7137257381282</c:v>
                </c:pt>
                <c:pt idx="658">
                  <c:v>2692.528160305023</c:v>
                </c:pt>
                <c:pt idx="659">
                  <c:v>2694.2432347760264</c:v>
                </c:pt>
                <c:pt idx="660">
                  <c:v>2695.8590508597376</c:v>
                </c:pt>
                <c:pt idx="661">
                  <c:v>2697.3757054538255</c:v>
                </c:pt>
                <c:pt idx="662">
                  <c:v>2698.7932907624336</c:v>
                </c:pt>
                <c:pt idx="663">
                  <c:v>2700.1118944252758</c:v>
                </c:pt>
                <c:pt idx="664">
                  <c:v>2701.3315996602023</c:v>
                </c:pt>
                <c:pt idx="665">
                  <c:v>2702.4524854211468</c:v>
                </c:pt>
                <c:pt idx="666">
                  <c:v>2703.4746265734448</c:v>
                </c:pt>
                <c:pt idx="667">
                  <c:v>2704.3980940885499</c:v>
                </c:pt>
                <c:pt idx="668">
                  <c:v>2705.2229552601057</c:v>
                </c:pt>
                <c:pt idx="669">
                  <c:v>2705.9492739431603</c:v>
                </c:pt>
                <c:pt idx="670">
                  <c:v>2706.5771108179933</c:v>
                </c:pt>
                <c:pt idx="671">
                  <c:v>2707.1065236795362</c:v>
                </c:pt>
                <c:pt idx="672">
                  <c:v>2707.5375677527045</c:v>
                </c:pt>
                <c:pt idx="673">
                  <c:v>2707.8702960331229</c:v>
                </c:pt>
                <c:pt idx="674">
                  <c:v>2708.1047596517337</c:v>
                </c:pt>
                <c:pt idx="675">
                  <c:v>2708.2410082607034</c:v>
                </c:pt>
                <c:pt idx="676">
                  <c:v>2708.2790904369535</c:v>
                </c:pt>
                <c:pt idx="677">
                  <c:v>2708.2190540986394</c:v>
                </c:pt>
                <c:pt idx="678">
                  <c:v>2708.0609469291044</c:v>
                </c:pt>
                <c:pt idx="679">
                  <c:v>2707.8048168023124</c:v>
                </c:pt>
                <c:pt idx="680">
                  <c:v>2707.4507122036071</c:v>
                </c:pt>
                <c:pt idx="681">
                  <c:v>2706.9986826398558</c:v>
                </c:pt>
                <c:pt idx="682">
                  <c:v>2706.4487790335907</c:v>
                </c:pt>
                <c:pt idx="683">
                  <c:v>2705.8010540966015</c:v>
                </c:pt>
                <c:pt idx="684">
                  <c:v>2705.0555626794503</c:v>
                </c:pt>
                <c:pt idx="685">
                  <c:v>2704.2123620944744</c:v>
                </c:pt>
                <c:pt idx="686">
                  <c:v>2703.2715124109191</c:v>
                </c:pt>
                <c:pt idx="687">
                  <c:v>2702.2330767218123</c:v>
                </c:pt>
                <c:pt idx="688">
                  <c:v>2701.0971213830121</c:v>
                </c:pt>
                <c:pt idx="689">
                  <c:v>2699.8637162255009</c:v>
                </c:pt>
                <c:pt idx="690">
                  <c:v>2698.5329347424563</c:v>
                </c:pt>
                <c:pt idx="691">
                  <c:v>2697.1048542529343</c:v>
                </c:pt>
                <c:pt idx="692">
                  <c:v>2695.5795560441456</c:v>
                </c:pt>
                <c:pt idx="693">
                  <c:v>2693.9571254943558</c:v>
                </c:pt>
                <c:pt idx="694">
                  <c:v>2692.2376521783995</c:v>
                </c:pt>
                <c:pt idx="695">
                  <c:v>2690.4212299577016</c:v>
                </c:pt>
                <c:pt idx="696">
                  <c:v>2688.5079570565654</c:v>
                </c:pt>
                <c:pt idx="697">
                  <c:v>2686.4979361263345</c:v>
                </c:pt>
                <c:pt idx="698">
                  <c:v>2684.391274298875</c:v>
                </c:pt>
                <c:pt idx="699">
                  <c:v>2682.1880832306701</c:v>
                </c:pt>
                <c:pt idx="700">
                  <c:v>2679.8884791386618</c:v>
                </c:pt>
                <c:pt idx="701">
                  <c:v>2677.4925828288442</c:v>
                </c:pt>
                <c:pt idx="702">
                  <c:v>2675.0005197184769</c:v>
                </c:pt>
                <c:pt idx="703">
                  <c:v>2672.412419852677</c:v>
                </c:pt>
                <c:pt idx="704">
                  <c:v>2669.7284179160515</c:v>
                </c:pt>
                <c:pt idx="705">
                  <c:v>2666.9486532399355</c:v>
                </c:pt>
                <c:pt idx="706">
                  <c:v>2664.07326980573</c:v>
                </c:pt>
                <c:pt idx="707">
                  <c:v>2661.1024162447629</c:v>
                </c:pt>
                <c:pt idx="708">
                  <c:v>2658.0362458350464</c:v>
                </c:pt>
                <c:pt idx="709">
                  <c:v>2654.8749164952396</c:v>
                </c:pt>
                <c:pt idx="710">
                  <c:v>2651.6185907760992</c:v>
                </c:pt>
                <c:pt idx="711">
                  <c:v>2648.267435849652</c:v>
                </c:pt>
                <c:pt idx="712">
                  <c:v>2644.8216234962974</c:v>
                </c:pt>
                <c:pt idx="713">
                  <c:v>2641.2813300900175</c:v>
                </c:pt>
                <c:pt idx="714">
                  <c:v>2637.6467365818548</c:v>
                </c:pt>
                <c:pt idx="715">
                  <c:v>2633.9180284817908</c:v>
                </c:pt>
                <c:pt idx="716">
                  <c:v>2630.0953958391447</c:v>
                </c:pt>
                <c:pt idx="717">
                  <c:v>2626.1790332216019</c:v>
                </c:pt>
                <c:pt idx="718">
                  <c:v>2622.1691396929573</c:v>
                </c:pt>
                <c:pt idx="719">
                  <c:v>2618.0659187896608</c:v>
                </c:pt>
                <c:pt idx="720">
                  <c:v>2613.8695784962365</c:v>
                </c:pt>
                <c:pt idx="721">
                  <c:v>2609.5803312196344</c:v>
                </c:pt>
                <c:pt idx="722">
                  <c:v>2605.1983937625814</c:v>
                </c:pt>
                <c:pt idx="723">
                  <c:v>2600.723987295974</c:v>
                </c:pt>
                <c:pt idx="724">
                  <c:v>2596.1573373303631</c:v>
                </c:pt>
                <c:pt idx="725">
                  <c:v>2591.4986736865758</c:v>
                </c:pt>
                <c:pt idx="726">
                  <c:v>2586.7482304655032</c:v>
                </c:pt>
                <c:pt idx="727">
                  <c:v>2581.9062460170994</c:v>
                </c:pt>
                <c:pt idx="728">
                  <c:v>2576.972962908615</c:v>
                </c:pt>
                <c:pt idx="729">
                  <c:v>2571.9486278920999</c:v>
                </c:pt>
                <c:pt idx="730">
                  <c:v>2566.833491871198</c:v>
                </c:pt>
                <c:pt idx="731">
                  <c:v>2561.6278098672637</c:v>
                </c:pt>
                <c:pt idx="732">
                  <c:v>2556.331840984818</c:v>
                </c:pt>
                <c:pt idx="733">
                  <c:v>2550.9458483763706</c:v>
                </c:pt>
                <c:pt idx="734">
                  <c:v>2545.4700992066287</c:v>
                </c:pt>
                <c:pt idx="735">
                  <c:v>2539.9048646161064</c:v>
                </c:pt>
                <c:pt idx="736">
                  <c:v>2534.2504196841624</c:v>
                </c:pt>
                <c:pt idx="737">
                  <c:v>2528.5070433914748</c:v>
                </c:pt>
                <c:pt idx="738">
                  <c:v>2522.6750185819765</c:v>
                </c:pt>
                <c:pt idx="739">
                  <c:v>2516.7546319242633</c:v>
                </c:pt>
                <c:pt idx="740">
                  <c:v>2510.7461738724937</c:v>
                </c:pt>
                <c:pt idx="741">
                  <c:v>2504.6499386267942</c:v>
                </c:pt>
                <c:pt idx="742">
                  <c:v>2498.4662240931825</c:v>
                </c:pt>
                <c:pt idx="743">
                  <c:v>2492.1953318430292</c:v>
                </c:pt>
                <c:pt idx="744">
                  <c:v>2485.8375670720648</c:v>
                </c:pt>
                <c:pt idx="745">
                  <c:v>2479.3932385589519</c:v>
                </c:pt>
                <c:pt idx="746">
                  <c:v>2472.8626586234318</c:v>
                </c:pt>
                <c:pt idx="747">
                  <c:v>2466.2461430840617</c:v>
                </c:pt>
                <c:pt idx="748">
                  <c:v>2459.5440112155547</c:v>
                </c:pt>
                <c:pt idx="749">
                  <c:v>2452.7565857057325</c:v>
                </c:pt>
                <c:pt idx="750">
                  <c:v>2445.8841926121099</c:v>
                </c:pt>
                <c:pt idx="751">
                  <c:v>2438.9271613181177</c:v>
                </c:pt>
                <c:pt idx="752">
                  <c:v>2431.8858244889793</c:v>
                </c:pt>
                <c:pt idx="753">
                  <c:v>2424.7605180272526</c:v>
                </c:pt>
                <c:pt idx="754">
                  <c:v>2417.5515810280494</c:v>
                </c:pt>
                <c:pt idx="755">
                  <c:v>2410.259355733946</c:v>
                </c:pt>
                <c:pt idx="756">
                  <c:v>2402.8841874895938</c:v>
                </c:pt>
                <c:pt idx="757">
                  <c:v>2395.4264246960447</c:v>
                </c:pt>
                <c:pt idx="758">
                  <c:v>2387.8864187648028</c:v>
                </c:pt>
                <c:pt idx="759">
                  <c:v>2380.264524071612</c:v>
                </c:pt>
                <c:pt idx="760">
                  <c:v>2372.5610979099938</c:v>
                </c:pt>
                <c:pt idx="761">
                  <c:v>2364.7765004445473</c:v>
                </c:pt>
                <c:pt idx="762">
                  <c:v>2356.9110946640199</c:v>
                </c:pt>
                <c:pt idx="763">
                  <c:v>2348.9652463341627</c:v>
                </c:pt>
                <c:pt idx="764">
                  <c:v>2340.9393239503829</c:v>
                </c:pt>
                <c:pt idx="765">
                  <c:v>2332.8336986902027</c:v>
                </c:pt>
                <c:pt idx="766">
                  <c:v>2324.648744365536</c:v>
                </c:pt>
                <c:pt idx="767">
                  <c:v>2316.3848373747965</c:v>
                </c:pt>
                <c:pt idx="768">
                  <c:v>2308.0423566548466</c:v>
                </c:pt>
                <c:pt idx="769">
                  <c:v>2299.6216836327994</c:v>
                </c:pt>
                <c:pt idx="770">
                  <c:v>2291.123202177685</c:v>
                </c:pt>
                <c:pt idx="771">
                  <c:v>2282.54729855199</c:v>
                </c:pt>
                <c:pt idx="772">
                  <c:v>2273.8943613630854</c:v>
                </c:pt>
                <c:pt idx="773">
                  <c:v>2265.1647815145516</c:v>
                </c:pt>
                <c:pt idx="774">
                  <c:v>2256.3589521574099</c:v>
                </c:pt>
                <c:pt idx="775">
                  <c:v>2247.4772686412762</c:v>
                </c:pt>
                <c:pt idx="776">
                  <c:v>2238.5201284654418</c:v>
                </c:pt>
                <c:pt idx="777">
                  <c:v>2229.4879312298967</c:v>
                </c:pt>
                <c:pt idx="778">
                  <c:v>2220.381078586307</c:v>
                </c:pt>
                <c:pt idx="779">
                  <c:v>2211.1999741889495</c:v>
                </c:pt>
                <c:pt idx="780">
                  <c:v>2201.9450236456246</c:v>
                </c:pt>
                <c:pt idx="781">
                  <c:v>2192.6166344685498</c:v>
                </c:pt>
                <c:pt idx="782">
                  <c:v>2183.2152160252499</c:v>
                </c:pt>
                <c:pt idx="783">
                  <c:v>2173.7411794894492</c:v>
                </c:pt>
                <c:pt idx="784">
                  <c:v>2164.19493779198</c:v>
                </c:pt>
                <c:pt idx="785">
                  <c:v>2154.5769055717174</c:v>
                </c:pt>
                <c:pt idx="786">
                  <c:v>2144.8874991265475</c:v>
                </c:pt>
                <c:pt idx="787">
                  <c:v>2135.1271363643832</c:v>
                </c:pt>
                <c:pt idx="788">
                  <c:v>2125.2962367542341</c:v>
                </c:pt>
                <c:pt idx="789">
                  <c:v>2115.395221277342</c:v>
                </c:pt>
                <c:pt idx="790">
                  <c:v>2105.4245123783944</c:v>
                </c:pt>
                <c:pt idx="791">
                  <c:v>2095.3845339168183</c:v>
                </c:pt>
                <c:pt idx="792">
                  <c:v>2085.2757111181736</c:v>
                </c:pt>
                <c:pt idx="793">
                  <c:v>2075.0984705256483</c:v>
                </c:pt>
                <c:pt idx="794">
                  <c:v>2064.8532399516675</c:v>
                </c:pt>
                <c:pt idx="795">
                  <c:v>2054.5404484296268</c:v>
                </c:pt>
                <c:pt idx="796">
                  <c:v>2044.1605261657567</c:v>
                </c:pt>
                <c:pt idx="797">
                  <c:v>2033.7139044911301</c:v>
                </c:pt>
                <c:pt idx="798">
                  <c:v>2023.2010158138191</c:v>
                </c:pt>
                <c:pt idx="799">
                  <c:v>2012.6222935712124</c:v>
                </c:pt>
                <c:pt idx="800">
                  <c:v>2001.9781721824997</c:v>
                </c:pt>
                <c:pt idx="801">
                  <c:v>1991.269087001335</c:v>
                </c:pt>
                <c:pt idx="802">
                  <c:v>1980.4954742686837</c:v>
                </c:pt>
                <c:pt idx="803">
                  <c:v>1969.6577710658651</c:v>
                </c:pt>
                <c:pt idx="804">
                  <c:v>1958.7564152677969</c:v>
                </c:pt>
                <c:pt idx="805">
                  <c:v>1947.7918454964502</c:v>
                </c:pt>
                <c:pt idx="806">
                  <c:v>1936.7645010745239</c:v>
                </c:pt>
                <c:pt idx="807">
                  <c:v>1925.6748219793449</c:v>
                </c:pt>
                <c:pt idx="808">
                  <c:v>1914.523248797004</c:v>
                </c:pt>
                <c:pt idx="809">
                  <c:v>1903.3102226767335</c:v>
                </c:pt>
                <c:pt idx="810">
                  <c:v>1892.0361852855342</c:v>
                </c:pt>
                <c:pt idx="811">
                  <c:v>1880.7015787630612</c:v>
                </c:pt>
                <c:pt idx="812">
                  <c:v>1869.3068456767733</c:v>
                </c:pt>
                <c:pt idx="813">
                  <c:v>1857.8524289773545</c:v>
                </c:pt>
                <c:pt idx="814">
                  <c:v>1846.3387719544146</c:v>
                </c:pt>
                <c:pt idx="815">
                  <c:v>1834.7663181924754</c:v>
                </c:pt>
                <c:pt idx="816">
                  <c:v>1823.1355115272502</c:v>
                </c:pt>
                <c:pt idx="817">
                  <c:v>1811.4467960022214</c:v>
                </c:pt>
                <c:pt idx="818">
                  <c:v>1799.7006158255251</c:v>
                </c:pt>
                <c:pt idx="819">
                  <c:v>1787.8974153271472</c:v>
                </c:pt>
                <c:pt idx="820">
                  <c:v>1776.0376389164378</c:v>
                </c:pt>
                <c:pt idx="821">
                  <c:v>1764.1217310399502</c:v>
                </c:pt>
                <c:pt idx="822">
                  <c:v>1752.1501361396101</c:v>
                </c:pt>
                <c:pt idx="823">
                  <c:v>1740.1232986112213</c:v>
                </c:pt>
                <c:pt idx="824">
                  <c:v>1728.0416627633128</c:v>
                </c:pt>
                <c:pt idx="825">
                  <c:v>1715.9056727763332</c:v>
                </c:pt>
                <c:pt idx="826">
                  <c:v>1703.7157726621972</c:v>
                </c:pt>
                <c:pt idx="827">
                  <c:v>1691.4724062241917</c:v>
                </c:pt>
                <c:pt idx="828">
                  <c:v>1679.1760170172424</c:v>
                </c:pt>
                <c:pt idx="829">
                  <c:v>1666.8270483085498</c:v>
                </c:pt>
                <c:pt idx="830">
                  <c:v>1654.4259430385973</c:v>
                </c:pt>
                <c:pt idx="831">
                  <c:v>1641.9731437825355</c:v>
                </c:pt>
                <c:pt idx="832">
                  <c:v>1629.4690927119502</c:v>
                </c:pt>
                <c:pt idx="833">
                  <c:v>1616.9142315570139</c:v>
                </c:pt>
                <c:pt idx="834">
                  <c:v>1604.3090015690286</c:v>
                </c:pt>
                <c:pt idx="835">
                  <c:v>1591.6538434833635</c:v>
                </c:pt>
                <c:pt idx="836">
                  <c:v>1578.9491974827886</c:v>
                </c:pt>
                <c:pt idx="837">
                  <c:v>1566.1955031612115</c:v>
                </c:pt>
                <c:pt idx="838">
                  <c:v>1553.3931994878194</c:v>
                </c:pt>
                <c:pt idx="839">
                  <c:v>1540.5427247716289</c:v>
                </c:pt>
                <c:pt idx="840">
                  <c:v>1527.6445166264484</c:v>
                </c:pt>
                <c:pt idx="841">
                  <c:v>1514.6990119362558</c:v>
                </c:pt>
                <c:pt idx="842">
                  <c:v>1501.7066468209935</c:v>
                </c:pt>
                <c:pt idx="843">
                  <c:v>1488.6678566027852</c:v>
                </c:pt>
                <c:pt idx="844">
                  <c:v>1475.5830757725755</c:v>
                </c:pt>
                <c:pt idx="845">
                  <c:v>1462.4527379571969</c:v>
                </c:pt>
                <c:pt idx="846">
                  <c:v>1449.2772758868634</c:v>
                </c:pt>
                <c:pt idx="847">
                  <c:v>1436.0571213630976</c:v>
                </c:pt>
                <c:pt idx="848">
                  <c:v>1422.7927052270882</c:v>
                </c:pt>
                <c:pt idx="849">
                  <c:v>1409.4844573284843</c:v>
                </c:pt>
                <c:pt idx="850">
                  <c:v>1396.1328064946258</c:v>
                </c:pt>
                <c:pt idx="851">
                  <c:v>1382.7381805002126</c:v>
                </c:pt>
                <c:pt idx="852">
                  <c:v>1369.3010060374133</c:v>
                </c:pt>
                <c:pt idx="853">
                  <c:v>1355.8217086864167</c:v>
                </c:pt>
                <c:pt idx="854">
                  <c:v>1342.3007128864249</c:v>
                </c:pt>
                <c:pt idx="855">
                  <c:v>1328.7384419070909</c:v>
                </c:pt>
                <c:pt idx="856">
                  <c:v>1315.1353178204015</c:v>
                </c:pt>
                <c:pt idx="857">
                  <c:v>1301.4917614730061</c:v>
                </c:pt>
                <c:pt idx="858">
                  <c:v>1287.8081924589917</c:v>
                </c:pt>
                <c:pt idx="859">
                  <c:v>1274.085029093106</c:v>
                </c:pt>
                <c:pt idx="860">
                  <c:v>1260.3226883844277</c:v>
                </c:pt>
                <c:pt idx="861">
                  <c:v>1246.5215860104861</c:v>
                </c:pt>
                <c:pt idx="862">
                  <c:v>1232.6821362918274</c:v>
                </c:pt>
                <c:pt idx="863">
                  <c:v>1218.8047521670321</c:v>
                </c:pt>
                <c:pt idx="864">
                  <c:v>1204.8898451681791</c:v>
                </c:pt>
                <c:pt idx="865">
                  <c:v>1190.9378253967591</c:v>
                </c:pt>
                <c:pt idx="866">
                  <c:v>1176.9491015000365</c:v>
                </c:pt>
                <c:pt idx="867">
                  <c:v>1162.9240806478595</c:v>
                </c:pt>
                <c:pt idx="868">
                  <c:v>1148.8631685099169</c:v>
                </c:pt>
                <c:pt idx="869">
                  <c:v>1134.766769233443</c:v>
                </c:pt>
                <c:pt idx="870">
                  <c:v>1120.6352854213678</c:v>
                </c:pt>
                <c:pt idx="871">
                  <c:v>1106.469118110914</c:v>
                </c:pt>
                <c:pt idx="872">
                  <c:v>1092.2686667526366</c:v>
                </c:pt>
                <c:pt idx="873">
                  <c:v>1078.0343291899087</c:v>
                </c:pt>
                <c:pt idx="874">
                  <c:v>1063.7665016388476</c:v>
                </c:pt>
                <c:pt idx="875">
                  <c:v>1049.4655786686831</c:v>
                </c:pt>
                <c:pt idx="876">
                  <c:v>1035.1319531825661</c:v>
                </c:pt>
                <c:pt idx="877">
                  <c:v>1020.7660163988155</c:v>
                </c:pt>
                <c:pt idx="878">
                  <c:v>1006.3681578326011</c:v>
                </c:pt>
                <c:pt idx="879">
                  <c:v>991.9387652780639</c:v>
                </c:pt>
                <c:pt idx="880">
                  <c:v>977.47822479086813</c:v>
                </c:pt>
                <c:pt idx="881">
                  <c:v>962.98692067118679</c:v>
                </c:pt>
                <c:pt idx="882">
                  <c:v>948.46523544711613</c:v>
                </c:pt>
                <c:pt idx="883">
                  <c:v>933.91354985851888</c:v>
                </c:pt>
                <c:pt idx="884">
                  <c:v>919.3322428412929</c:v>
                </c:pt>
                <c:pt idx="885">
                  <c:v>904.72169151206401</c:v>
                </c:pt>
                <c:pt idx="886">
                  <c:v>890.08227115330044</c:v>
                </c:pt>
                <c:pt idx="887">
                  <c:v>875.41435519884647</c:v>
                </c:pt>
                <c:pt idx="888">
                  <c:v>860.71831521987292</c:v>
                </c:pt>
                <c:pt idx="889">
                  <c:v>845.99452091124215</c:v>
                </c:pt>
                <c:pt idx="890">
                  <c:v>831.24334007828497</c:v>
                </c:pt>
                <c:pt idx="891">
                  <c:v>816.46513862398695</c:v>
                </c:pt>
                <c:pt idx="892">
                  <c:v>801.6602805365809</c:v>
                </c:pt>
                <c:pt idx="893">
                  <c:v>786.82912787754367</c:v>
                </c:pt>
                <c:pt idx="894">
                  <c:v>771.97204076999367</c:v>
                </c:pt>
                <c:pt idx="895">
                  <c:v>757.08937738748682</c:v>
                </c:pt>
                <c:pt idx="896">
                  <c:v>742.18149394320722</c:v>
                </c:pt>
                <c:pt idx="897">
                  <c:v>727.24874467955033</c:v>
                </c:pt>
                <c:pt idx="898">
                  <c:v>712.29148185809527</c:v>
                </c:pt>
                <c:pt idx="899">
                  <c:v>697.31005574996288</c:v>
                </c:pt>
                <c:pt idx="900">
                  <c:v>682.30481462655666</c:v>
                </c:pt>
                <c:pt idx="901">
                  <c:v>667.27610475068332</c:v>
                </c:pt>
                <c:pt idx="902">
                  <c:v>652.22427036804947</c:v>
                </c:pt>
                <c:pt idx="903">
                  <c:v>637.1496536991317</c:v>
                </c:pt>
                <c:pt idx="904">
                  <c:v>622.05259493141534</c:v>
                </c:pt>
                <c:pt idx="905">
                  <c:v>606.93343221199996</c:v>
                </c:pt>
                <c:pt idx="906">
                  <c:v>591.79250164056759</c:v>
                </c:pt>
                <c:pt idx="907">
                  <c:v>576.63013726270958</c:v>
                </c:pt>
                <c:pt idx="908">
                  <c:v>561.44667106360953</c:v>
                </c:pt>
                <c:pt idx="909">
                  <c:v>546.24243296207783</c:v>
                </c:pt>
                <c:pt idx="910">
                  <c:v>531.01775080493462</c:v>
                </c:pt>
                <c:pt idx="911">
                  <c:v>515.77295036173746</c:v>
                </c:pt>
                <c:pt idx="912">
                  <c:v>500.50835531985018</c:v>
                </c:pt>
                <c:pt idx="913">
                  <c:v>485.22428727984862</c:v>
                </c:pt>
                <c:pt idx="914">
                  <c:v>469.92106575126002</c:v>
                </c:pt>
                <c:pt idx="915">
                  <c:v>454.59900814863209</c:v>
                </c:pt>
                <c:pt idx="916">
                  <c:v>439.25842978792804</c:v>
                </c:pt>
                <c:pt idx="917">
                  <c:v>423.89964388324353</c:v>
                </c:pt>
                <c:pt idx="918">
                  <c:v>408.52296154384186</c:v>
                </c:pt>
                <c:pt idx="919">
                  <c:v>393.1286917715035</c:v>
                </c:pt>
                <c:pt idx="920">
                  <c:v>377.71714145818578</c:v>
                </c:pt>
                <c:pt idx="921">
                  <c:v>362.28861538398957</c:v>
                </c:pt>
                <c:pt idx="922">
                  <c:v>346.84341621542785</c:v>
                </c:pt>
                <c:pt idx="923">
                  <c:v>331.38184450399336</c:v>
                </c:pt>
                <c:pt idx="924">
                  <c:v>315.90419868502067</c:v>
                </c:pt>
                <c:pt idx="925">
                  <c:v>300.410775076839</c:v>
                </c:pt>
                <c:pt idx="926">
                  <c:v>284.90186788021157</c:v>
                </c:pt>
                <c:pt idx="927">
                  <c:v>269.37776917805775</c:v>
                </c:pt>
                <c:pt idx="928">
                  <c:v>253.83876893545366</c:v>
                </c:pt>
                <c:pt idx="929">
                  <c:v>238.28515499990777</c:v>
                </c:pt>
                <c:pt idx="930">
                  <c:v>222.71721310190696</c:v>
                </c:pt>
                <c:pt idx="931">
                  <c:v>207.13522685572906</c:v>
                </c:pt>
                <c:pt idx="932">
                  <c:v>191.53947776051825</c:v>
                </c:pt>
                <c:pt idx="933">
                  <c:v>175.93024520161896</c:v>
                </c:pt>
                <c:pt idx="934">
                  <c:v>160.30780645216433</c:v>
                </c:pt>
                <c:pt idx="935">
                  <c:v>144.67243667491525</c:v>
                </c:pt>
                <c:pt idx="936">
                  <c:v>129.02440892434592</c:v>
                </c:pt>
                <c:pt idx="937">
                  <c:v>113.36399414897203</c:v>
                </c:pt>
                <c:pt idx="938">
                  <c:v>97.691461193917377</c:v>
                </c:pt>
                <c:pt idx="939">
                  <c:v>82.007076803715151</c:v>
                </c:pt>
                <c:pt idx="940">
                  <c:v>66.311105625339664</c:v>
                </c:pt>
                <c:pt idx="941">
                  <c:v>50.603810211464726</c:v>
                </c:pt>
                <c:pt idx="942">
                  <c:v>34.885451023944647</c:v>
                </c:pt>
                <c:pt idx="943">
                  <c:v>19.15628643751387</c:v>
                </c:pt>
                <c:pt idx="944">
                  <c:v>3.4165727437013285</c:v>
                </c:pt>
                <c:pt idx="945">
                  <c:v>-12.33343584504439</c:v>
                </c:pt>
                <c:pt idx="946">
                  <c:v>-12.349190942745714</c:v>
                </c:pt>
                <c:pt idx="947">
                  <c:v>-12.364946050364122</c:v>
                </c:pt>
                <c:pt idx="948">
                  <c:v>-12.380701167899362</c:v>
                </c:pt>
                <c:pt idx="949">
                  <c:v>-12.396456295351188</c:v>
                </c:pt>
                <c:pt idx="950">
                  <c:v>-12.412211432719349</c:v>
                </c:pt>
                <c:pt idx="951">
                  <c:v>-12.427966580003599</c:v>
                </c:pt>
                <c:pt idx="952">
                  <c:v>-12.443721737203687</c:v>
                </c:pt>
                <c:pt idx="953">
                  <c:v>-12.459476904319365</c:v>
                </c:pt>
                <c:pt idx="954">
                  <c:v>-12.475232081350384</c:v>
                </c:pt>
                <c:pt idx="955">
                  <c:v>-12.490987268296497</c:v>
                </c:pt>
                <c:pt idx="956">
                  <c:v>-12.506742465157453</c:v>
                </c:pt>
                <c:pt idx="957">
                  <c:v>-12.522497671933005</c:v>
                </c:pt>
                <c:pt idx="958">
                  <c:v>-12.538252888622903</c:v>
                </c:pt>
                <c:pt idx="959">
                  <c:v>-12.5540081152269</c:v>
                </c:pt>
                <c:pt idx="960">
                  <c:v>-12.569763351744745</c:v>
                </c:pt>
                <c:pt idx="961">
                  <c:v>-12.585518598176193</c:v>
                </c:pt>
                <c:pt idx="962">
                  <c:v>-12.601273854520993</c:v>
                </c:pt>
                <c:pt idx="963">
                  <c:v>-12.617029120778897</c:v>
                </c:pt>
                <c:pt idx="964">
                  <c:v>-12.632784396949656</c:v>
                </c:pt>
                <c:pt idx="965">
                  <c:v>-12.648539683033022</c:v>
                </c:pt>
                <c:pt idx="966">
                  <c:v>-12.664294979028744</c:v>
                </c:pt>
                <c:pt idx="967">
                  <c:v>-12.680050284936577</c:v>
                </c:pt>
                <c:pt idx="968">
                  <c:v>-12.69580560075627</c:v>
                </c:pt>
                <c:pt idx="969">
                  <c:v>-12.711560926487575</c:v>
                </c:pt>
                <c:pt idx="970">
                  <c:v>-12.727316262130243</c:v>
                </c:pt>
                <c:pt idx="971">
                  <c:v>-12.743071607684026</c:v>
                </c:pt>
                <c:pt idx="972">
                  <c:v>-12.758826963148675</c:v>
                </c:pt>
                <c:pt idx="973">
                  <c:v>-12.774582328523941</c:v>
                </c:pt>
                <c:pt idx="974">
                  <c:v>-12.790337703809577</c:v>
                </c:pt>
                <c:pt idx="975">
                  <c:v>-12.806093089005332</c:v>
                </c:pt>
                <c:pt idx="976">
                  <c:v>-12.821848484110959</c:v>
                </c:pt>
                <c:pt idx="977">
                  <c:v>-12.837603889126209</c:v>
                </c:pt>
                <c:pt idx="978">
                  <c:v>-12.853359304050834</c:v>
                </c:pt>
                <c:pt idx="979">
                  <c:v>-12.869114728884584</c:v>
                </c:pt>
                <c:pt idx="980">
                  <c:v>-12.884870163627212</c:v>
                </c:pt>
                <c:pt idx="981">
                  <c:v>-12.900625608278469</c:v>
                </c:pt>
                <c:pt idx="982">
                  <c:v>-12.916381062838106</c:v>
                </c:pt>
                <c:pt idx="983">
                  <c:v>-12.932136527305873</c:v>
                </c:pt>
                <c:pt idx="984">
                  <c:v>-12.947892001681524</c:v>
                </c:pt>
                <c:pt idx="985">
                  <c:v>-12.963647485964808</c:v>
                </c:pt>
                <c:pt idx="986">
                  <c:v>-12.979402980155479</c:v>
                </c:pt>
                <c:pt idx="987">
                  <c:v>-12.995158484253286</c:v>
                </c:pt>
                <c:pt idx="988">
                  <c:v>-13.010913998257982</c:v>
                </c:pt>
                <c:pt idx="989">
                  <c:v>-13.026669522169318</c:v>
                </c:pt>
                <c:pt idx="990">
                  <c:v>-13.042425055987044</c:v>
                </c:pt>
                <c:pt idx="991">
                  <c:v>-13.058180599710914</c:v>
                </c:pt>
                <c:pt idx="992">
                  <c:v>-13.073936153340679</c:v>
                </c:pt>
                <c:pt idx="993">
                  <c:v>-13.089691716876088</c:v>
                </c:pt>
                <c:pt idx="994">
                  <c:v>-13.105447290316894</c:v>
                </c:pt>
                <c:pt idx="995">
                  <c:v>-13.121202873662849</c:v>
                </c:pt>
                <c:pt idx="996">
                  <c:v>-13.136958466913704</c:v>
                </c:pt>
                <c:pt idx="997">
                  <c:v>-13.15271407006921</c:v>
                </c:pt>
                <c:pt idx="998">
                  <c:v>-13.168469683129119</c:v>
                </c:pt>
                <c:pt idx="999">
                  <c:v>-13.184225306093182</c:v>
                </c:pt>
                <c:pt idx="1000">
                  <c:v>-13.199980938961151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3B-6442-AFEC-07E56791BA28}"/>
            </c:ext>
          </c:extLst>
        </c:ser>
        <c:ser>
          <c:idx val="2"/>
          <c:order val="2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Calculs!$J$4:$J$1004</c:f>
              <c:numCache>
                <c:formatCode>0.00</c:formatCode>
                <c:ptCount val="1001"/>
                <c:pt idx="0">
                  <c:v>0</c:v>
                </c:pt>
                <c:pt idx="1">
                  <c:v>4.2388035248574833E-5</c:v>
                </c:pt>
                <c:pt idx="2">
                  <c:v>2.633065668814509E-4</c:v>
                </c:pt>
                <c:pt idx="3">
                  <c:v>7.9542963262857795E-4</c:v>
                </c:pt>
                <c:pt idx="4">
                  <c:v>1.7166269806795881E-3</c:v>
                </c:pt>
                <c:pt idx="5">
                  <c:v>3.1048343840561509E-3</c:v>
                </c:pt>
                <c:pt idx="6">
                  <c:v>5.0380635461967482E-3</c:v>
                </c:pt>
                <c:pt idx="7">
                  <c:v>7.594411916287399E-3</c:v>
                </c:pt>
                <c:pt idx="8">
                  <c:v>1.0852072418020067E-2</c:v>
                </c:pt>
                <c:pt idx="9">
                  <c:v>1.4889343095336932E-2</c:v>
                </c:pt>
                <c:pt idx="10">
                  <c:v>1.9784636678599202E-2</c:v>
                </c:pt>
                <c:pt idx="11">
                  <c:v>2.559408785778463E-2</c:v>
                </c:pt>
                <c:pt idx="12">
                  <c:v>3.2329104884837465E-2</c:v>
                </c:pt>
                <c:pt idx="13">
                  <c:v>3.9978524417161217E-2</c:v>
                </c:pt>
                <c:pt idx="14">
                  <c:v>4.8530817087647934E-2</c:v>
                </c:pt>
                <c:pt idx="15">
                  <c:v>5.7974257951207371E-2</c:v>
                </c:pt>
                <c:pt idx="16">
                  <c:v>6.8297097323067407E-2</c:v>
                </c:pt>
                <c:pt idx="17">
                  <c:v>7.9487561200797252E-2</c:v>
                </c:pt>
                <c:pt idx="18">
                  <c:v>9.1533851686051285E-2</c:v>
                </c:pt>
                <c:pt idx="19">
                  <c:v>0.10442414740596842</c:v>
                </c:pt>
                <c:pt idx="20">
                  <c:v>0.11814660393416225</c:v>
                </c:pt>
                <c:pt idx="21">
                  <c:v>0.13268935421123748</c:v>
                </c:pt>
                <c:pt idx="22">
                  <c:v>0.14804050896476892</c:v>
                </c:pt>
                <c:pt idx="23">
                  <c:v>0.16418815712867935</c:v>
                </c:pt>
                <c:pt idx="24">
                  <c:v>0.18112036626195335</c:v>
                </c:pt>
                <c:pt idx="25">
                  <c:v>0.19882518296662458</c:v>
                </c:pt>
                <c:pt idx="26">
                  <c:v>0.21729063330497422</c:v>
                </c:pt>
                <c:pt idx="27">
                  <c:v>0.23650773511460821</c:v>
                </c:pt>
                <c:pt idx="28">
                  <c:v>0.2564735156066818</c:v>
                </c:pt>
                <c:pt idx="29">
                  <c:v>0.27718800746088779</c:v>
                </c:pt>
                <c:pt idx="30">
                  <c:v>0.29865123942634525</c:v>
                </c:pt>
                <c:pt idx="31">
                  <c:v>0.32086323631653191</c:v>
                </c:pt>
                <c:pt idx="32">
                  <c:v>0.34382401900431159</c:v>
                </c:pt>
                <c:pt idx="33">
                  <c:v>0.36753360441705657</c:v>
                </c:pt>
                <c:pt idx="34">
                  <c:v>0.39203461321100952</c:v>
                </c:pt>
                <c:pt idx="35">
                  <c:v>0.41737107021736164</c:v>
                </c:pt>
                <c:pt idx="36">
                  <c:v>0.44354578167993192</c:v>
                </c:pt>
                <c:pt idx="37">
                  <c:v>0.4705614996433754</c:v>
                </c:pt>
                <c:pt idx="38">
                  <c:v>0.49842090368529446</c:v>
                </c:pt>
                <c:pt idx="39">
                  <c:v>0.52712660439949544</c:v>
                </c:pt>
                <c:pt idx="40">
                  <c:v>0.5566811466110354</c:v>
                </c:pt>
                <c:pt idx="41">
                  <c:v>0.58708701235005634</c:v>
                </c:pt>
                <c:pt idx="42">
                  <c:v>0.61834662360807557</c:v>
                </c:pt>
                <c:pt idx="43">
                  <c:v>0.65046234489755828</c:v>
                </c:pt>
                <c:pt idx="44">
                  <c:v>0.68343648563315063</c:v>
                </c:pt>
                <c:pt idx="45">
                  <c:v>0.71727130235084868</c:v>
                </c:pt>
                <c:pt idx="46">
                  <c:v>0.75196900077955542</c:v>
                </c:pt>
                <c:pt idx="47">
                  <c:v>0.78753173777789509</c:v>
                </c:pt>
                <c:pt idx="48">
                  <c:v>0.82396162314777821</c:v>
                </c:pt>
                <c:pt idx="49">
                  <c:v>0.86126072133500453</c:v>
                </c:pt>
                <c:pt idx="50">
                  <c:v>0.89943105302613724</c:v>
                </c:pt>
                <c:pt idx="51">
                  <c:v>0.93847459664995436</c:v>
                </c:pt>
                <c:pt idx="52">
                  <c:v>0.97839328979096329</c:v>
                </c:pt>
                <c:pt idx="53">
                  <c:v>1.0191890305217461</c:v>
                </c:pt>
                <c:pt idx="54">
                  <c:v>1.0608636786602585</c:v>
                </c:pt>
                <c:pt idx="55">
                  <c:v>1.1034190569576394</c:v>
                </c:pt>
                <c:pt idx="56">
                  <c:v>1.1468569522215819</c:v>
                </c:pt>
                <c:pt idx="57">
                  <c:v>1.1911791163798633</c:v>
                </c:pt>
                <c:pt idx="58">
                  <c:v>1.2363872674882286</c:v>
                </c:pt>
                <c:pt idx="59">
                  <c:v>1.2824830906864597</c:v>
                </c:pt>
                <c:pt idx="60">
                  <c:v>1.3294682391061396</c:v>
                </c:pt>
                <c:pt idx="61">
                  <c:v>1.3773443347333247</c:v>
                </c:pt>
                <c:pt idx="62">
                  <c:v>1.4261129692290775</c:v>
                </c:pt>
                <c:pt idx="63">
                  <c:v>1.4757757047105742</c:v>
                </c:pt>
                <c:pt idx="64">
                  <c:v>1.5263340744952854</c:v>
                </c:pt>
                <c:pt idx="65">
                  <c:v>1.5777895838105329</c:v>
                </c:pt>
                <c:pt idx="66">
                  <c:v>1.6301437104705501</c:v>
                </c:pt>
                <c:pt idx="67">
                  <c:v>1.6833979055230106</c:v>
                </c:pt>
                <c:pt idx="68">
                  <c:v>1.7375535938668472</c:v>
                </c:pt>
                <c:pt idx="69">
                  <c:v>1.7926121748430428</c:v>
                </c:pt>
                <c:pt idx="70">
                  <c:v>1.8485750227999618</c:v>
                </c:pt>
                <c:pt idx="71">
                  <c:v>1.9054434876346715</c:v>
                </c:pt>
                <c:pt idx="72">
                  <c:v>1.9632188576473495</c:v>
                </c:pt>
                <c:pt idx="73">
                  <c:v>2.0219023221359529</c:v>
                </c:pt>
                <c:pt idx="74">
                  <c:v>2.0814950092226621</c:v>
                </c:pt>
                <c:pt idx="75">
                  <c:v>2.1419980239062579</c:v>
                </c:pt>
                <c:pt idx="76">
                  <c:v>2.203412448515115</c:v>
                </c:pt>
                <c:pt idx="77">
                  <c:v>2.2657393431425437</c:v>
                </c:pt>
                <c:pt idx="78">
                  <c:v>2.3289797460654023</c:v>
                </c:pt>
                <c:pt idx="79">
                  <c:v>2.3931346741468409</c:v>
                </c:pt>
                <c:pt idx="80">
                  <c:v>2.4582051232239897</c:v>
                </c:pt>
                <c:pt idx="81">
                  <c:v>2.5241920684813421</c:v>
                </c:pt>
                <c:pt idx="82">
                  <c:v>2.5910964648105512</c:v>
                </c:pt>
                <c:pt idx="83">
                  <c:v>2.6589192471573</c:v>
                </c:pt>
                <c:pt idx="84">
                  <c:v>2.7276613308558799</c:v>
                </c:pt>
                <c:pt idx="85">
                  <c:v>2.7973236119520601</c:v>
                </c:pt>
                <c:pt idx="86">
                  <c:v>2.8679069675148097</c:v>
                </c:pt>
                <c:pt idx="87">
                  <c:v>2.9394122559373907</c:v>
                </c:pt>
                <c:pt idx="88">
                  <c:v>3.0118403172283195</c:v>
                </c:pt>
                <c:pt idx="89">
                  <c:v>3.0851919732926558</c:v>
                </c:pt>
                <c:pt idx="90">
                  <c:v>3.1594680282040648</c:v>
                </c:pt>
                <c:pt idx="91">
                  <c:v>3.2346692684680614</c:v>
                </c:pt>
                <c:pt idx="92">
                  <c:v>3.3107964632768327</c:v>
                </c:pt>
                <c:pt idx="93">
                  <c:v>3.387850364756007</c:v>
                </c:pt>
                <c:pt idx="94">
                  <c:v>3.4658317082037198</c:v>
                </c:pt>
                <c:pt idx="95">
                  <c:v>3.5447412123223105</c:v>
                </c:pt>
                <c:pt idx="96">
                  <c:v>3.6245795794429636</c:v>
                </c:pt>
                <c:pt idx="97">
                  <c:v>3.7053474957435921</c:v>
                </c:pt>
                <c:pt idx="98">
                  <c:v>3.7870456314602472</c:v>
                </c:pt>
                <c:pt idx="99">
                  <c:v>3.8696746410923222</c:v>
                </c:pt>
                <c:pt idx="100">
                  <c:v>3.9532351636018062</c:v>
                </c:pt>
                <c:pt idx="101">
                  <c:v>4.0377278226068292</c:v>
                </c:pt>
                <c:pt idx="102">
                  <c:v>4.1231532265697304</c:v>
                </c:pt>
                <c:pt idx="103">
                  <c:v>4.2095119689798635</c:v>
                </c:pt>
                <c:pt idx="104">
                  <c:v>4.2968046285313592</c:v>
                </c:pt>
                <c:pt idx="105">
                  <c:v>4.3850317692960292</c:v>
                </c:pt>
                <c:pt idx="106">
                  <c:v>4.4741939408916114</c:v>
                </c:pt>
                <c:pt idx="107">
                  <c:v>4.5642916786455281</c:v>
                </c:pt>
                <c:pt idx="108">
                  <c:v>4.6553255037543408</c:v>
                </c:pt>
                <c:pt idx="109">
                  <c:v>4.7472959234390517</c:v>
                </c:pt>
                <c:pt idx="110">
                  <c:v>4.8402034310964162</c:v>
                </c:pt>
                <c:pt idx="111">
                  <c:v>4.934048506446417</c:v>
                </c:pt>
                <c:pt idx="112">
                  <c:v>5.0288316156760349</c:v>
                </c:pt>
                <c:pt idx="113">
                  <c:v>5.1245532115794603</c:v>
                </c:pt>
                <c:pt idx="114">
                  <c:v>5.2212137336948734</c:v>
                </c:pt>
                <c:pt idx="115">
                  <c:v>5.3188136084379138</c:v>
                </c:pt>
                <c:pt idx="116">
                  <c:v>5.4173532492319634</c:v>
                </c:pt>
                <c:pt idx="117">
                  <c:v>5.5168330566353516</c:v>
                </c:pt>
                <c:pt idx="118">
                  <c:v>5.6172534184655998</c:v>
                </c:pt>
                <c:pt idx="119">
                  <c:v>5.7186147099208027</c:v>
                </c:pt>
                <c:pt idx="120">
                  <c:v>5.8209172936982476</c:v>
                </c:pt>
                <c:pt idx="121">
                  <c:v>5.9241615201103697</c:v>
                </c:pt>
                <c:pt idx="122">
                  <c:v>6.0283477271981347</c:v>
                </c:pt>
                <c:pt idx="123">
                  <c:v>6.1334762408419383</c:v>
                </c:pt>
                <c:pt idx="124">
                  <c:v>6.2395473748701002</c:v>
                </c:pt>
                <c:pt idx="125">
                  <c:v>6.346561431165048</c:v>
                </c:pt>
                <c:pt idx="126">
                  <c:v>6.4545186997672515</c:v>
                </c:pt>
                <c:pt idx="127">
                  <c:v>6.5634194589769983</c:v>
                </c:pt>
                <c:pt idx="128">
                  <c:v>6.6732639754540708</c:v>
                </c:pt>
                <c:pt idx="129">
                  <c:v>6.7840523179318986</c:v>
                </c:pt>
                <c:pt idx="130">
                  <c:v>6.8957841702017983</c:v>
                </c:pt>
                <c:pt idx="131">
                  <c:v>7.0084590166579064</c:v>
                </c:pt>
                <c:pt idx="132">
                  <c:v>7.122076328583149</c:v>
                </c:pt>
                <c:pt idx="133">
                  <c:v>7.2366355642690596</c:v>
                </c:pt>
                <c:pt idx="134">
                  <c:v>7.3521361691334599</c:v>
                </c:pt>
                <c:pt idx="135">
                  <c:v>7.4685775758360586</c:v>
                </c:pt>
                <c:pt idx="136">
                  <c:v>7.5859592043920561</c:v>
                </c:pt>
                <c:pt idx="137">
                  <c:v>7.7042804622837995</c:v>
                </c:pt>
                <c:pt idx="138">
                  <c:v>7.8235407445705638</c:v>
                </c:pt>
                <c:pt idx="139">
                  <c:v>7.9437394339965133</c:v>
                </c:pt>
                <c:pt idx="140">
                  <c:v>8.0648759010969009</c:v>
                </c:pt>
                <c:pt idx="141">
                  <c:v>8.1869495043025626</c:v>
                </c:pt>
                <c:pt idx="142">
                  <c:v>8.3099595900427587</c:v>
                </c:pt>
                <c:pt idx="143">
                  <c:v>8.4339054928464119</c:v>
                </c:pt>
                <c:pt idx="144">
                  <c:v>8.5587865354417936</c:v>
                </c:pt>
                <c:pt idx="145">
                  <c:v>8.6846020288547088</c:v>
                </c:pt>
                <c:pt idx="146">
                  <c:v>8.8113512725052132</c:v>
                </c:pt>
                <c:pt idx="147">
                  <c:v>8.9390335543029273</c:v>
                </c:pt>
                <c:pt idx="148">
                  <c:v>9.0676481507409648</c:v>
                </c:pt>
                <c:pt idx="149">
                  <c:v>9.1971943269885355</c:v>
                </c:pt>
                <c:pt idx="150">
                  <c:v>9.3276713369822613</c:v>
                </c:pt>
                <c:pt idx="151">
                  <c:v>9.4590784235162246</c:v>
                </c:pt>
                <c:pt idx="152">
                  <c:v>9.5914148183308097</c:v>
                </c:pt>
                <c:pt idx="153">
                  <c:v>9.7246797422003581</c:v>
                </c:pt>
                <c:pt idx="154">
                  <c:v>9.8588724050196728</c:v>
                </c:pt>
                <c:pt idx="155">
                  <c:v>9.9939920058894138</c:v>
                </c:pt>
                <c:pt idx="156">
                  <c:v>10.130037733200403</c:v>
                </c:pt>
                <c:pt idx="157">
                  <c:v>10.267008764716884</c:v>
                </c:pt>
                <c:pt idx="158">
                  <c:v>10.404904267658749</c:v>
                </c:pt>
                <c:pt idx="159">
                  <c:v>10.543723398782777</c:v>
                </c:pt>
                <c:pt idx="160">
                  <c:v>10.68346530446291</c:v>
                </c:pt>
                <c:pt idx="161">
                  <c:v>10.824129120769575</c:v>
                </c:pt>
                <c:pt idx="162">
                  <c:v>10.965713973548105</c:v>
                </c:pt>
                <c:pt idx="163">
                  <c:v>11.108218978496266</c:v>
                </c:pt>
                <c:pt idx="164">
                  <c:v>11.251643241240915</c:v>
                </c:pt>
                <c:pt idx="165">
                  <c:v>11.39598585741382</c:v>
                </c:pt>
                <c:pt idx="166">
                  <c:v>11.541245912726657</c:v>
                </c:pt>
                <c:pt idx="167">
                  <c:v>11.687422483045214</c:v>
                </c:pt>
                <c:pt idx="168">
                  <c:v>11.834514634462815</c:v>
                </c:pt>
                <c:pt idx="169">
                  <c:v>11.982521423372985</c:v>
                </c:pt>
                <c:pt idx="170">
                  <c:v>12.131441896541384</c:v>
                </c:pt>
                <c:pt idx="171">
                  <c:v>12.281275091177022</c:v>
                </c:pt>
                <c:pt idx="172">
                  <c:v>12.432020035002767</c:v>
                </c:pt>
                <c:pt idx="173">
                  <c:v>12.583675746325182</c:v>
                </c:pt>
                <c:pt idx="174">
                  <c:v>12.736241234103694</c:v>
                </c:pt>
                <c:pt idx="175">
                  <c:v>12.889715498019115</c:v>
                </c:pt>
                <c:pt idx="176">
                  <c:v>13.044097528541526</c:v>
                </c:pt>
                <c:pt idx="177">
                  <c:v>13.19938630699756</c:v>
                </c:pt>
                <c:pt idx="178">
                  <c:v>13.35558080563707</c:v>
                </c:pt>
                <c:pt idx="179">
                  <c:v>13.512679987699215</c:v>
                </c:pt>
                <c:pt idx="180">
                  <c:v>13.670682807477982</c:v>
                </c:pt>
                <c:pt idx="181">
                  <c:v>13.829588210387142</c:v>
                </c:pt>
                <c:pt idx="182">
                  <c:v>13.98939513302466</c:v>
                </c:pt>
                <c:pt idx="183">
                  <c:v>14.15010250323658</c:v>
                </c:pt>
                <c:pt idx="184">
                  <c:v>14.31170924018039</c:v>
                </c:pt>
                <c:pt idx="185">
                  <c:v>14.474214254387876</c:v>
                </c:pt>
                <c:pt idx="186">
                  <c:v>14.63761644782748</c:v>
                </c:pt>
                <c:pt idx="187">
                  <c:v>14.801914713966182</c:v>
                </c:pt>
                <c:pt idx="188">
                  <c:v>14.9671079378309</c:v>
                </c:pt>
                <c:pt idx="189">
                  <c:v>15.133194996069433</c:v>
                </c:pt>
                <c:pt idx="190">
                  <c:v>15.30017475701095</c:v>
                </c:pt>
                <c:pt idx="191">
                  <c:v>15.46804608072604</c:v>
                </c:pt>
                <c:pt idx="192">
                  <c:v>15.636807819086325</c:v>
                </c:pt>
                <c:pt idx="193">
                  <c:v>15.806458815823655</c:v>
                </c:pt>
                <c:pt idx="194">
                  <c:v>15.976997906588887</c:v>
                </c:pt>
                <c:pt idx="195">
                  <c:v>16.148423919010259</c:v>
                </c:pt>
                <c:pt idx="196">
                  <c:v>16.320735672751368</c:v>
                </c:pt>
                <c:pt idx="197">
                  <c:v>16.493931979568764</c:v>
                </c:pt>
                <c:pt idx="198">
                  <c:v>16.668011643369159</c:v>
                </c:pt>
                <c:pt idx="199">
                  <c:v>16.842973460266261</c:v>
                </c:pt>
                <c:pt idx="200">
                  <c:v>17.018816218637255</c:v>
                </c:pt>
                <c:pt idx="201">
                  <c:v>17.195538699178918</c:v>
                </c:pt>
                <c:pt idx="202">
                  <c:v>17.373139674963383</c:v>
                </c:pt>
                <c:pt idx="203">
                  <c:v>17.551617911493569</c:v>
                </c:pt>
                <c:pt idx="204">
                  <c:v>17.730972166758267</c:v>
                </c:pt>
                <c:pt idx="205">
                  <c:v>17.911201191286892</c:v>
                </c:pt>
                <c:pt idx="206">
                  <c:v>18.092303679971909</c:v>
                </c:pt>
                <c:pt idx="207">
                  <c:v>18.274278223774587</c:v>
                </c:pt>
                <c:pt idx="208">
                  <c:v>18.45712335787907</c:v>
                </c:pt>
                <c:pt idx="209">
                  <c:v>18.640837609965029</c:v>
                </c:pt>
                <c:pt idx="210">
                  <c:v>18.82541950026587</c:v>
                </c:pt>
                <c:pt idx="211">
                  <c:v>19.010867541626617</c:v>
                </c:pt>
                <c:pt idx="212">
                  <c:v>19.197180239561465</c:v>
                </c:pt>
                <c:pt idx="213">
                  <c:v>19.38435609231102</c:v>
                </c:pt>
                <c:pt idx="214">
                  <c:v>19.57239359089921</c:v>
                </c:pt>
                <c:pt idx="215">
                  <c:v>19.761291219189911</c:v>
                </c:pt>
                <c:pt idx="216">
                  <c:v>19.951047453943247</c:v>
                </c:pt>
                <c:pt idx="217">
                  <c:v>20.141660764871606</c:v>
                </c:pt>
                <c:pt idx="218">
                  <c:v>20.333129614695352</c:v>
                </c:pt>
                <c:pt idx="219">
                  <c:v>20.525452459198252</c:v>
                </c:pt>
                <c:pt idx="220">
                  <c:v>20.718627747282618</c:v>
                </c:pt>
                <c:pt idx="221">
                  <c:v>20.912653921024162</c:v>
                </c:pt>
                <c:pt idx="222">
                  <c:v>21.107529415726578</c:v>
                </c:pt>
                <c:pt idx="223">
                  <c:v>21.30325265997585</c:v>
                </c:pt>
                <c:pt idx="224">
                  <c:v>21.499822075694297</c:v>
                </c:pt>
                <c:pt idx="225">
                  <c:v>21.69723607819434</c:v>
                </c:pt>
                <c:pt idx="226">
                  <c:v>21.895493076232011</c:v>
                </c:pt>
                <c:pt idx="227">
                  <c:v>22.094591472060209</c:v>
                </c:pt>
                <c:pt idx="228">
                  <c:v>22.2945296614817</c:v>
                </c:pt>
                <c:pt idx="229">
                  <c:v>22.495306033901855</c:v>
                </c:pt>
                <c:pt idx="230">
                  <c:v>22.696918972381152</c:v>
                </c:pt>
                <c:pt idx="231">
                  <c:v>22.899366853687422</c:v>
                </c:pt>
                <c:pt idx="232">
                  <c:v>23.102648048347863</c:v>
                </c:pt>
                <c:pt idx="233">
                  <c:v>23.3067609207008</c:v>
                </c:pt>
                <c:pt idx="234">
                  <c:v>23.511703828947219</c:v>
                </c:pt>
                <c:pt idx="235">
                  <c:v>23.717475125202064</c:v>
                </c:pt>
                <c:pt idx="236">
                  <c:v>23.924073155545301</c:v>
                </c:pt>
                <c:pt idx="237">
                  <c:v>24.131496260072748</c:v>
                </c:pt>
                <c:pt idx="238">
                  <c:v>24.339742772946693</c:v>
                </c:pt>
                <c:pt idx="239">
                  <c:v>24.548811022446266</c:v>
                </c:pt>
                <c:pt idx="240">
                  <c:v>24.758699331017606</c:v>
                </c:pt>
                <c:pt idx="241">
                  <c:v>24.969406015323802</c:v>
                </c:pt>
                <c:pt idx="242">
                  <c:v>25.180929215852519</c:v>
                </c:pt>
                <c:pt idx="243">
                  <c:v>25.393266726194124</c:v>
                </c:pt>
                <c:pt idx="244">
                  <c:v>25.606416163199036</c:v>
                </c:pt>
                <c:pt idx="245">
                  <c:v>25.820375137472244</c:v>
                </c:pt>
                <c:pt idx="246">
                  <c:v>26.03514125343829</c:v>
                </c:pt>
                <c:pt idx="247">
                  <c:v>26.250712109405935</c:v>
                </c:pt>
                <c:pt idx="248">
                  <c:v>26.467085297632476</c:v>
                </c:pt>
                <c:pt idx="249">
                  <c:v>26.68425840438778</c:v>
                </c:pt>
                <c:pt idx="250">
                  <c:v>26.902229010017983</c:v>
                </c:pt>
                <c:pt idx="251">
                  <c:v>27.120994689008871</c:v>
                </c:pt>
                <c:pt idx="252">
                  <c:v>27.340553010048968</c:v>
                </c:pt>
                <c:pt idx="253">
                  <c:v>27.560901536092285</c:v>
                </c:pt>
                <c:pt idx="254">
                  <c:v>27.782037824420794</c:v>
                </c:pt>
                <c:pt idx="255">
                  <c:v>28.003959426706565</c:v>
                </c:pt>
                <c:pt idx="256">
                  <c:v>28.226663889073617</c:v>
                </c:pt>
                <c:pt idx="257">
                  <c:v>28.450148752159457</c:v>
                </c:pt>
                <c:pt idx="258">
                  <c:v>28.67441155117632</c:v>
                </c:pt>
                <c:pt idx="259">
                  <c:v>28.899449815972115</c:v>
                </c:pt>
                <c:pt idx="260">
                  <c:v>29.12526107109106</c:v>
                </c:pt>
                <c:pt idx="261">
                  <c:v>29.351842835834024</c:v>
                </c:pt>
                <c:pt idx="262">
                  <c:v>29.579192624318576</c:v>
                </c:pt>
                <c:pt idx="263">
                  <c:v>29.807307945538739</c:v>
                </c:pt>
                <c:pt idx="264">
                  <c:v>30.036186303424447</c:v>
                </c:pt>
                <c:pt idx="265">
                  <c:v>30.265825196900714</c:v>
                </c:pt>
                <c:pt idx="266">
                  <c:v>30.496222119946506</c:v>
                </c:pt>
                <c:pt idx="267">
                  <c:v>30.727374561653328</c:v>
                </c:pt>
                <c:pt idx="268">
                  <c:v>30.959280006283521</c:v>
                </c:pt>
                <c:pt idx="269">
                  <c:v>31.191935933328271</c:v>
                </c:pt>
                <c:pt idx="270">
                  <c:v>31.425339817565327</c:v>
                </c:pt>
                <c:pt idx="271">
                  <c:v>31.659489129116441</c:v>
                </c:pt>
                <c:pt idx="272">
                  <c:v>31.894381333504512</c:v>
                </c:pt>
                <c:pt idx="273">
                  <c:v>32.130013891710462</c:v>
                </c:pt>
                <c:pt idx="274">
                  <c:v>32.366384260229808</c:v>
                </c:pt>
                <c:pt idx="275">
                  <c:v>32.603489891128959</c:v>
                </c:pt>
                <c:pt idx="276">
                  <c:v>32.841328232101255</c:v>
                </c:pt>
                <c:pt idx="277">
                  <c:v>33.079896726522684</c:v>
                </c:pt>
                <c:pt idx="278">
                  <c:v>33.319192813507343</c:v>
                </c:pt>
                <c:pt idx="279">
                  <c:v>33.55921392796261</c:v>
                </c:pt>
                <c:pt idx="280">
                  <c:v>33.799957500644055</c:v>
                </c:pt>
                <c:pt idx="281">
                  <c:v>34.041420958210054</c:v>
                </c:pt>
                <c:pt idx="282">
                  <c:v>34.283601723276128</c:v>
                </c:pt>
                <c:pt idx="283">
                  <c:v>34.526497214469003</c:v>
                </c:pt>
                <c:pt idx="284">
                  <c:v>34.770105051189034</c:v>
                </c:pt>
                <c:pt idx="285">
                  <c:v>35.014423258663484</c:v>
                </c:pt>
                <c:pt idx="286">
                  <c:v>35.259450063523467</c:v>
                </c:pt>
                <c:pt idx="287">
                  <c:v>35.50518368908147</c:v>
                </c:pt>
                <c:pt idx="288">
                  <c:v>35.751622355368077</c:v>
                </c:pt>
                <c:pt idx="289">
                  <c:v>35.998764279168526</c:v>
                </c:pt>
                <c:pt idx="290">
                  <c:v>36.246607674059092</c:v>
                </c:pt>
                <c:pt idx="291">
                  <c:v>36.495150750443365</c:v>
                </c:pt>
                <c:pt idx="292">
                  <c:v>36.744391715588328</c:v>
                </c:pt>
                <c:pt idx="293">
                  <c:v>36.994328773660314</c:v>
                </c:pt>
                <c:pt idx="294">
                  <c:v>37.244960125760805</c:v>
                </c:pt>
                <c:pt idx="295">
                  <c:v>37.496283969962072</c:v>
                </c:pt>
                <c:pt idx="296">
                  <c:v>37.748298501342653</c:v>
                </c:pt>
                <c:pt idx="297">
                  <c:v>38.001001912022723</c:v>
                </c:pt>
                <c:pt idx="298">
                  <c:v>38.254392391199247</c:v>
                </c:pt>
                <c:pt idx="299">
                  <c:v>38.508468125181039</c:v>
                </c:pt>
                <c:pt idx="300">
                  <c:v>38.763227297423654</c:v>
                </c:pt>
                <c:pt idx="301">
                  <c:v>39.018668088564105</c:v>
                </c:pt>
                <c:pt idx="302">
                  <c:v>39.274788676455458</c:v>
                </c:pt>
                <c:pt idx="303">
                  <c:v>39.531587236201275</c:v>
                </c:pt>
                <c:pt idx="304">
                  <c:v>39.789061940189875</c:v>
                </c:pt>
                <c:pt idx="305">
                  <c:v>40.047210958128488</c:v>
                </c:pt>
                <c:pt idx="306">
                  <c:v>40.306032457077222</c:v>
                </c:pt>
                <c:pt idx="307">
                  <c:v>40.56552460148292</c:v>
                </c:pt>
                <c:pt idx="308">
                  <c:v>40.825685553212807</c:v>
                </c:pt>
                <c:pt idx="309">
                  <c:v>41.086513471588056</c:v>
                </c:pt>
                <c:pt idx="310">
                  <c:v>41.348006513417147</c:v>
                </c:pt>
                <c:pt idx="311">
                  <c:v>41.610162833029108</c:v>
                </c:pt>
                <c:pt idx="312">
                  <c:v>41.872980582306603</c:v>
                </c:pt>
                <c:pt idx="313">
                  <c:v>42.13645791071886</c:v>
                </c:pt>
                <c:pt idx="314">
                  <c:v>42.400592965354456</c:v>
                </c:pt>
                <c:pt idx="315">
                  <c:v>42.66538389095394</c:v>
                </c:pt>
                <c:pt idx="316">
                  <c:v>42.930828829942335</c:v>
                </c:pt>
                <c:pt idx="317">
                  <c:v>43.196925922461453</c:v>
                </c:pt>
                <c:pt idx="318">
                  <c:v>43.4636733064021</c:v>
                </c:pt>
                <c:pt idx="319">
                  <c:v>43.731069117436093</c:v>
                </c:pt>
                <c:pt idx="320">
                  <c:v>43.999111489048161</c:v>
                </c:pt>
                <c:pt idx="321">
                  <c:v>44.267798552567669</c:v>
                </c:pt>
                <c:pt idx="322">
                  <c:v>44.537128437200217</c:v>
                </c:pt>
                <c:pt idx="323">
                  <c:v>44.807099270059062</c:v>
                </c:pt>
                <c:pt idx="324">
                  <c:v>45.077709176196429</c:v>
                </c:pt>
                <c:pt idx="325">
                  <c:v>45.348956278634631</c:v>
                </c:pt>
                <c:pt idx="326">
                  <c:v>45.620838711232672</c:v>
                </c:pt>
                <c:pt idx="327">
                  <c:v>45.893354631566154</c:v>
                </c:pt>
                <c:pt idx="328">
                  <c:v>46.166502208129103</c:v>
                </c:pt>
                <c:pt idx="329">
                  <c:v>46.440279607521688</c:v>
                </c:pt>
                <c:pt idx="330">
                  <c:v>46.714684994479846</c:v>
                </c:pt>
                <c:pt idx="331">
                  <c:v>46.989716531904705</c:v>
                </c:pt>
                <c:pt idx="332">
                  <c:v>47.265372380891918</c:v>
                </c:pt>
                <c:pt idx="333">
                  <c:v>47.541650700760812</c:v>
                </c:pt>
                <c:pt idx="334">
                  <c:v>47.818549649083401</c:v>
                </c:pt>
                <c:pt idx="335">
                  <c:v>48.096067381713283</c:v>
                </c:pt>
                <c:pt idx="336">
                  <c:v>48.374202052814375</c:v>
                </c:pt>
                <c:pt idx="337">
                  <c:v>48.652951814889491</c:v>
                </c:pt>
                <c:pt idx="338">
                  <c:v>48.932314818808813</c:v>
                </c:pt>
                <c:pt idx="339">
                  <c:v>49.212289213838183</c:v>
                </c:pt>
                <c:pt idx="340">
                  <c:v>49.492873147667289</c:v>
                </c:pt>
                <c:pt idx="341">
                  <c:v>49.774064766437668</c:v>
                </c:pt>
                <c:pt idx="342">
                  <c:v>50.055862214770606</c:v>
                </c:pt>
                <c:pt idx="343">
                  <c:v>50.338263635794867</c:v>
                </c:pt>
                <c:pt idx="344">
                  <c:v>50.621267171174296</c:v>
                </c:pt>
                <c:pt idx="345">
                  <c:v>50.904870961135266</c:v>
                </c:pt>
                <c:pt idx="346">
                  <c:v>51.189073144493996</c:v>
                </c:pt>
                <c:pt idx="347">
                  <c:v>51.473871858683722</c:v>
                </c:pt>
                <c:pt idx="348">
                  <c:v>51.759265239781726</c:v>
                </c:pt>
                <c:pt idx="349">
                  <c:v>52.045251422536218</c:v>
                </c:pt>
                <c:pt idx="350">
                  <c:v>52.331828540393076</c:v>
                </c:pt>
                <c:pt idx="351">
                  <c:v>52.618994725522462</c:v>
                </c:pt>
                <c:pt idx="352">
                  <c:v>52.906748108845271</c:v>
                </c:pt>
                <c:pt idx="353">
                  <c:v>53.195086820059444</c:v>
                </c:pt>
                <c:pt idx="354">
                  <c:v>53.484008987666165</c:v>
                </c:pt>
                <c:pt idx="355">
                  <c:v>53.773512738995862</c:v>
                </c:pt>
                <c:pt idx="356">
                  <c:v>54.063596200234137</c:v>
                </c:pt>
                <c:pt idx="357">
                  <c:v>54.354257496447481</c:v>
                </c:pt>
                <c:pt idx="358">
                  <c:v>54.645494751608915</c:v>
                </c:pt>
                <c:pt idx="359">
                  <c:v>54.93730608862343</c:v>
                </c:pt>
                <c:pt idx="360">
                  <c:v>55.229689629353324</c:v>
                </c:pt>
                <c:pt idx="361">
                  <c:v>55.522643494643383</c:v>
                </c:pt>
                <c:pt idx="362">
                  <c:v>55.816165804345943</c:v>
                </c:pt>
                <c:pt idx="363">
                  <c:v>56.110254677345758</c:v>
                </c:pt>
                <c:pt idx="364">
                  <c:v>56.404908231584777</c:v>
                </c:pt>
                <c:pt idx="365">
                  <c:v>56.700124584086772</c:v>
                </c:pt>
                <c:pt idx="366">
                  <c:v>56.995902182282201</c:v>
                </c:pt>
                <c:pt idx="367">
                  <c:v>57.29224013558175</c:v>
                </c:pt>
                <c:pt idx="368">
                  <c:v>57.589137884108403</c:v>
                </c:pt>
                <c:pt idx="369">
                  <c:v>57.886594867173038</c:v>
                </c:pt>
                <c:pt idx="370">
                  <c:v>58.184610523283119</c:v>
                </c:pt>
                <c:pt idx="371">
                  <c:v>58.483184290151414</c:v>
                </c:pt>
                <c:pt idx="372">
                  <c:v>58.782315604704642</c:v>
                </c:pt>
                <c:pt idx="373">
                  <c:v>59.082003903092136</c:v>
                </c:pt>
                <c:pt idx="374">
                  <c:v>59.382248620694476</c:v>
                </c:pt>
                <c:pt idx="375">
                  <c:v>59.68304919213206</c:v>
                </c:pt>
                <c:pt idx="376">
                  <c:v>59.984405051273697</c:v>
                </c:pt>
                <c:pt idx="377">
                  <c:v>60.286315631245138</c:v>
                </c:pt>
                <c:pt idx="378">
                  <c:v>60.588780364437618</c:v>
                </c:pt>
                <c:pt idx="379">
                  <c:v>60.891798682516331</c:v>
                </c:pt>
                <c:pt idx="380">
                  <c:v>61.195370016428924</c:v>
                </c:pt>
                <c:pt idx="381">
                  <c:v>61.499493436519337</c:v>
                </c:pt>
                <c:pt idx="382">
                  <c:v>61.804167292396684</c:v>
                </c:pt>
                <c:pt idx="383">
                  <c:v>62.109389572873617</c:v>
                </c:pt>
                <c:pt idx="384">
                  <c:v>62.415158266157682</c:v>
                </c:pt>
                <c:pt idx="385">
                  <c:v>62.721471359875743</c:v>
                </c:pt>
                <c:pt idx="386">
                  <c:v>63.028326841098256</c:v>
                </c:pt>
                <c:pt idx="387">
                  <c:v>63.335722696363398</c:v>
                </c:pt>
                <c:pt idx="388">
                  <c:v>63.643656911701015</c:v>
                </c:pt>
                <c:pt idx="389">
                  <c:v>63.952127472656443</c:v>
                </c:pt>
                <c:pt idx="390">
                  <c:v>64.261132364314165</c:v>
                </c:pt>
                <c:pt idx="391">
                  <c:v>64.570669571321289</c:v>
                </c:pt>
                <c:pt idx="392">
                  <c:v>64.88073707791095</c:v>
                </c:pt>
                <c:pt idx="393">
                  <c:v>65.191332867925468</c:v>
                </c:pt>
                <c:pt idx="394">
                  <c:v>65.502454924839384</c:v>
                </c:pt>
                <c:pt idx="395">
                  <c:v>65.814101231782388</c:v>
                </c:pt>
                <c:pt idx="396">
                  <c:v>66.126269771562022</c:v>
                </c:pt>
                <c:pt idx="397">
                  <c:v>66.438958526686278</c:v>
                </c:pt>
                <c:pt idx="398">
                  <c:v>66.752165479386036</c:v>
                </c:pt>
                <c:pt idx="399">
                  <c:v>67.065888611637348</c:v>
                </c:pt>
                <c:pt idx="400">
                  <c:v>67.380125905183547</c:v>
                </c:pt>
                <c:pt idx="401">
                  <c:v>67.694875056699317</c:v>
                </c:pt>
                <c:pt idx="402">
                  <c:v>68.010133192800822</c:v>
                </c:pt>
                <c:pt idx="403">
                  <c:v>68.325897155020996</c:v>
                </c:pt>
                <c:pt idx="404">
                  <c:v>68.642163784945978</c:v>
                </c:pt>
                <c:pt idx="405">
                  <c:v>68.958929924251436</c:v>
                </c:pt>
                <c:pt idx="406">
                  <c:v>69.276192414738702</c:v>
                </c:pt>
                <c:pt idx="407">
                  <c:v>69.593948098370433</c:v>
                </c:pt>
                <c:pt idx="408">
                  <c:v>69.91219381730609</c:v>
                </c:pt>
                <c:pt idx="409">
                  <c:v>70.230926413937041</c:v>
                </c:pt>
                <c:pt idx="410">
                  <c:v>70.550142730921365</c:v>
                </c:pt>
                <c:pt idx="411">
                  <c:v>70.869838032593535</c:v>
                </c:pt>
                <c:pt idx="412">
                  <c:v>71.190004425675937</c:v>
                </c:pt>
                <c:pt idx="413">
                  <c:v>71.510632438734518</c:v>
                </c:pt>
                <c:pt idx="414">
                  <c:v>71.831712602400458</c:v>
                </c:pt>
                <c:pt idx="415">
                  <c:v>72.153235449539125</c:v>
                </c:pt>
                <c:pt idx="416">
                  <c:v>72.47519151541681</c:v>
                </c:pt>
                <c:pt idx="417">
                  <c:v>72.797571337865136</c:v>
                </c:pt>
                <c:pt idx="418">
                  <c:v>73.120365457443256</c:v>
                </c:pt>
                <c:pt idx="419">
                  <c:v>73.443564417597727</c:v>
                </c:pt>
                <c:pt idx="420">
                  <c:v>73.76715786449293</c:v>
                </c:pt>
                <c:pt idx="421">
                  <c:v>74.091133646607815</c:v>
                </c:pt>
                <c:pt idx="422">
                  <c:v>74.41547871594112</c:v>
                </c:pt>
                <c:pt idx="423">
                  <c:v>74.740180029503151</c:v>
                </c:pt>
                <c:pt idx="424">
                  <c:v>75.065224549578261</c:v>
                </c:pt>
                <c:pt idx="425">
                  <c:v>75.390599243983203</c:v>
                </c:pt>
                <c:pt idx="426">
                  <c:v>75.716291086321235</c:v>
                </c:pt>
                <c:pt idx="427">
                  <c:v>76.042287056232112</c:v>
                </c:pt>
                <c:pt idx="428">
                  <c:v>76.368574139637957</c:v>
                </c:pt>
                <c:pt idx="429">
                  <c:v>76.695139328984936</c:v>
                </c:pt>
                <c:pt idx="430">
                  <c:v>77.0219696234808</c:v>
                </c:pt>
                <c:pt idx="431">
                  <c:v>77.349052029328334</c:v>
                </c:pt>
                <c:pt idx="432">
                  <c:v>77.676372104143809</c:v>
                </c:pt>
                <c:pt idx="433">
                  <c:v>78.003912501432239</c:v>
                </c:pt>
                <c:pt idx="434">
                  <c:v>78.331654428468966</c:v>
                </c:pt>
                <c:pt idx="435">
                  <c:v>78.659579104231952</c:v>
                </c:pt>
                <c:pt idx="436">
                  <c:v>78.987667759843561</c:v>
                </c:pt>
                <c:pt idx="437">
                  <c:v>79.315901639003812</c:v>
                </c:pt>
                <c:pt idx="438">
                  <c:v>79.644261998415118</c:v>
                </c:pt>
                <c:pt idx="439">
                  <c:v>79.972730108198533</c:v>
                </c:pt>
                <c:pt idx="440">
                  <c:v>80.301287252301492</c:v>
                </c:pt>
                <c:pt idx="441">
                  <c:v>80.629914728897134</c:v>
                </c:pt>
                <c:pt idx="442">
                  <c:v>80.958594737554037</c:v>
                </c:pt>
                <c:pt idx="443">
                  <c:v>81.287311266076685</c:v>
                </c:pt>
                <c:pt idx="444">
                  <c:v>81.61604920255057</c:v>
                </c:pt>
                <c:pt idx="445">
                  <c:v>81.944793447632563</c:v>
                </c:pt>
                <c:pt idx="446">
                  <c:v>82.273528914775241</c:v>
                </c:pt>
                <c:pt idx="447">
                  <c:v>82.602240530445627</c:v>
                </c:pt>
                <c:pt idx="448">
                  <c:v>82.930913234338632</c:v>
                </c:pt>
                <c:pt idx="449">
                  <c:v>83.259531979584906</c:v>
                </c:pt>
                <c:pt idx="450">
                  <c:v>83.588081732953384</c:v>
                </c:pt>
                <c:pt idx="451">
                  <c:v>83.916547475048361</c:v>
                </c:pt>
                <c:pt idx="452">
                  <c:v>84.244914200501213</c:v>
                </c:pt>
                <c:pt idx="453">
                  <c:v>84.573168192314412</c:v>
                </c:pt>
                <c:pt idx="454">
                  <c:v>84.901298295424525</c:v>
                </c:pt>
                <c:pt idx="455">
                  <c:v>85.229294640056196</c:v>
                </c:pt>
                <c:pt idx="456">
                  <c:v>85.557147365787486</c:v>
                </c:pt>
                <c:pt idx="457">
                  <c:v>85.884846621598413</c:v>
                </c:pt>
                <c:pt idx="458">
                  <c:v>86.212382565917324</c:v>
                </c:pt>
                <c:pt idx="459">
                  <c:v>86.539745366665059</c:v>
                </c:pt>
                <c:pt idx="460">
                  <c:v>86.86692520129688</c:v>
                </c:pt>
                <c:pt idx="461">
                  <c:v>87.193913406463864</c:v>
                </c:pt>
                <c:pt idx="462">
                  <c:v>87.520703626862385</c:v>
                </c:pt>
                <c:pt idx="463">
                  <c:v>87.847290663110641</c:v>
                </c:pt>
                <c:pt idx="464">
                  <c:v>88.173669320411193</c:v>
                </c:pt>
                <c:pt idx="465">
                  <c:v>88.499834408539627</c:v>
                </c:pt>
                <c:pt idx="466">
                  <c:v>88.825779774434906</c:v>
                </c:pt>
                <c:pt idx="467">
                  <c:v>89.151497335498561</c:v>
                </c:pt>
                <c:pt idx="468">
                  <c:v>89.476967268583891</c:v>
                </c:pt>
                <c:pt idx="469">
                  <c:v>89.802161404399442</c:v>
                </c:pt>
                <c:pt idx="470">
                  <c:v>90.127067219908298</c:v>
                </c:pt>
                <c:pt idx="471">
                  <c:v>90.451685407138783</c:v>
                </c:pt>
                <c:pt idx="472">
                  <c:v>90.776016655719076</c:v>
                </c:pt>
                <c:pt idx="473">
                  <c:v>91.100061652888584</c:v>
                </c:pt>
                <c:pt idx="474">
                  <c:v>91.423821083509168</c:v>
                </c:pt>
                <c:pt idx="475">
                  <c:v>91.747295630076422</c:v>
                </c:pt>
                <c:pt idx="476">
                  <c:v>92.070485972730765</c:v>
                </c:pt>
                <c:pt idx="477">
                  <c:v>92.39339278926856</c:v>
                </c:pt>
                <c:pt idx="478">
                  <c:v>92.716016755153106</c:v>
                </c:pt>
                <c:pt idx="479">
                  <c:v>93.038358543525604</c:v>
                </c:pt>
                <c:pt idx="480">
                  <c:v>93.36041882521603</c:v>
                </c:pt>
                <c:pt idx="481">
                  <c:v>93.682198268753964</c:v>
                </c:pt>
                <c:pt idx="482">
                  <c:v>94.003697540379335</c:v>
                </c:pt>
                <c:pt idx="483">
                  <c:v>94.324917304053145</c:v>
                </c:pt>
                <c:pt idx="484">
                  <c:v>94.645858221468075</c:v>
                </c:pt>
                <c:pt idx="485">
                  <c:v>94.966520952059071</c:v>
                </c:pt>
                <c:pt idx="486">
                  <c:v>95.286906153013817</c:v>
                </c:pt>
                <c:pt idx="487">
                  <c:v>95.607014479283237</c:v>
                </c:pt>
                <c:pt idx="488">
                  <c:v>95.926846583591839</c:v>
                </c:pt>
                <c:pt idx="489">
                  <c:v>96.24640311644805</c:v>
                </c:pt>
                <c:pt idx="490">
                  <c:v>96.565684726154487</c:v>
                </c:pt>
                <c:pt idx="491">
                  <c:v>96.88469205881816</c:v>
                </c:pt>
                <c:pt idx="492">
                  <c:v>97.203425758360609</c:v>
                </c:pt>
                <c:pt idx="493">
                  <c:v>97.521886466527988</c:v>
                </c:pt>
                <c:pt idx="494">
                  <c:v>97.84007482290113</c:v>
                </c:pt>
                <c:pt idx="495">
                  <c:v>98.157991464905464</c:v>
                </c:pt>
                <c:pt idx="496">
                  <c:v>98.475637027820966</c:v>
                </c:pt>
                <c:pt idx="497">
                  <c:v>98.793012144792002</c:v>
                </c:pt>
                <c:pt idx="498">
                  <c:v>99.110117446837108</c:v>
                </c:pt>
                <c:pt idx="499">
                  <c:v>99.42695356285877</c:v>
                </c:pt>
                <c:pt idx="500">
                  <c:v>99.743521119653082</c:v>
                </c:pt>
                <c:pt idx="501">
                  <c:v>102.89447432075595</c:v>
                </c:pt>
                <c:pt idx="502">
                  <c:v>106.01897392881712</c:v>
                </c:pt>
                <c:pt idx="503">
                  <c:v>109.11762715646719</c:v>
                </c:pt>
                <c:pt idx="504">
                  <c:v>112.19102138441373</c:v>
                </c:pt>
                <c:pt idx="505">
                  <c:v>115.23972503881592</c:v>
                </c:pt>
                <c:pt idx="506">
                  <c:v>118.26428842033155</c:v>
                </c:pt>
                <c:pt idx="507">
                  <c:v>121.26524448801779</c:v>
                </c:pt>
                <c:pt idx="508">
                  <c:v>124.24310960102443</c:v>
                </c:pt>
                <c:pt idx="509">
                  <c:v>127.19838422079663</c:v>
                </c:pt>
                <c:pt idx="510">
                  <c:v>130.13155357630094</c:v>
                </c:pt>
                <c:pt idx="511">
                  <c:v>133.04308829460334</c:v>
                </c:pt>
                <c:pt idx="512">
                  <c:v>135.93344499895741</c:v>
                </c:pt>
                <c:pt idx="513">
                  <c:v>138.80306687640527</c:v>
                </c:pt>
                <c:pt idx="514">
                  <c:v>141.65238421675025</c:v>
                </c:pt>
                <c:pt idx="515">
                  <c:v>144.48181492462916</c:v>
                </c:pt>
                <c:pt idx="516">
                  <c:v>147.29176500629075</c:v>
                </c:pt>
                <c:pt idx="517">
                  <c:v>150.08262903257574</c:v>
                </c:pt>
                <c:pt idx="518">
                  <c:v>152.85479057949112</c:v>
                </c:pt>
                <c:pt idx="519">
                  <c:v>155.60862264767687</c:v>
                </c:pt>
                <c:pt idx="520">
                  <c:v>158.3444880619758</c:v>
                </c:pt>
                <c:pt idx="521">
                  <c:v>161.06273985223697</c:v>
                </c:pt>
                <c:pt idx="522">
                  <c:v>163.76372161640816</c:v>
                </c:pt>
                <c:pt idx="523">
                  <c:v>166.44776786690403</c:v>
                </c:pt>
                <c:pt idx="524">
                  <c:v>169.11520436117306</c:v>
                </c:pt>
                <c:pt idx="525">
                  <c:v>171.76634841732698</c:v>
                </c:pt>
                <c:pt idx="526">
                  <c:v>174.40150921564148</c:v>
                </c:pt>
                <c:pt idx="527">
                  <c:v>177.02098808668623</c:v>
                </c:pt>
                <c:pt idx="528">
                  <c:v>179.62507878679526</c:v>
                </c:pt>
                <c:pt idx="529">
                  <c:v>182.21406776154427</c:v>
                </c:pt>
                <c:pt idx="530">
                  <c:v>184.78823439786123</c:v>
                </c:pt>
                <c:pt idx="531">
                  <c:v>187.34785126535826</c:v>
                </c:pt>
                <c:pt idx="532">
                  <c:v>189.89318434743754</c:v>
                </c:pt>
                <c:pt idx="533">
                  <c:v>192.42449326269116</c:v>
                </c:pt>
                <c:pt idx="534">
                  <c:v>194.94203147708396</c:v>
                </c:pt>
                <c:pt idx="535">
                  <c:v>197.44604650737995</c:v>
                </c:pt>
                <c:pt idx="536">
                  <c:v>199.93678011624581</c:v>
                </c:pt>
                <c:pt idx="537">
                  <c:v>202.41446849944057</c:v>
                </c:pt>
                <c:pt idx="538">
                  <c:v>204.87934246547661</c:v>
                </c:pt>
                <c:pt idx="539">
                  <c:v>207.33162760811567</c:v>
                </c:pt>
                <c:pt idx="540">
                  <c:v>209.77154447204319</c:v>
                </c:pt>
                <c:pt idx="541">
                  <c:v>212.19930871204497</c:v>
                </c:pt>
                <c:pt idx="542">
                  <c:v>214.61513124599213</c:v>
                </c:pt>
                <c:pt idx="543">
                  <c:v>217.01921840192418</c:v>
                </c:pt>
                <c:pt idx="544">
                  <c:v>219.41177205950339</c:v>
                </c:pt>
                <c:pt idx="545">
                  <c:v>221.79298978609987</c:v>
                </c:pt>
                <c:pt idx="546">
                  <c:v>224.16306496775184</c:v>
                </c:pt>
                <c:pt idx="547">
                  <c:v>226.52218693523358</c:v>
                </c:pt>
                <c:pt idx="548">
                  <c:v>228.8705410854507</c:v>
                </c:pt>
                <c:pt idx="549">
                  <c:v>231.20830899837094</c:v>
                </c:pt>
                <c:pt idx="550">
                  <c:v>233.53566854968815</c:v>
                </c:pt>
                <c:pt idx="551">
                  <c:v>235.8527940194067</c:v>
                </c:pt>
                <c:pt idx="552">
                  <c:v>238.15985619652403</c:v>
                </c:pt>
                <c:pt idx="553">
                  <c:v>240.45702247998017</c:v>
                </c:pt>
                <c:pt idx="554">
                  <c:v>242.74445697603429</c:v>
                </c:pt>
                <c:pt idx="555">
                  <c:v>245.02232059222061</c:v>
                </c:pt>
                <c:pt idx="556">
                  <c:v>247.2907711280283</c:v>
                </c:pt>
                <c:pt idx="557">
                  <c:v>249.54996336244264</c:v>
                </c:pt>
                <c:pt idx="558">
                  <c:v>251.80004913847867</c:v>
                </c:pt>
                <c:pt idx="559">
                  <c:v>254.04117744483116</c:v>
                </c:pt>
                <c:pt idx="560">
                  <c:v>256.2734944947598</c:v>
                </c:pt>
                <c:pt idx="561">
                  <c:v>258.49714380232189</c:v>
                </c:pt>
                <c:pt idx="562">
                  <c:v>260.71226625606027</c:v>
                </c:pt>
                <c:pt idx="563">
                  <c:v>262.91900019024825</c:v>
                </c:pt>
                <c:pt idx="564">
                  <c:v>265.11748145378937</c:v>
                </c:pt>
                <c:pt idx="565">
                  <c:v>267.30784347686472</c:v>
                </c:pt>
                <c:pt idx="566">
                  <c:v>269.49021733541628</c:v>
                </c:pt>
                <c:pt idx="567">
                  <c:v>271.66473181355082</c:v>
                </c:pt>
                <c:pt idx="568">
                  <c:v>273.83151346394493</c:v>
                </c:pt>
                <c:pt idx="569">
                  <c:v>275.99068666632797</c:v>
                </c:pt>
                <c:pt idx="570">
                  <c:v>278.14237368411642</c:v>
                </c:pt>
                <c:pt idx="571">
                  <c:v>280.28669471926969</c:v>
                </c:pt>
                <c:pt idx="572">
                  <c:v>282.42376796543431</c:v>
                </c:pt>
                <c:pt idx="573">
                  <c:v>284.55370965944036</c:v>
                </c:pt>
                <c:pt idx="574">
                  <c:v>286.67663413121136</c:v>
                </c:pt>
                <c:pt idx="575">
                  <c:v>288.79265385214569</c:v>
                </c:pt>
                <c:pt idx="576">
                  <c:v>290.90187948202572</c:v>
                </c:pt>
                <c:pt idx="577">
                  <c:v>293.00441991450765</c:v>
                </c:pt>
                <c:pt idx="578">
                  <c:v>295.10038232124339</c:v>
                </c:pt>
                <c:pt idx="579">
                  <c:v>297.18987219468266</c:v>
                </c:pt>
                <c:pt idx="580">
                  <c:v>299.27299338960279</c:v>
                </c:pt>
                <c:pt idx="581">
                  <c:v>301.34984816341006</c:v>
                </c:pt>
                <c:pt idx="582">
                  <c:v>303.42053721525565</c:v>
                </c:pt>
                <c:pt idx="583">
                  <c:v>305.48515972400702</c:v>
                </c:pt>
                <c:pt idx="584">
                  <c:v>307.54381338511348</c:v>
                </c:pt>
                <c:pt idx="585">
                  <c:v>309.59659444640386</c:v>
                </c:pt>
                <c:pt idx="586">
                  <c:v>311.64359774285145</c:v>
                </c:pt>
                <c:pt idx="587">
                  <c:v>313.6849167303406</c:v>
                </c:pt>
                <c:pt idx="588">
                  <c:v>315.72064351846785</c:v>
                </c:pt>
                <c:pt idx="589">
                  <c:v>317.7508689024088</c:v>
                </c:pt>
                <c:pt idx="590">
                  <c:v>319.77568239388023</c:v>
                </c:pt>
                <c:pt idx="591">
                  <c:v>321.79517225122669</c:v>
                </c:pt>
                <c:pt idx="592">
                  <c:v>323.80942550865814</c:v>
                </c:pt>
                <c:pt idx="593">
                  <c:v>325.81852800466544</c:v>
                </c:pt>
                <c:pt idx="594">
                  <c:v>327.82256440963801</c:v>
                </c:pt>
                <c:pt idx="595">
                  <c:v>329.82161825270765</c:v>
                </c:pt>
                <c:pt idx="596">
                  <c:v>331.81577194784091</c:v>
                </c:pt>
                <c:pt idx="597">
                  <c:v>333.80510681920197</c:v>
                </c:pt>
                <c:pt idx="598">
                  <c:v>335.78970312580606</c:v>
                </c:pt>
                <c:pt idx="599">
                  <c:v>337.7696400854831</c:v>
                </c:pt>
                <c:pt idx="600">
                  <c:v>339.74499589816998</c:v>
                </c:pt>
                <c:pt idx="601">
                  <c:v>341.71584776854905</c:v>
                </c:pt>
                <c:pt idx="602">
                  <c:v>343.68227192804909</c:v>
                </c:pt>
                <c:pt idx="603">
                  <c:v>345.64434365622446</c:v>
                </c:pt>
                <c:pt idx="604">
                  <c:v>347.60213730152708</c:v>
                </c:pt>
                <c:pt idx="605">
                  <c:v>349.55572630148487</c:v>
                </c:pt>
                <c:pt idx="606">
                  <c:v>351.50518320229946</c:v>
                </c:pt>
                <c:pt idx="607">
                  <c:v>353.45057967787477</c:v>
                </c:pt>
                <c:pt idx="608">
                  <c:v>355.39198654828755</c:v>
                </c:pt>
                <c:pt idx="609">
                  <c:v>357.32947379770985</c:v>
                </c:pt>
                <c:pt idx="610">
                  <c:v>359.26311059179221</c:v>
                </c:pt>
                <c:pt idx="611">
                  <c:v>361.19296529451589</c:v>
                </c:pt>
                <c:pt idx="612">
                  <c:v>363.11910548452073</c:v>
                </c:pt>
                <c:pt idx="613">
                  <c:v>365.04159797091518</c:v>
                </c:pt>
                <c:pt idx="614">
                  <c:v>366.96050880857285</c:v>
                </c:pt>
                <c:pt idx="615">
                  <c:v>368.87590331292034</c:v>
                </c:pt>
                <c:pt idx="616">
                  <c:v>370.78784607421778</c:v>
                </c:pt>
                <c:pt idx="617">
                  <c:v>372.69640097133521</c:v>
                </c:pt>
                <c:pt idx="618">
                  <c:v>374.60163118502362</c:v>
                </c:pt>
                <c:pt idx="619">
                  <c:v>376.5035992106807</c:v>
                </c:pt>
                <c:pt idx="620">
                  <c:v>378.40236687060849</c:v>
                </c:pt>
                <c:pt idx="621">
                  <c:v>380.29799532575873</c:v>
                </c:pt>
                <c:pt idx="622">
                  <c:v>382.19054508696109</c:v>
                </c:pt>
                <c:pt idx="623">
                  <c:v>384.08007602562662</c:v>
                </c:pt>
                <c:pt idx="624">
                  <c:v>385.96664738391746</c:v>
                </c:pt>
                <c:pt idx="625">
                  <c:v>387.85031778437167</c:v>
                </c:pt>
                <c:pt idx="626">
                  <c:v>389.73114523897056</c:v>
                </c:pt>
                <c:pt idx="627">
                  <c:v>391.60918715763205</c:v>
                </c:pt>
                <c:pt idx="628">
                  <c:v>393.48450035611296</c:v>
                </c:pt>
                <c:pt idx="629">
                  <c:v>395.3571410632984</c:v>
                </c:pt>
                <c:pt idx="630">
                  <c:v>397.22716492785531</c:v>
                </c:pt>
                <c:pt idx="631">
                  <c:v>399.09462702422172</c:v>
                </c:pt>
                <c:pt idx="632">
                  <c:v>400.95958185790181</c:v>
                </c:pt>
                <c:pt idx="633">
                  <c:v>402.82208337003073</c:v>
                </c:pt>
                <c:pt idx="634">
                  <c:v>404.68218494117008</c:v>
                </c:pt>
                <c:pt idx="635">
                  <c:v>406.53993939428949</c:v>
                </c:pt>
                <c:pt idx="636">
                  <c:v>408.39539899688384</c:v>
                </c:pt>
                <c:pt idx="637">
                  <c:v>410.24861546217033</c:v>
                </c:pt>
                <c:pt idx="638">
                  <c:v>412.09963994930206</c:v>
                </c:pt>
                <c:pt idx="639">
                  <c:v>413.94852306252807</c:v>
                </c:pt>
                <c:pt idx="640">
                  <c:v>415.79531484922074</c:v>
                </c:pt>
                <c:pt idx="641">
                  <c:v>417.64006479668308</c:v>
                </c:pt>
                <c:pt idx="642">
                  <c:v>419.48282182763751</c:v>
                </c:pt>
                <c:pt idx="643">
                  <c:v>421.32363429428682</c:v>
                </c:pt>
                <c:pt idx="644">
                  <c:v>423.16254997082603</c:v>
                </c:pt>
                <c:pt idx="645">
                  <c:v>424.99961604426932</c:v>
                </c:pt>
                <c:pt idx="646">
                  <c:v>426.83487910344235</c:v>
                </c:pt>
                <c:pt idx="647">
                  <c:v>428.66838512597292</c:v>
                </c:pt>
                <c:pt idx="648">
                  <c:v>430.500179463096</c:v>
                </c:pt>
                <c:pt idx="649">
                  <c:v>432.33030682206964</c:v>
                </c:pt>
                <c:pt idx="650">
                  <c:v>434.15881124597803</c:v>
                </c:pt>
                <c:pt idx="651">
                  <c:v>435.98573609067654</c:v>
                </c:pt>
                <c:pt idx="652">
                  <c:v>437.81112399861121</c:v>
                </c:pt>
                <c:pt idx="653">
                  <c:v>439.6350168692224</c:v>
                </c:pt>
                <c:pt idx="654">
                  <c:v>441.45745582562074</c:v>
                </c:pt>
                <c:pt idx="655">
                  <c:v>443.27848117720248</c:v>
                </c:pt>
                <c:pt idx="656">
                  <c:v>445.09813237785346</c:v>
                </c:pt>
                <c:pt idx="657">
                  <c:v>446.91644797937937</c:v>
                </c:pt>
                <c:pt idx="658">
                  <c:v>448.73346557979318</c:v>
                </c:pt>
                <c:pt idx="659">
                  <c:v>450.54922176609824</c:v>
                </c:pt>
                <c:pt idx="660">
                  <c:v>452.36375205122522</c:v>
                </c:pt>
                <c:pt idx="661">
                  <c:v>454.17709080482354</c:v>
                </c:pt>
                <c:pt idx="662">
                  <c:v>455.98927117767528</c:v>
                </c:pt>
                <c:pt idx="663">
                  <c:v>457.8003250196017</c:v>
                </c:pt>
                <c:pt idx="664">
                  <c:v>459.61028279087452</c:v>
                </c:pt>
                <c:pt idx="665">
                  <c:v>461.41917346733624</c:v>
                </c:pt>
                <c:pt idx="666">
                  <c:v>463.22702443967756</c:v>
                </c:pt>
                <c:pt idx="667">
                  <c:v>465.03386140762473</c:v>
                </c:pt>
                <c:pt idx="668">
                  <c:v>466.839708270149</c:v>
                </c:pt>
                <c:pt idx="669">
                  <c:v>468.64458701321871</c:v>
                </c:pt>
                <c:pt idx="670">
                  <c:v>470.44851759705392</c:v>
                </c:pt>
                <c:pt idx="671">
                  <c:v>472.25151784528498</c:v>
                </c:pt>
                <c:pt idx="672">
                  <c:v>474.05360333881885</c:v>
                </c:pt>
                <c:pt idx="673">
                  <c:v>475.85478731753335</c:v>
                </c:pt>
                <c:pt idx="674">
                  <c:v>477.65508059309099</c:v>
                </c:pt>
                <c:pt idx="675">
                  <c:v>479.4544914761434</c:v>
                </c:pt>
                <c:pt idx="676">
                  <c:v>481.25302572094517</c:v>
                </c:pt>
                <c:pt idx="677">
                  <c:v>483.05068648989879</c:v>
                </c:pt>
                <c:pt idx="678">
                  <c:v>484.84747433983046</c:v>
                </c:pt>
                <c:pt idx="679">
                  <c:v>486.64338723090395</c:v>
                </c:pt>
                <c:pt idx="680">
                  <c:v>488.43842055809313</c:v>
                </c:pt>
                <c:pt idx="681">
                  <c:v>490.2325672041581</c:v>
                </c:pt>
                <c:pt idx="682">
                  <c:v>492.02581761219329</c:v>
                </c:pt>
                <c:pt idx="683">
                  <c:v>493.81815987512408</c:v>
                </c:pt>
                <c:pt idx="684">
                  <c:v>495.60957983906491</c:v>
                </c:pt>
                <c:pt idx="685">
                  <c:v>497.40006121723491</c:v>
                </c:pt>
                <c:pt idx="686">
                  <c:v>499.1895857111374</c:v>
                </c:pt>
                <c:pt idx="687">
                  <c:v>500.97813313591018</c:v>
                </c:pt>
                <c:pt idx="688">
                  <c:v>502.76568154708701</c:v>
                </c:pt>
                <c:pt idx="689">
                  <c:v>504.55220736642781</c:v>
                </c:pt>
                <c:pt idx="690">
                  <c:v>506.33768550492289</c:v>
                </c:pt>
                <c:pt idx="691">
                  <c:v>508.12208948151664</c:v>
                </c:pt>
                <c:pt idx="692">
                  <c:v>509.90539153650235</c:v>
                </c:pt>
                <c:pt idx="693">
                  <c:v>511.68756273889466</c:v>
                </c:pt>
                <c:pt idx="694">
                  <c:v>513.46857308738356</c:v>
                </c:pt>
                <c:pt idx="695">
                  <c:v>515.24839160471174</c:v>
                </c:pt>
                <c:pt idx="696">
                  <c:v>517.02698642550217</c:v>
                </c:pt>
                <c:pt idx="697">
                  <c:v>518.80432487769747</c:v>
                </c:pt>
                <c:pt idx="698">
                  <c:v>520.5803735578711</c:v>
                </c:pt>
                <c:pt idx="699">
                  <c:v>522.35509840072996</c:v>
                </c:pt>
                <c:pt idx="700">
                  <c:v>524.1284647431695</c:v>
                </c:pt>
                <c:pt idx="701">
                  <c:v>525.90043738325573</c:v>
                </c:pt>
                <c:pt idx="702">
                  <c:v>527.67098063451544</c:v>
                </c:pt>
                <c:pt idx="703">
                  <c:v>529.44005837590566</c:v>
                </c:pt>
                <c:pt idx="704">
                  <c:v>531.20763409782035</c:v>
                </c:pt>
                <c:pt idx="705">
                  <c:v>532.97367094447372</c:v>
                </c:pt>
                <c:pt idx="706">
                  <c:v>534.73813175297676</c:v>
                </c:pt>
                <c:pt idx="707">
                  <c:v>536.50097908940097</c:v>
                </c:pt>
                <c:pt idx="708">
                  <c:v>538.26217528210134</c:v>
                </c:pt>
                <c:pt idx="709">
                  <c:v>540.02168245254597</c:v>
                </c:pt>
                <c:pt idx="710">
                  <c:v>541.77946254388041</c:v>
                </c:pt>
                <c:pt idx="711">
                  <c:v>543.53547734743131</c:v>
                </c:pt>
                <c:pt idx="712">
                  <c:v>545.28968852733806</c:v>
                </c:pt>
                <c:pt idx="713">
                  <c:v>547.04205764348103</c:v>
                </c:pt>
                <c:pt idx="714">
                  <c:v>548.79254617285972</c:v>
                </c:pt>
                <c:pt idx="715">
                  <c:v>550.54111552955874</c:v>
                </c:pt>
                <c:pt idx="716">
                  <c:v>552.28772708342785</c:v>
                </c:pt>
                <c:pt idx="717">
                  <c:v>554.03234217758666</c:v>
                </c:pt>
                <c:pt idx="718">
                  <c:v>555.77492214485756</c:v>
                </c:pt>
                <c:pt idx="719">
                  <c:v>557.51542832321707</c:v>
                </c:pt>
                <c:pt idx="720">
                  <c:v>559.2538220703492</c:v>
                </c:pt>
                <c:pt idx="721">
                  <c:v>560.9900647773751</c:v>
                </c:pt>
                <c:pt idx="722">
                  <c:v>562.72411788182615</c:v>
                </c:pt>
                <c:pt idx="723">
                  <c:v>564.45594287992162</c:v>
                </c:pt>
                <c:pt idx="724">
                  <c:v>566.185501338206</c:v>
                </c:pt>
                <c:pt idx="725">
                  <c:v>567.91275490459554</c:v>
                </c:pt>
                <c:pt idx="726">
                  <c:v>569.63766531887893</c:v>
                </c:pt>
                <c:pt idx="727">
                  <c:v>571.36019442271311</c:v>
                </c:pt>
                <c:pt idx="728">
                  <c:v>573.08030416915108</c:v>
                </c:pt>
                <c:pt idx="729">
                  <c:v>574.79795663173547</c:v>
                </c:pt>
                <c:pt idx="730">
                  <c:v>576.51311401318787</c:v>
                </c:pt>
                <c:pt idx="731">
                  <c:v>578.22573865372181</c:v>
                </c:pt>
                <c:pt idx="732">
                  <c:v>579.93579303900469</c:v>
                </c:pt>
                <c:pt idx="733">
                  <c:v>581.6432398077917</c:v>
                </c:pt>
                <c:pt idx="734">
                  <c:v>583.34804175925206</c:v>
                </c:pt>
                <c:pt idx="735">
                  <c:v>585.05016186000705</c:v>
                </c:pt>
                <c:pt idx="736">
                  <c:v>586.74956325089693</c:v>
                </c:pt>
                <c:pt idx="737">
                  <c:v>588.44620925349341</c:v>
                </c:pt>
                <c:pt idx="738">
                  <c:v>590.14006337637056</c:v>
                </c:pt>
                <c:pt idx="739">
                  <c:v>591.83108932114942</c:v>
                </c:pt>
                <c:pt idx="740">
                  <c:v>593.51925098832692</c:v>
                </c:pt>
                <c:pt idx="741">
                  <c:v>595.20451248290112</c:v>
                </c:pt>
                <c:pt idx="742">
                  <c:v>596.88683811980263</c:v>
                </c:pt>
                <c:pt idx="743">
                  <c:v>598.56619242914178</c:v>
                </c:pt>
                <c:pt idx="744">
                  <c:v>600.24254016128009</c:v>
                </c:pt>
                <c:pt idx="745">
                  <c:v>601.91584629173394</c:v>
                </c:pt>
                <c:pt idx="746">
                  <c:v>603.58607602591815</c:v>
                </c:pt>
                <c:pt idx="747">
                  <c:v>605.2531948037356</c:v>
                </c:pt>
                <c:pt idx="748">
                  <c:v>606.91716830401947</c:v>
                </c:pt>
                <c:pt idx="749">
                  <c:v>608.577962448834</c:v>
                </c:pt>
                <c:pt idx="750">
                  <c:v>610.23554340763872</c:v>
                </c:pt>
                <c:pt idx="751">
                  <c:v>611.88987760132125</c:v>
                </c:pt>
                <c:pt idx="752">
                  <c:v>613.54093170610327</c:v>
                </c:pt>
                <c:pt idx="753">
                  <c:v>615.18867265732376</c:v>
                </c:pt>
                <c:pt idx="754">
                  <c:v>616.8330676531034</c:v>
                </c:pt>
                <c:pt idx="755">
                  <c:v>618.47408415789391</c:v>
                </c:pt>
                <c:pt idx="756">
                  <c:v>620.11168990591568</c:v>
                </c:pt>
                <c:pt idx="757">
                  <c:v>621.7458529044867</c:v>
                </c:pt>
                <c:pt idx="758">
                  <c:v>623.37654143724581</c:v>
                </c:pt>
                <c:pt idx="759">
                  <c:v>625.00372406727274</c:v>
                </c:pt>
                <c:pt idx="760">
                  <c:v>626.62736964010844</c:v>
                </c:pt>
                <c:pt idx="761">
                  <c:v>628.24744728667667</c:v>
                </c:pt>
                <c:pt idx="762">
                  <c:v>629.86392642610986</c:v>
                </c:pt>
                <c:pt idx="763">
                  <c:v>631.47677676848173</c:v>
                </c:pt>
                <c:pt idx="764">
                  <c:v>633.08596831744785</c:v>
                </c:pt>
                <c:pt idx="765">
                  <c:v>634.69147137279629</c:v>
                </c:pt>
                <c:pt idx="766">
                  <c:v>636.29325653290994</c:v>
                </c:pt>
                <c:pt idx="767">
                  <c:v>637.89129469714305</c:v>
                </c:pt>
                <c:pt idx="768">
                  <c:v>639.48555706811169</c:v>
                </c:pt>
                <c:pt idx="769">
                  <c:v>641.07601515390161</c:v>
                </c:pt>
                <c:pt idx="770">
                  <c:v>642.66264077019366</c:v>
                </c:pt>
                <c:pt idx="771">
                  <c:v>644.24540604230822</c:v>
                </c:pt>
                <c:pt idx="772">
                  <c:v>645.82428340717013</c:v>
                </c:pt>
                <c:pt idx="773">
                  <c:v>647.39924561519581</c:v>
                </c:pt>
                <c:pt idx="774">
                  <c:v>648.97026573210201</c:v>
                </c:pt>
                <c:pt idx="775">
                  <c:v>650.53731714063963</c:v>
                </c:pt>
                <c:pt idx="776">
                  <c:v>652.10037354225153</c:v>
                </c:pt>
                <c:pt idx="777">
                  <c:v>653.65940895865685</c:v>
                </c:pt>
                <c:pt idx="778">
                  <c:v>655.21439773336158</c:v>
                </c:pt>
                <c:pt idx="779">
                  <c:v>656.76531453309747</c:v>
                </c:pt>
                <c:pt idx="780">
                  <c:v>658.31213434918914</c:v>
                </c:pt>
                <c:pt idx="781">
                  <c:v>659.85483249885124</c:v>
                </c:pt>
                <c:pt idx="782">
                  <c:v>661.39338462641535</c:v>
                </c:pt>
                <c:pt idx="783">
                  <c:v>662.92776670448848</c:v>
                </c:pt>
                <c:pt idx="784">
                  <c:v>664.4579550350436</c:v>
                </c:pt>
                <c:pt idx="785">
                  <c:v>665.98392625044244</c:v>
                </c:pt>
                <c:pt idx="786">
                  <c:v>667.50565731439247</c:v>
                </c:pt>
                <c:pt idx="787">
                  <c:v>669.0231255228374</c:v>
                </c:pt>
                <c:pt idx="788">
                  <c:v>670.53630850478316</c:v>
                </c:pt>
                <c:pt idx="789">
                  <c:v>672.04518422305944</c:v>
                </c:pt>
                <c:pt idx="790">
                  <c:v>673.54973097501727</c:v>
                </c:pt>
                <c:pt idx="791">
                  <c:v>675.04992739316424</c:v>
                </c:pt>
                <c:pt idx="792">
                  <c:v>676.54575244573675</c:v>
                </c:pt>
                <c:pt idx="793">
                  <c:v>678.03718543721129</c:v>
                </c:pt>
                <c:pt idx="794">
                  <c:v>679.5242060087545</c:v>
                </c:pt>
                <c:pt idx="795">
                  <c:v>681.00679413861292</c:v>
                </c:pt>
                <c:pt idx="796">
                  <c:v>682.48493014244309</c:v>
                </c:pt>
                <c:pt idx="797">
                  <c:v>683.95859467358309</c:v>
                </c:pt>
                <c:pt idx="798">
                  <c:v>685.4277687232651</c:v>
                </c:pt>
                <c:pt idx="799">
                  <c:v>686.89243362077059</c:v>
                </c:pt>
                <c:pt idx="800">
                  <c:v>688.35257103352876</c:v>
                </c:pt>
                <c:pt idx="801">
                  <c:v>689.80816296715807</c:v>
                </c:pt>
                <c:pt idx="802">
                  <c:v>691.2591917654521</c:v>
                </c:pt>
                <c:pt idx="803">
                  <c:v>692.70564011031058</c:v>
                </c:pt>
                <c:pt idx="804">
                  <c:v>694.14749102161534</c:v>
                </c:pt>
                <c:pt idx="805">
                  <c:v>695.58472785705305</c:v>
                </c:pt>
                <c:pt idx="806">
                  <c:v>697.01733431188427</c:v>
                </c:pt>
                <c:pt idx="807">
                  <c:v>698.44529441865973</c:v>
                </c:pt>
                <c:pt idx="808">
                  <c:v>699.86859254688534</c:v>
                </c:pt>
                <c:pt idx="809">
                  <c:v>701.28721340263496</c:v>
                </c:pt>
                <c:pt idx="810">
                  <c:v>702.70114202811317</c:v>
                </c:pt>
                <c:pt idx="811">
                  <c:v>704.11036380116752</c:v>
                </c:pt>
                <c:pt idx="812">
                  <c:v>705.51486443475164</c:v>
                </c:pt>
                <c:pt idx="813">
                  <c:v>706.91462997633914</c:v>
                </c:pt>
                <c:pt idx="814">
                  <c:v>708.30964680728994</c:v>
                </c:pt>
                <c:pt idx="815">
                  <c:v>709.69990164216858</c:v>
                </c:pt>
                <c:pt idx="816">
                  <c:v>711.085381528016</c:v>
                </c:pt>
                <c:pt idx="817">
                  <c:v>712.46607384357458</c:v>
                </c:pt>
                <c:pt idx="818">
                  <c:v>713.84196629846838</c:v>
                </c:pt>
                <c:pt idx="819">
                  <c:v>715.21304693233765</c:v>
                </c:pt>
                <c:pt idx="820">
                  <c:v>716.57930411392977</c:v>
                </c:pt>
                <c:pt idx="821">
                  <c:v>717.9407265401461</c:v>
                </c:pt>
                <c:pt idx="822">
                  <c:v>719.29730323504577</c:v>
                </c:pt>
                <c:pt idx="823">
                  <c:v>720.64902354880769</c:v>
                </c:pt>
                <c:pt idx="824">
                  <c:v>721.99587715665041</c:v>
                </c:pt>
                <c:pt idx="825">
                  <c:v>723.3378540577113</c:v>
                </c:pt>
                <c:pt idx="826">
                  <c:v>724.674944573885</c:v>
                </c:pt>
                <c:pt idx="827">
                  <c:v>726.00713934862267</c:v>
                </c:pt>
                <c:pt idx="828">
                  <c:v>727.33442934569212</c:v>
                </c:pt>
                <c:pt idx="829">
                  <c:v>728.65680584789902</c:v>
                </c:pt>
                <c:pt idx="830">
                  <c:v>729.97426045577163</c:v>
                </c:pt>
                <c:pt idx="831">
                  <c:v>731.28678508620703</c:v>
                </c:pt>
                <c:pt idx="832">
                  <c:v>732.5943719710823</c:v>
                </c:pt>
                <c:pt idx="833">
                  <c:v>733.89701365582926</c:v>
                </c:pt>
                <c:pt idx="834">
                  <c:v>735.19470299797467</c:v>
                </c:pt>
                <c:pt idx="835">
                  <c:v>736.48743316564571</c:v>
                </c:pt>
                <c:pt idx="836">
                  <c:v>737.77519763604198</c:v>
                </c:pt>
                <c:pt idx="837">
                  <c:v>739.05799019387473</c:v>
                </c:pt>
                <c:pt idx="838">
                  <c:v>740.33580492977308</c:v>
                </c:pt>
                <c:pt idx="839">
                  <c:v>741.60863623865964</c:v>
                </c:pt>
                <c:pt idx="840">
                  <c:v>742.87647881809437</c:v>
                </c:pt>
                <c:pt idx="841">
                  <c:v>744.13932766658809</c:v>
                </c:pt>
                <c:pt idx="842">
                  <c:v>745.39717808188698</c:v>
                </c:pt>
                <c:pt idx="843">
                  <c:v>746.65002565922759</c:v>
                </c:pt>
                <c:pt idx="844">
                  <c:v>747.89786628956381</c:v>
                </c:pt>
                <c:pt idx="845">
                  <c:v>749.14069615776611</c:v>
                </c:pt>
                <c:pt idx="846">
                  <c:v>750.37851174079378</c:v>
                </c:pt>
                <c:pt idx="847">
                  <c:v>751.61130980584107</c:v>
                </c:pt>
                <c:pt idx="848">
                  <c:v>752.83908740845754</c:v>
                </c:pt>
                <c:pt idx="849">
                  <c:v>754.06184189064334</c:v>
                </c:pt>
                <c:pt idx="850">
                  <c:v>755.27957087892048</c:v>
                </c:pt>
                <c:pt idx="851">
                  <c:v>756.49227228238044</c:v>
                </c:pt>
                <c:pt idx="852">
                  <c:v>757.69994429070823</c:v>
                </c:pt>
                <c:pt idx="853">
                  <c:v>758.90258537218517</c:v>
                </c:pt>
                <c:pt idx="854">
                  <c:v>760.10019427166878</c:v>
                </c:pt>
                <c:pt idx="855">
                  <c:v>761.29277000855257</c:v>
                </c:pt>
                <c:pt idx="856">
                  <c:v>762.48031187470519</c:v>
                </c:pt>
                <c:pt idx="857">
                  <c:v>763.66281943238937</c:v>
                </c:pt>
                <c:pt idx="858">
                  <c:v>764.84029251216259</c:v>
                </c:pt>
                <c:pt idx="859">
                  <c:v>766.0127312107586</c:v>
                </c:pt>
                <c:pt idx="860">
                  <c:v>767.18013588895167</c:v>
                </c:pt>
                <c:pt idx="861">
                  <c:v>768.34250716940312</c:v>
                </c:pt>
                <c:pt idx="862">
                  <c:v>769.49984593449153</c:v>
                </c:pt>
                <c:pt idx="863">
                  <c:v>770.6521533241272</c:v>
                </c:pt>
                <c:pt idx="864">
                  <c:v>771.79943073355105</c:v>
                </c:pt>
                <c:pt idx="865">
                  <c:v>772.94167981111889</c:v>
                </c:pt>
                <c:pt idx="866">
                  <c:v>774.07890245607177</c:v>
                </c:pt>
                <c:pt idx="867">
                  <c:v>775.21110081629229</c:v>
                </c:pt>
                <c:pt idx="868">
                  <c:v>776.33827728604899</c:v>
                </c:pt>
                <c:pt idx="869">
                  <c:v>777.46043450372747</c:v>
                </c:pt>
                <c:pt idx="870">
                  <c:v>778.57757534955067</c:v>
                </c:pt>
                <c:pt idx="871">
                  <c:v>779.68970294328722</c:v>
                </c:pt>
                <c:pt idx="872">
                  <c:v>780.79682064195026</c:v>
                </c:pt>
                <c:pt idx="873">
                  <c:v>781.89893203748545</c:v>
                </c:pt>
                <c:pt idx="874">
                  <c:v>782.99604095445022</c:v>
                </c:pt>
                <c:pt idx="875">
                  <c:v>784.08815144768391</c:v>
                </c:pt>
                <c:pt idx="876">
                  <c:v>785.17526779997002</c:v>
                </c:pt>
                <c:pt idx="877">
                  <c:v>786.25739451969048</c:v>
                </c:pt>
                <c:pt idx="878">
                  <c:v>787.33453633847284</c:v>
                </c:pt>
                <c:pt idx="879">
                  <c:v>788.40669820883136</c:v>
                </c:pt>
                <c:pt idx="880">
                  <c:v>789.47388530180137</c:v>
                </c:pt>
                <c:pt idx="881">
                  <c:v>790.53610300456899</c:v>
                </c:pt>
                <c:pt idx="882">
                  <c:v>791.59335691809508</c:v>
                </c:pt>
                <c:pt idx="883">
                  <c:v>792.64565285473532</c:v>
                </c:pt>
                <c:pt idx="884">
                  <c:v>793.69299683585643</c:v>
                </c:pt>
                <c:pt idx="885">
                  <c:v>794.7353950894485</c:v>
                </c:pt>
                <c:pt idx="886">
                  <c:v>795.772854047735</c:v>
                </c:pt>
                <c:pt idx="887">
                  <c:v>796.80538034478002</c:v>
                </c:pt>
                <c:pt idx="888">
                  <c:v>797.83298081409396</c:v>
                </c:pt>
                <c:pt idx="889">
                  <c:v>798.85566248623752</c:v>
                </c:pt>
                <c:pt idx="890">
                  <c:v>799.873432586425</c:v>
                </c:pt>
                <c:pt idx="891">
                  <c:v>800.88629853212683</c:v>
                </c:pt>
                <c:pt idx="892">
                  <c:v>801.89426793067275</c:v>
                </c:pt>
                <c:pt idx="893">
                  <c:v>802.89734857685482</c:v>
                </c:pt>
                <c:pt idx="894">
                  <c:v>803.89554845053169</c:v>
                </c:pt>
                <c:pt idx="895">
                  <c:v>804.88887571423425</c:v>
                </c:pt>
                <c:pt idx="896">
                  <c:v>805.87733871077307</c:v>
                </c:pt>
                <c:pt idx="897">
                  <c:v>806.8609459608482</c:v>
                </c:pt>
                <c:pt idx="898">
                  <c:v>807.83970616066131</c:v>
                </c:pt>
                <c:pt idx="899">
                  <c:v>808.81362817953152</c:v>
                </c:pt>
                <c:pt idx="900">
                  <c:v>809.78272105751444</c:v>
                </c:pt>
                <c:pt idx="901">
                  <c:v>810.74699400302472</c:v>
                </c:pt>
                <c:pt idx="902">
                  <c:v>811.70645639046404</c:v>
                </c:pt>
                <c:pt idx="903">
                  <c:v>812.66111775785259</c:v>
                </c:pt>
                <c:pt idx="904">
                  <c:v>813.61098780446662</c:v>
                </c:pt>
                <c:pt idx="905">
                  <c:v>814.55607638848073</c:v>
                </c:pt>
                <c:pt idx="906">
                  <c:v>815.49639352461668</c:v>
                </c:pt>
                <c:pt idx="907">
                  <c:v>816.43194938179795</c:v>
                </c:pt>
                <c:pt idx="908">
                  <c:v>817.36275428081126</c:v>
                </c:pt>
                <c:pt idx="909">
                  <c:v>818.2888186919746</c:v>
                </c:pt>
                <c:pt idx="910">
                  <c:v>819.2101532328129</c:v>
                </c:pt>
                <c:pt idx="911">
                  <c:v>820.12676866574111</c:v>
                </c:pt>
                <c:pt idx="912">
                  <c:v>821.03867589575555</c:v>
                </c:pt>
                <c:pt idx="913">
                  <c:v>821.94588596813287</c:v>
                </c:pt>
                <c:pt idx="914">
                  <c:v>822.8484100661384</c:v>
                </c:pt>
                <c:pt idx="915">
                  <c:v>823.7462595087427</c:v>
                </c:pt>
                <c:pt idx="916">
                  <c:v>824.63944574834784</c:v>
                </c:pt>
                <c:pt idx="917">
                  <c:v>825.52798036852278</c:v>
                </c:pt>
                <c:pt idx="918">
                  <c:v>826.4118750817488</c:v>
                </c:pt>
                <c:pt idx="919">
                  <c:v>827.29114172717482</c:v>
                </c:pt>
                <c:pt idx="920">
                  <c:v>828.16579226838303</c:v>
                </c:pt>
                <c:pt idx="921">
                  <c:v>829.03583879116536</c:v>
                </c:pt>
                <c:pt idx="922">
                  <c:v>829.90129350131053</c:v>
                </c:pt>
                <c:pt idx="923">
                  <c:v>830.76216872240252</c:v>
                </c:pt>
                <c:pt idx="924">
                  <c:v>831.6184768936298</c:v>
                </c:pt>
                <c:pt idx="925">
                  <c:v>832.47023056760713</c:v>
                </c:pt>
                <c:pt idx="926">
                  <c:v>833.31744240820819</c:v>
                </c:pt>
                <c:pt idx="927">
                  <c:v>834.16012518841114</c:v>
                </c:pt>
                <c:pt idx="928">
                  <c:v>834.9982917881556</c:v>
                </c:pt>
                <c:pt idx="929">
                  <c:v>835.83195519221294</c:v>
                </c:pt>
                <c:pt idx="930">
                  <c:v>836.66112848806893</c:v>
                </c:pt>
                <c:pt idx="931">
                  <c:v>837.48582486381895</c:v>
                </c:pt>
                <c:pt idx="932">
                  <c:v>838.30605760607705</c:v>
                </c:pt>
                <c:pt idx="933">
                  <c:v>839.12184009789769</c:v>
                </c:pt>
                <c:pt idx="934">
                  <c:v>839.9331858167111</c:v>
                </c:pt>
                <c:pt idx="935">
                  <c:v>840.74010833227248</c:v>
                </c:pt>
                <c:pt idx="936">
                  <c:v>841.54262130462484</c:v>
                </c:pt>
                <c:pt idx="937">
                  <c:v>842.34073848207584</c:v>
                </c:pt>
                <c:pt idx="938">
                  <c:v>843.1344736991889</c:v>
                </c:pt>
                <c:pt idx="939">
                  <c:v>843.92384087478843</c:v>
                </c:pt>
                <c:pt idx="940">
                  <c:v>844.70885400997952</c:v>
                </c:pt>
                <c:pt idx="941">
                  <c:v>845.48952718618239</c:v>
                </c:pt>
                <c:pt idx="942">
                  <c:v>846.26587456318123</c:v>
                </c:pt>
                <c:pt idx="943">
                  <c:v>847.03791037718827</c:v>
                </c:pt>
                <c:pt idx="944">
                  <c:v>847.80564893892256</c:v>
                </c:pt>
                <c:pt idx="945">
                  <c:v>848.56910463170368</c:v>
                </c:pt>
                <c:pt idx="946">
                  <c:v>848.56910463170368</c:v>
                </c:pt>
                <c:pt idx="947">
                  <c:v>848.56910463170368</c:v>
                </c:pt>
                <c:pt idx="948">
                  <c:v>848.56910463170368</c:v>
                </c:pt>
                <c:pt idx="949">
                  <c:v>848.56910463170368</c:v>
                </c:pt>
                <c:pt idx="950">
                  <c:v>848.56910463170368</c:v>
                </c:pt>
                <c:pt idx="951">
                  <c:v>848.56910463170368</c:v>
                </c:pt>
                <c:pt idx="952">
                  <c:v>848.56910463170368</c:v>
                </c:pt>
                <c:pt idx="953">
                  <c:v>848.56910463170368</c:v>
                </c:pt>
                <c:pt idx="954">
                  <c:v>848.56910463170368</c:v>
                </c:pt>
                <c:pt idx="955">
                  <c:v>848.56910463170368</c:v>
                </c:pt>
                <c:pt idx="956">
                  <c:v>848.56910463170368</c:v>
                </c:pt>
                <c:pt idx="957">
                  <c:v>848.56910463170368</c:v>
                </c:pt>
                <c:pt idx="958">
                  <c:v>848.56910463170368</c:v>
                </c:pt>
                <c:pt idx="959">
                  <c:v>848.56910463170368</c:v>
                </c:pt>
                <c:pt idx="960">
                  <c:v>848.56910463170368</c:v>
                </c:pt>
                <c:pt idx="961">
                  <c:v>848.56910463170368</c:v>
                </c:pt>
                <c:pt idx="962">
                  <c:v>848.56910463170368</c:v>
                </c:pt>
                <c:pt idx="963">
                  <c:v>848.56910463170368</c:v>
                </c:pt>
                <c:pt idx="964">
                  <c:v>848.56910463170368</c:v>
                </c:pt>
                <c:pt idx="965">
                  <c:v>848.56910463170368</c:v>
                </c:pt>
                <c:pt idx="966">
                  <c:v>848.56910463170368</c:v>
                </c:pt>
                <c:pt idx="967">
                  <c:v>848.56910463170368</c:v>
                </c:pt>
                <c:pt idx="968">
                  <c:v>848.56910463170368</c:v>
                </c:pt>
                <c:pt idx="969">
                  <c:v>848.56910463170368</c:v>
                </c:pt>
                <c:pt idx="970">
                  <c:v>848.56910463170368</c:v>
                </c:pt>
                <c:pt idx="971">
                  <c:v>848.56910463170368</c:v>
                </c:pt>
                <c:pt idx="972">
                  <c:v>848.56910463170368</c:v>
                </c:pt>
                <c:pt idx="973">
                  <c:v>848.56910463170368</c:v>
                </c:pt>
                <c:pt idx="974">
                  <c:v>848.56910463170368</c:v>
                </c:pt>
                <c:pt idx="975">
                  <c:v>848.56910463170368</c:v>
                </c:pt>
                <c:pt idx="976">
                  <c:v>848.56910463170368</c:v>
                </c:pt>
                <c:pt idx="977">
                  <c:v>848.56910463170368</c:v>
                </c:pt>
                <c:pt idx="978">
                  <c:v>848.56910463170368</c:v>
                </c:pt>
                <c:pt idx="979">
                  <c:v>848.56910463170368</c:v>
                </c:pt>
                <c:pt idx="980">
                  <c:v>848.56910463170368</c:v>
                </c:pt>
                <c:pt idx="981">
                  <c:v>848.56910463170368</c:v>
                </c:pt>
                <c:pt idx="982">
                  <c:v>848.56910463170368</c:v>
                </c:pt>
                <c:pt idx="983">
                  <c:v>848.56910463170368</c:v>
                </c:pt>
                <c:pt idx="984">
                  <c:v>848.56910463170368</c:v>
                </c:pt>
                <c:pt idx="985">
                  <c:v>848.56910463170368</c:v>
                </c:pt>
                <c:pt idx="986">
                  <c:v>848.56910463170368</c:v>
                </c:pt>
                <c:pt idx="987">
                  <c:v>848.56910463170368</c:v>
                </c:pt>
                <c:pt idx="988">
                  <c:v>848.56910463170368</c:v>
                </c:pt>
                <c:pt idx="989">
                  <c:v>848.56910463170368</c:v>
                </c:pt>
                <c:pt idx="990">
                  <c:v>848.56910463170368</c:v>
                </c:pt>
                <c:pt idx="991">
                  <c:v>848.56910463170368</c:v>
                </c:pt>
                <c:pt idx="992">
                  <c:v>848.56910463170368</c:v>
                </c:pt>
                <c:pt idx="993">
                  <c:v>848.56910463170368</c:v>
                </c:pt>
                <c:pt idx="994">
                  <c:v>848.56910463170368</c:v>
                </c:pt>
                <c:pt idx="995">
                  <c:v>848.56910463170368</c:v>
                </c:pt>
                <c:pt idx="996">
                  <c:v>848.56910463170368</c:v>
                </c:pt>
                <c:pt idx="997">
                  <c:v>848.56910463170368</c:v>
                </c:pt>
                <c:pt idx="998">
                  <c:v>848.56910463170368</c:v>
                </c:pt>
                <c:pt idx="999">
                  <c:v>848.56910463170368</c:v>
                </c:pt>
                <c:pt idx="1000">
                  <c:v>848.56910463170368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4.8454537426533613E-4</c:v>
                </c:pt>
                <c:pt idx="2">
                  <c:v>3.0098523531846906E-3</c:v>
                </c:pt>
                <c:pt idx="3">
                  <c:v>9.0924669372744408E-3</c:v>
                </c:pt>
                <c:pt idx="4">
                  <c:v>1.9622488329450273E-2</c:v>
                </c:pt>
                <c:pt idx="5">
                  <c:v>3.5490770437777167E-2</c:v>
                </c:pt>
                <c:pt idx="6">
                  <c:v>5.7589035102754378E-2</c:v>
                </c:pt>
                <c:pt idx="7">
                  <c:v>8.6809984293011788E-2</c:v>
                </c:pt>
                <c:pt idx="8">
                  <c:v>0.12404741131150263</c:v>
                </c:pt>
                <c:pt idx="9">
                  <c:v>0.17019631105286553</c:v>
                </c:pt>
                <c:pt idx="10">
                  <c:v>0.22615298935126302</c:v>
                </c:pt>
                <c:pt idx="11">
                  <c:v>0.29255910031611482</c:v>
                </c:pt>
                <c:pt idx="12">
                  <c:v>0.36954504731527471</c:v>
                </c:pt>
                <c:pt idx="13">
                  <c:v>0.45698322648663359</c:v>
                </c:pt>
                <c:pt idx="14">
                  <c:v>0.55474185008536059</c:v>
                </c:pt>
                <c:pt idx="15">
                  <c:v>0.66268689479262965</c:v>
                </c:pt>
                <c:pt idx="16">
                  <c:v>0.78068405450253586</c:v>
                </c:pt>
                <c:pt idx="17">
                  <c:v>0.90859874514596273</c:v>
                </c:pt>
                <c:pt idx="18">
                  <c:v>1.0462961095112582</c:v>
                </c:pt>
                <c:pt idx="19">
                  <c:v>1.1936410220609734</c:v>
                </c:pt>
                <c:pt idx="20">
                  <c:v>1.3504980937439244</c:v>
                </c:pt>
                <c:pt idx="21">
                  <c:v>1.5167316768018404</c:v>
                </c:pt>
                <c:pt idx="22">
                  <c:v>1.6922058695698703</c:v>
                </c:pt>
                <c:pt idx="23">
                  <c:v>1.8767845212702179</c:v>
                </c:pt>
                <c:pt idx="24">
                  <c:v>2.070331236798189</c:v>
                </c:pt>
                <c:pt idx="25">
                  <c:v>2.2727093814999333</c:v>
                </c:pt>
                <c:pt idx="26">
                  <c:v>2.4837820859411726</c:v>
                </c:pt>
                <c:pt idx="27">
                  <c:v>2.7034466785245099</c:v>
                </c:pt>
                <c:pt idx="28">
                  <c:v>2.9316691784966009</c:v>
                </c:pt>
                <c:pt idx="29">
                  <c:v>3.1684499594633553</c:v>
                </c:pt>
                <c:pt idx="30">
                  <c:v>3.4137893501040186</c:v>
                </c:pt>
                <c:pt idx="31">
                  <c:v>3.6676876341132512</c:v>
                </c:pt>
                <c:pt idx="32">
                  <c:v>3.9301450501442883</c:v>
                </c:pt>
                <c:pt idx="33">
                  <c:v>4.2011617917531918</c:v>
                </c:pt>
                <c:pt idx="34">
                  <c:v>4.4807342796552891</c:v>
                </c:pt>
                <c:pt idx="35">
                  <c:v>4.7688587659544588</c:v>
                </c:pt>
                <c:pt idx="36">
                  <c:v>5.0655350626862239</c:v>
                </c:pt>
                <c:pt idx="37">
                  <c:v>5.37076294017763</c:v>
                </c:pt>
                <c:pt idx="38">
                  <c:v>5.684542128653665</c:v>
                </c:pt>
                <c:pt idx="39">
                  <c:v>6.0068723179364136</c:v>
                </c:pt>
                <c:pt idx="40">
                  <c:v>6.3377531571639567</c:v>
                </c:pt>
                <c:pt idx="41">
                  <c:v>6.6771842545272015</c:v>
                </c:pt>
                <c:pt idx="42">
                  <c:v>7.0251651770230428</c:v>
                </c:pt>
                <c:pt idx="43">
                  <c:v>7.3816954502224439</c:v>
                </c:pt>
                <c:pt idx="44">
                  <c:v>7.7467745580521896</c:v>
                </c:pt>
                <c:pt idx="45">
                  <c:v>8.1204019425892007</c:v>
                </c:pt>
                <c:pt idx="46">
                  <c:v>8.5025770038664259</c:v>
                </c:pt>
                <c:pt idx="47">
                  <c:v>8.8932990996894254</c:v>
                </c:pt>
                <c:pt idx="48">
                  <c:v>9.2925675454628678</c:v>
                </c:pt>
                <c:pt idx="49">
                  <c:v>9.7003816140262167</c:v>
                </c:pt>
                <c:pt idx="50">
                  <c:v>10.116740535497987</c:v>
                </c:pt>
                <c:pt idx="51">
                  <c:v>10.541643497127991</c:v>
                </c:pt>
                <c:pt idx="52">
                  <c:v>10.975089643157048</c:v>
                </c:pt>
                <c:pt idx="53">
                  <c:v>11.417078074683706</c:v>
                </c:pt>
                <c:pt idx="54">
                  <c:v>11.867607849537535</c:v>
                </c:pt>
                <c:pt idx="55">
                  <c:v>12.326677982158607</c:v>
                </c:pt>
                <c:pt idx="56">
                  <c:v>12.794287443482824</c:v>
                </c:pt>
                <c:pt idx="57">
                  <c:v>13.270435160832752</c:v>
                </c:pt>
                <c:pt idx="58">
                  <c:v>13.755120017813685</c:v>
                </c:pt>
                <c:pt idx="59">
                  <c:v>14.248340854214662</c:v>
                </c:pt>
                <c:pt idx="60">
                  <c:v>14.750096465914199</c:v>
                </c:pt>
                <c:pt idx="61">
                  <c:v>15.260385604790489</c:v>
                </c:pt>
                <c:pt idx="62">
                  <c:v>15.779206978635896</c:v>
                </c:pt>
                <c:pt idx="63">
                  <c:v>16.30655925107552</c:v>
                </c:pt>
                <c:pt idx="64">
                  <c:v>16.842441041489678</c:v>
                </c:pt>
                <c:pt idx="65">
                  <c:v>17.38685092494012</c:v>
                </c:pt>
                <c:pt idx="66">
                  <c:v>17.939787432099855</c:v>
                </c:pt>
                <c:pt idx="67">
                  <c:v>18.50124904918642</c:v>
                </c:pt>
                <c:pt idx="68">
                  <c:v>19.071234217898471</c:v>
                </c:pt>
                <c:pt idx="69">
                  <c:v>19.649741335355603</c:v>
                </c:pt>
                <c:pt idx="70">
                  <c:v>20.236768754041247</c:v>
                </c:pt>
                <c:pt idx="71">
                  <c:v>20.832314781748551</c:v>
                </c:pt>
                <c:pt idx="72">
                  <c:v>21.436377287415919</c:v>
                </c:pt>
                <c:pt idx="73">
                  <c:v>22.048953306369146</c:v>
                </c:pt>
                <c:pt idx="74">
                  <c:v>22.670039433573695</c:v>
                </c:pt>
                <c:pt idx="75">
                  <c:v>23.299632217497475</c:v>
                </c:pt>
                <c:pt idx="76">
                  <c:v>23.937728160093723</c:v>
                </c:pt>
                <c:pt idx="77">
                  <c:v>24.584323716786518</c:v>
                </c:pt>
                <c:pt idx="78">
                  <c:v>25.239415296458819</c:v>
                </c:pt>
                <c:pt idx="79">
                  <c:v>25.902999261443011</c:v>
                </c:pt>
                <c:pt idx="80">
                  <c:v>26.57507192751385</c:v>
                </c:pt>
                <c:pt idx="81">
                  <c:v>27.25562956388379</c:v>
                </c:pt>
                <c:pt idx="82">
                  <c:v>27.944668393200619</c:v>
                </c:pt>
                <c:pt idx="83">
                  <c:v>28.642184591547345</c:v>
                </c:pt>
                <c:pt idx="84">
                  <c:v>29.348174288444326</c:v>
                </c:pt>
                <c:pt idx="85">
                  <c:v>30.062633566853549</c:v>
                </c:pt>
                <c:pt idx="86">
                  <c:v>30.785558463185041</c:v>
                </c:pt>
                <c:pt idx="87">
                  <c:v>31.516944967305385</c:v>
                </c:pt>
                <c:pt idx="88">
                  <c:v>32.256789022548269</c:v>
                </c:pt>
                <c:pt idx="89">
                  <c:v>33.005086525727073</c:v>
                </c:pt>
                <c:pt idx="90">
                  <c:v>33.761833327149418</c:v>
                </c:pt>
                <c:pt idx="91">
                  <c:v>34.527025230633676</c:v>
                </c:pt>
                <c:pt idx="92">
                  <c:v>35.300657993527402</c:v>
                </c:pt>
                <c:pt idx="93">
                  <c:v>36.082727326727664</c:v>
                </c:pt>
                <c:pt idx="94">
                  <c:v>36.87322889470321</c:v>
                </c:pt>
                <c:pt idx="95">
                  <c:v>37.672158315518516</c:v>
                </c:pt>
                <c:pt idx="96">
                  <c:v>38.479511160859595</c:v>
                </c:pt>
                <c:pt idx="97">
                  <c:v>39.295282956061627</c:v>
                </c:pt>
                <c:pt idx="98">
                  <c:v>40.119469180138367</c:v>
                </c:pt>
                <c:pt idx="99">
                  <c:v>40.952065265813246</c:v>
                </c:pt>
                <c:pt idx="100">
                  <c:v>41.793066599552247</c:v>
                </c:pt>
                <c:pt idx="101">
                  <c:v>42.64246852159846</c:v>
                </c:pt>
                <c:pt idx="102">
                  <c:v>43.500266326008301</c:v>
                </c:pt>
                <c:pt idx="103">
                  <c:v>44.366455260689435</c:v>
                </c:pt>
                <c:pt idx="104">
                  <c:v>45.241030527440309</c:v>
                </c:pt>
                <c:pt idx="105">
                  <c:v>46.12398728199134</c:v>
                </c:pt>
                <c:pt idx="106">
                  <c:v>47.015320634047697</c:v>
                </c:pt>
                <c:pt idx="107">
                  <c:v>47.915025647333692</c:v>
                </c:pt>
                <c:pt idx="108">
                  <c:v>48.823097339638743</c:v>
                </c:pt>
                <c:pt idx="109">
                  <c:v>49.739530682864903</c:v>
                </c:pt>
                <c:pt idx="110">
                  <c:v>50.66432060307595</c:v>
                </c:pt>
                <c:pt idx="111">
                  <c:v>51.597461980548005</c:v>
                </c:pt>
                <c:pt idx="112">
                  <c:v>52.53894964982166</c:v>
                </c:pt>
                <c:pt idx="113">
                  <c:v>53.488778399755667</c:v>
                </c:pt>
                <c:pt idx="114">
                  <c:v>54.446942973582054</c:v>
                </c:pt>
                <c:pt idx="115">
                  <c:v>55.413438068962783</c:v>
                </c:pt>
                <c:pt idx="116">
                  <c:v>56.388258338047869</c:v>
                </c:pt>
                <c:pt idx="117">
                  <c:v>57.371398387534924</c:v>
                </c:pt>
                <c:pt idx="118">
                  <c:v>58.362852778730208</c:v>
                </c:pt>
                <c:pt idx="119">
                  <c:v>59.362616027611068</c:v>
                </c:pt>
                <c:pt idx="120">
                  <c:v>60.370682604889844</c:v>
                </c:pt>
                <c:pt idx="121">
                  <c:v>61.387046936079166</c:v>
                </c:pt>
                <c:pt idx="122">
                  <c:v>62.411703401558675</c:v>
                </c:pt>
                <c:pt idx="123">
                  <c:v>63.444646336643125</c:v>
                </c:pt>
                <c:pt idx="124">
                  <c:v>64.485870031651871</c:v>
                </c:pt>
                <c:pt idx="125">
                  <c:v>65.535368731979773</c:v>
                </c:pt>
                <c:pt idx="126">
                  <c:v>66.593136638169398</c:v>
                </c:pt>
                <c:pt idx="127">
                  <c:v>67.659167905984631</c:v>
                </c:pt>
                <c:pt idx="128">
                  <c:v>68.733456646485635</c:v>
                </c:pt>
                <c:pt idx="129">
                  <c:v>69.815995104083711</c:v>
                </c:pt>
                <c:pt idx="130">
                  <c:v>70.906771832403919</c:v>
                </c:pt>
                <c:pt idx="131">
                  <c:v>72.005773513763401</c:v>
                </c:pt>
                <c:pt idx="132">
                  <c:v>73.112986780907136</c:v>
                </c:pt>
                <c:pt idx="133">
                  <c:v>74.228398217214703</c:v>
                </c:pt>
                <c:pt idx="134">
                  <c:v>75.351994356908321</c:v>
                </c:pt>
                <c:pt idx="135">
                  <c:v>76.483761685262238</c:v>
                </c:pt>
                <c:pt idx="136">
                  <c:v>77.623686638813453</c:v>
                </c:pt>
                <c:pt idx="137">
                  <c:v>78.771755605573759</c:v>
                </c:pt>
                <c:pt idx="138">
                  <c:v>79.927954925243043</c:v>
                </c:pt>
                <c:pt idx="139">
                  <c:v>81.092270889423858</c:v>
                </c:pt>
                <c:pt idx="140">
                  <c:v>82.264689741837287</c:v>
                </c:pt>
                <c:pt idx="141">
                  <c:v>83.445197678539955</c:v>
                </c:pt>
                <c:pt idx="142">
                  <c:v>84.633780848142365</c:v>
                </c:pt>
                <c:pt idx="143">
                  <c:v>85.830425352028371</c:v>
                </c:pt>
                <c:pt idx="144">
                  <c:v>87.035117244575844</c:v>
                </c:pt>
                <c:pt idx="145">
                  <c:v>88.247842533378517</c:v>
                </c:pt>
                <c:pt idx="146">
                  <c:v>89.468587179469012</c:v>
                </c:pt>
                <c:pt idx="147">
                  <c:v>90.697337097542928</c:v>
                </c:pt>
                <c:pt idx="148">
                  <c:v>91.934078156184114</c:v>
                </c:pt>
                <c:pt idx="149">
                  <c:v>93.178796178091048</c:v>
                </c:pt>
                <c:pt idx="150">
                  <c:v>94.431476940304236</c:v>
                </c:pt>
                <c:pt idx="151">
                  <c:v>95.692106174434784</c:v>
                </c:pt>
                <c:pt idx="152">
                  <c:v>96.960669566893927</c:v>
                </c:pt>
                <c:pt idx="153">
                  <c:v>98.237152759123688</c:v>
                </c:pt>
                <c:pt idx="154">
                  <c:v>99.521541347828489</c:v>
                </c:pt>
                <c:pt idx="155">
                  <c:v>100.81382088520783</c:v>
                </c:pt>
                <c:pt idx="156">
                  <c:v>102.11397687918991</c:v>
                </c:pt>
                <c:pt idx="157">
                  <c:v>103.42199479366624</c:v>
                </c:pt>
                <c:pt idx="158">
                  <c:v>104.7378600487273</c:v>
                </c:pt>
                <c:pt idx="159">
                  <c:v>106.06155802089899</c:v>
                </c:pt>
                <c:pt idx="160">
                  <c:v>107.39307404338014</c:v>
                </c:pt>
                <c:pt idx="161">
                  <c:v>108.73239340628091</c:v>
                </c:pt>
                <c:pt idx="162">
                  <c:v>110.07950135686204</c:v>
                </c:pt>
                <c:pt idx="163">
                  <c:v>111.43438309977505</c:v>
                </c:pt>
                <c:pt idx="164">
                  <c:v>112.79702379730327</c:v>
                </c:pt>
                <c:pt idx="165">
                  <c:v>114.16740856960375</c:v>
                </c:pt>
                <c:pt idx="166">
                  <c:v>115.54552249494999</c:v>
                </c:pt>
                <c:pt idx="167">
                  <c:v>116.93135060997554</c:v>
                </c:pt>
                <c:pt idx="168">
                  <c:v>118.32487790991833</c:v>
                </c:pt>
                <c:pt idx="169">
                  <c:v>119.72608934886588</c:v>
                </c:pt>
                <c:pt idx="170">
                  <c:v>121.13496984000126</c:v>
                </c:pt>
                <c:pt idx="171">
                  <c:v>122.55150425584981</c:v>
                </c:pt>
                <c:pt idx="172">
                  <c:v>123.97567742852658</c:v>
                </c:pt>
                <c:pt idx="173">
                  <c:v>125.40747414998459</c:v>
                </c:pt>
                <c:pt idx="174">
                  <c:v>126.84687917226375</c:v>
                </c:pt>
                <c:pt idx="175">
                  <c:v>128.29387720774048</c:v>
                </c:pt>
                <c:pt idx="176">
                  <c:v>129.74845292937806</c:v>
                </c:pt>
                <c:pt idx="177">
                  <c:v>131.21059097097768</c:v>
                </c:pt>
                <c:pt idx="178">
                  <c:v>132.68027592743002</c:v>
                </c:pt>
                <c:pt idx="179">
                  <c:v>134.15749235496764</c:v>
                </c:pt>
                <c:pt idx="180">
                  <c:v>135.642224771418</c:v>
                </c:pt>
                <c:pt idx="181">
                  <c:v>137.13445765645687</c:v>
                </c:pt>
                <c:pt idx="182">
                  <c:v>138.63417545186266</c:v>
                </c:pt>
                <c:pt idx="183">
                  <c:v>140.14136256177113</c:v>
                </c:pt>
                <c:pt idx="184">
                  <c:v>141.65600335293078</c:v>
                </c:pt>
                <c:pt idx="185">
                  <c:v>143.1780821549587</c:v>
                </c:pt>
                <c:pt idx="186">
                  <c:v>144.70758326059709</c:v>
                </c:pt>
                <c:pt idx="187">
                  <c:v>146.24449092597021</c:v>
                </c:pt>
                <c:pt idx="188">
                  <c:v>147.7887893708419</c:v>
                </c:pt>
                <c:pt idx="189">
                  <c:v>149.34046277887364</c:v>
                </c:pt>
                <c:pt idx="190">
                  <c:v>150.89949529788302</c:v>
                </c:pt>
                <c:pt idx="191">
                  <c:v>152.46587104010274</c:v>
                </c:pt>
                <c:pt idx="192">
                  <c:v>154.03957408244</c:v>
                </c:pt>
                <c:pt idx="193">
                  <c:v>155.62058846673645</c:v>
                </c:pt>
                <c:pt idx="194">
                  <c:v>157.20889820002856</c:v>
                </c:pt>
                <c:pt idx="195">
                  <c:v>158.80448725480827</c:v>
                </c:pt>
                <c:pt idx="196">
                  <c:v>160.40733956928423</c:v>
                </c:pt>
                <c:pt idx="197">
                  <c:v>162.01743904764328</c:v>
                </c:pt>
                <c:pt idx="198">
                  <c:v>163.63476956031244</c:v>
                </c:pt>
                <c:pt idx="199">
                  <c:v>165.25931494422113</c:v>
                </c:pt>
                <c:pt idx="200">
                  <c:v>166.8910590030639</c:v>
                </c:pt>
                <c:pt idx="201">
                  <c:v>168.52998550756334</c:v>
                </c:pt>
                <c:pt idx="202">
                  <c:v>170.1760781957334</c:v>
                </c:pt>
                <c:pt idx="203">
                  <c:v>171.82932077314302</c:v>
                </c:pt>
                <c:pt idx="204">
                  <c:v>173.48969691318004</c:v>
                </c:pt>
                <c:pt idx="205">
                  <c:v>175.15719025731531</c:v>
                </c:pt>
                <c:pt idx="206">
                  <c:v>176.83178396925146</c:v>
                </c:pt>
                <c:pt idx="207">
                  <c:v>178.51346028877683</c:v>
                </c:pt>
                <c:pt idx="208">
                  <c:v>180.20220097796303</c:v>
                </c:pt>
                <c:pt idx="209">
                  <c:v>181.8979877676733</c:v>
                </c:pt>
                <c:pt idx="210">
                  <c:v>183.60080235785898</c:v>
                </c:pt>
                <c:pt idx="211">
                  <c:v>185.31062641785618</c:v>
                </c:pt>
                <c:pt idx="212">
                  <c:v>187.0274415866825</c:v>
                </c:pt>
                <c:pt idx="213">
                  <c:v>188.75122947333372</c:v>
                </c:pt>
                <c:pt idx="214">
                  <c:v>190.48197165708078</c:v>
                </c:pt>
                <c:pt idx="215">
                  <c:v>192.21964968776649</c:v>
                </c:pt>
                <c:pt idx="216">
                  <c:v>193.96424508610258</c:v>
                </c:pt>
                <c:pt idx="217">
                  <c:v>195.71573934396656</c:v>
                </c:pt>
                <c:pt idx="218">
                  <c:v>197.4741139246986</c:v>
                </c:pt>
                <c:pt idx="219">
                  <c:v>199.23935026339851</c:v>
                </c:pt>
                <c:pt idx="220">
                  <c:v>201.0114297672225</c:v>
                </c:pt>
                <c:pt idx="221">
                  <c:v>202.7903338156801</c:v>
                </c:pt>
                <c:pt idx="222">
                  <c:v>204.57604376093084</c:v>
                </c:pt>
                <c:pt idx="223">
                  <c:v>206.36854092808099</c:v>
                </c:pt>
                <c:pt idx="224">
                  <c:v>208.16780661548012</c:v>
                </c:pt>
                <c:pt idx="225">
                  <c:v>209.97382209501762</c:v>
                </c:pt>
                <c:pt idx="226">
                  <c:v>211.78656861241902</c:v>
                </c:pt>
                <c:pt idx="227">
                  <c:v>213.6060273875423</c:v>
                </c:pt>
                <c:pt idx="228">
                  <c:v>215.43217961467394</c:v>
                </c:pt>
                <c:pt idx="229">
                  <c:v>217.26500646282491</c:v>
                </c:pt>
                <c:pt idx="230">
                  <c:v>219.10448907602637</c:v>
                </c:pt>
                <c:pt idx="231">
                  <c:v>220.95060857362526</c:v>
                </c:pt>
                <c:pt idx="232">
                  <c:v>222.80334605057973</c:v>
                </c:pt>
                <c:pt idx="233">
                  <c:v>224.66268257775425</c:v>
                </c:pt>
                <c:pt idx="234">
                  <c:v>226.52859920221459</c:v>
                </c:pt>
                <c:pt idx="235">
                  <c:v>228.40107694752251</c:v>
                </c:pt>
                <c:pt idx="236">
                  <c:v>230.28009681403012</c:v>
                </c:pt>
                <c:pt idx="237">
                  <c:v>232.1656397791742</c:v>
                </c:pt>
                <c:pt idx="238">
                  <c:v>234.05768679776997</c:v>
                </c:pt>
                <c:pt idx="239">
                  <c:v>235.95621880230479</c:v>
                </c:pt>
                <c:pt idx="240">
                  <c:v>237.86121670323132</c:v>
                </c:pt>
                <c:pt idx="241">
                  <c:v>239.77266138926066</c:v>
                </c:pt>
                <c:pt idx="242">
                  <c:v>241.69053218186937</c:v>
                </c:pt>
                <c:pt idx="243">
                  <c:v>243.614805289185</c:v>
                </c:pt>
                <c:pt idx="244">
                  <c:v>245.54545535217216</c:v>
                </c:pt>
                <c:pt idx="245">
                  <c:v>247.48245699149339</c:v>
                </c:pt>
                <c:pt idx="246">
                  <c:v>249.42578480790837</c:v>
                </c:pt>
                <c:pt idx="247">
                  <c:v>251.37541338267218</c:v>
                </c:pt>
                <c:pt idx="248">
                  <c:v>253.33131727793264</c:v>
                </c:pt>
                <c:pt idx="249">
                  <c:v>255.29347103712661</c:v>
                </c:pt>
                <c:pt idx="250">
                  <c:v>257.26184918537524</c:v>
                </c:pt>
                <c:pt idx="251">
                  <c:v>259.23642622987842</c:v>
                </c:pt>
                <c:pt idx="252">
                  <c:v>261.21717666030787</c:v>
                </c:pt>
                <c:pt idx="253">
                  <c:v>263.20407494919942</c:v>
                </c:pt>
                <c:pt idx="254">
                  <c:v>265.19709555234425</c:v>
                </c:pt>
                <c:pt idx="255">
                  <c:v>267.19621290917883</c:v>
                </c:pt>
                <c:pt idx="256">
                  <c:v>269.20140144317384</c:v>
                </c:pt>
                <c:pt idx="257">
                  <c:v>271.21263556222209</c:v>
                </c:pt>
                <c:pt idx="258">
                  <c:v>273.22988965902528</c:v>
                </c:pt>
                <c:pt idx="259">
                  <c:v>275.25313811147947</c:v>
                </c:pt>
                <c:pt idx="260">
                  <c:v>277.28235528305947</c:v>
                </c:pt>
                <c:pt idx="261">
                  <c:v>279.31751552320202</c:v>
                </c:pt>
                <c:pt idx="262">
                  <c:v>281.35859316768796</c:v>
                </c:pt>
                <c:pt idx="263">
                  <c:v>283.40556253902292</c:v>
                </c:pt>
                <c:pt idx="264">
                  <c:v>285.45839794681694</c:v>
                </c:pt>
                <c:pt idx="265">
                  <c:v>287.51707368816284</c:v>
                </c:pt>
                <c:pt idx="266">
                  <c:v>289.58156404801326</c:v>
                </c:pt>
                <c:pt idx="267">
                  <c:v>291.65184329955656</c:v>
                </c:pt>
                <c:pt idx="268">
                  <c:v>293.7278857045913</c:v>
                </c:pt>
                <c:pt idx="269">
                  <c:v>295.80966551389957</c:v>
                </c:pt>
                <c:pt idx="270">
                  <c:v>297.89715696761886</c:v>
                </c:pt>
                <c:pt idx="271">
                  <c:v>299.99033429561274</c:v>
                </c:pt>
                <c:pt idx="272">
                  <c:v>302.08917171784014</c:v>
                </c:pt>
                <c:pt idx="273">
                  <c:v>304.19364344472331</c:v>
                </c:pt>
                <c:pt idx="274">
                  <c:v>306.30372367751431</c:v>
                </c:pt>
                <c:pt idx="275">
                  <c:v>308.41938660866032</c:v>
                </c:pt>
                <c:pt idx="276">
                  <c:v>310.54060642216734</c:v>
                </c:pt>
                <c:pt idx="277">
                  <c:v>312.66735729396277</c:v>
                </c:pt>
                <c:pt idx="278">
                  <c:v>314.79961339225622</c:v>
                </c:pt>
                <c:pt idx="279">
                  <c:v>316.9373488778993</c:v>
                </c:pt>
                <c:pt idx="280">
                  <c:v>319.08053790474361</c:v>
                </c:pt>
                <c:pt idx="281">
                  <c:v>321.22915461999747</c:v>
                </c:pt>
                <c:pt idx="282">
                  <c:v>323.38317316458125</c:v>
                </c:pt>
                <c:pt idx="283">
                  <c:v>325.54256767348102</c:v>
                </c:pt>
                <c:pt idx="284">
                  <c:v>327.70731409559357</c:v>
                </c:pt>
                <c:pt idx="285">
                  <c:v>329.87739201368942</c:v>
                </c:pt>
                <c:pt idx="286">
                  <c:v>332.05278282405664</c:v>
                </c:pt>
                <c:pt idx="287">
                  <c:v>334.23346791596867</c:v>
                </c:pt>
                <c:pt idx="288">
                  <c:v>336.41942867192046</c:v>
                </c:pt>
                <c:pt idx="289">
                  <c:v>338.61064646786394</c:v>
                </c:pt>
                <c:pt idx="290">
                  <c:v>340.8071026734425</c:v>
                </c:pt>
                <c:pt idx="291">
                  <c:v>343.00877865222498</c:v>
                </c:pt>
                <c:pt idx="292">
                  <c:v>345.21565576193865</c:v>
                </c:pt>
                <c:pt idx="293">
                  <c:v>347.42771535470143</c:v>
                </c:pt>
                <c:pt idx="294">
                  <c:v>349.64493877725334</c:v>
                </c:pt>
                <c:pt idx="295">
                  <c:v>351.86730737118722</c:v>
                </c:pt>
                <c:pt idx="296">
                  <c:v>354.09480247317839</c:v>
                </c:pt>
                <c:pt idx="297">
                  <c:v>356.32740541521378</c:v>
                </c:pt>
                <c:pt idx="298">
                  <c:v>358.56509752481992</c:v>
                </c:pt>
                <c:pt idx="299">
                  <c:v>360.80786012529046</c:v>
                </c:pt>
                <c:pt idx="300">
                  <c:v>363.05567453591249</c:v>
                </c:pt>
                <c:pt idx="301">
                  <c:v>365.3085220721922</c:v>
                </c:pt>
                <c:pt idx="302">
                  <c:v>367.56638404607969</c:v>
                </c:pt>
                <c:pt idx="303">
                  <c:v>369.82924176619287</c:v>
                </c:pt>
                <c:pt idx="304">
                  <c:v>372.09707653804043</c:v>
                </c:pt>
                <c:pt idx="305">
                  <c:v>374.36986966424411</c:v>
                </c:pt>
                <c:pt idx="306">
                  <c:v>376.64760244475997</c:v>
                </c:pt>
                <c:pt idx="307">
                  <c:v>378.93025617709873</c:v>
                </c:pt>
                <c:pt idx="308">
                  <c:v>381.21781215654545</c:v>
                </c:pt>
                <c:pt idx="309">
                  <c:v>383.51025167637795</c:v>
                </c:pt>
                <c:pt idx="310">
                  <c:v>385.80755602808472</c:v>
                </c:pt>
                <c:pt idx="311">
                  <c:v>388.10970650158168</c:v>
                </c:pt>
                <c:pt idx="312">
                  <c:v>390.41668438542808</c:v>
                </c:pt>
                <c:pt idx="313">
                  <c:v>392.72847096704157</c:v>
                </c:pt>
                <c:pt idx="314">
                  <c:v>395.04504753291218</c:v>
                </c:pt>
                <c:pt idx="315">
                  <c:v>397.36639536881552</c:v>
                </c:pt>
                <c:pt idx="316">
                  <c:v>399.69249576002517</c:v>
                </c:pt>
                <c:pt idx="317">
                  <c:v>402.02332999152372</c:v>
                </c:pt>
                <c:pt idx="318">
                  <c:v>404.35887934821341</c:v>
                </c:pt>
                <c:pt idx="319">
                  <c:v>406.69912511512524</c:v>
                </c:pt>
                <c:pt idx="320">
                  <c:v>409.04404857762779</c:v>
                </c:pt>
                <c:pt idx="321">
                  <c:v>411.39363102163452</c:v>
                </c:pt>
                <c:pt idx="322">
                  <c:v>413.74785373381036</c:v>
                </c:pt>
                <c:pt idx="323">
                  <c:v>416.10669800177743</c:v>
                </c:pt>
                <c:pt idx="324">
                  <c:v>418.47014511431968</c:v>
                </c:pt>
                <c:pt idx="325">
                  <c:v>420.83817636158648</c:v>
                </c:pt>
                <c:pt idx="326">
                  <c:v>423.21077314732901</c:v>
                </c:pt>
                <c:pt idx="327">
                  <c:v>425.58791710111495</c:v>
                </c:pt>
                <c:pt idx="328">
                  <c:v>427.96958996636937</c:v>
                </c:pt>
                <c:pt idx="329">
                  <c:v>430.35577348843356</c:v>
                </c:pt>
                <c:pt idx="330">
                  <c:v>432.74644941475805</c:v>
                </c:pt>
                <c:pt idx="331">
                  <c:v>435.14159949509531</c:v>
                </c:pt>
                <c:pt idx="332">
                  <c:v>437.54120548169107</c:v>
                </c:pt>
                <c:pt idx="333">
                  <c:v>439.94524912947475</c:v>
                </c:pt>
                <c:pt idx="334">
                  <c:v>442.35371219624915</c:v>
                </c:pt>
                <c:pt idx="335">
                  <c:v>444.766576442879</c:v>
                </c:pt>
                <c:pt idx="336">
                  <c:v>447.18382363347854</c:v>
                </c:pt>
                <c:pt idx="337">
                  <c:v>449.60543553559825</c:v>
                </c:pt>
                <c:pt idx="338">
                  <c:v>452.03139392041049</c:v>
                </c:pt>
                <c:pt idx="339">
                  <c:v>454.46168056289434</c:v>
                </c:pt>
                <c:pt idx="340">
                  <c:v>456.89627724201915</c:v>
                </c:pt>
                <c:pt idx="341">
                  <c:v>459.33516574092761</c:v>
                </c:pt>
                <c:pt idx="342">
                  <c:v>461.77832784711728</c:v>
                </c:pt>
                <c:pt idx="343">
                  <c:v>464.22574535262163</c:v>
                </c:pt>
                <c:pt idx="344">
                  <c:v>466.67740005418972</c:v>
                </c:pt>
                <c:pt idx="345">
                  <c:v>469.13327375346523</c:v>
                </c:pt>
                <c:pt idx="346">
                  <c:v>471.59334825716422</c:v>
                </c:pt>
                <c:pt idx="347">
                  <c:v>474.057605377252</c:v>
                </c:pt>
                <c:pt idx="348">
                  <c:v>476.52602693111908</c:v>
                </c:pt>
                <c:pt idx="349">
                  <c:v>478.99859474175605</c:v>
                </c:pt>
                <c:pt idx="350">
                  <c:v>481.47529063792751</c:v>
                </c:pt>
                <c:pt idx="351">
                  <c:v>483.95609645434496</c:v>
                </c:pt>
                <c:pt idx="352">
                  <c:v>486.44099403183867</c:v>
                </c:pt>
                <c:pt idx="353">
                  <c:v>488.92996521752866</c:v>
                </c:pt>
                <c:pt idx="354">
                  <c:v>491.42299186499451</c:v>
                </c:pt>
                <c:pt idx="355">
                  <c:v>493.92005583444438</c:v>
                </c:pt>
                <c:pt idx="356">
                  <c:v>496.42113899288273</c:v>
                </c:pt>
                <c:pt idx="357">
                  <c:v>498.9262232142774</c:v>
                </c:pt>
                <c:pt idx="358">
                  <c:v>501.43529037972542</c:v>
                </c:pt>
                <c:pt idx="359">
                  <c:v>503.94832237761779</c:v>
                </c:pt>
                <c:pt idx="360">
                  <c:v>506.46530110380343</c:v>
                </c:pt>
                <c:pt idx="361">
                  <c:v>508.98620846175203</c:v>
                </c:pt>
                <c:pt idx="362">
                  <c:v>511.51102636271577</c:v>
                </c:pt>
                <c:pt idx="363">
                  <c:v>514.03973672589018</c:v>
                </c:pt>
                <c:pt idx="364">
                  <c:v>516.57232147857417</c:v>
                </c:pt>
                <c:pt idx="365">
                  <c:v>519.10876255632832</c:v>
                </c:pt>
                <c:pt idx="366">
                  <c:v>521.64904474905177</c:v>
                </c:pt>
                <c:pt idx="367">
                  <c:v>524.19315854590275</c:v>
                </c:pt>
                <c:pt idx="368">
                  <c:v>526.74109728523047</c:v>
                </c:pt>
                <c:pt idx="369">
                  <c:v>529.29285430561185</c:v>
                </c:pt>
                <c:pt idx="370">
                  <c:v>531.84842294590771</c:v>
                </c:pt>
                <c:pt idx="371">
                  <c:v>534.40779654531786</c:v>
                </c:pt>
                <c:pt idx="372">
                  <c:v>536.97096844343707</c:v>
                </c:pt>
                <c:pt idx="373">
                  <c:v>539.53793198030962</c:v>
                </c:pt>
                <c:pt idx="374">
                  <c:v>542.10868049648502</c:v>
                </c:pt>
                <c:pt idx="375">
                  <c:v>544.68320733307235</c:v>
                </c:pt>
                <c:pt idx="376">
                  <c:v>547.26150583179526</c:v>
                </c:pt>
                <c:pt idx="377">
                  <c:v>549.84356933504614</c:v>
                </c:pt>
                <c:pt idx="378">
                  <c:v>552.42939118594063</c:v>
                </c:pt>
                <c:pt idx="379">
                  <c:v>555.01896472837166</c:v>
                </c:pt>
                <c:pt idx="380">
                  <c:v>557.61228330706342</c:v>
                </c:pt>
                <c:pt idx="381">
                  <c:v>560.2093371937342</c:v>
                </c:pt>
                <c:pt idx="382">
                  <c:v>562.81011051464532</c:v>
                </c:pt>
                <c:pt idx="383">
                  <c:v>565.4145843294715</c:v>
                </c:pt>
                <c:pt idx="384">
                  <c:v>568.02273970883641</c:v>
                </c:pt>
                <c:pt idx="385">
                  <c:v>570.63455773446969</c:v>
                </c:pt>
                <c:pt idx="386">
                  <c:v>573.25001949936211</c:v>
                </c:pt>
                <c:pt idx="387">
                  <c:v>575.86910610791949</c:v>
                </c:pt>
                <c:pt idx="388">
                  <c:v>578.49179867611633</c:v>
                </c:pt>
                <c:pt idx="389">
                  <c:v>581.11807833164733</c:v>
                </c:pt>
                <c:pt idx="390">
                  <c:v>583.74792621407823</c:v>
                </c:pt>
                <c:pt idx="391">
                  <c:v>586.38132347499595</c:v>
                </c:pt>
                <c:pt idx="392">
                  <c:v>589.01825127815653</c:v>
                </c:pt>
                <c:pt idx="393">
                  <c:v>591.65869079963295</c:v>
                </c:pt>
                <c:pt idx="394">
                  <c:v>594.30262322796125</c:v>
                </c:pt>
                <c:pt idx="395">
                  <c:v>596.95002976428589</c:v>
                </c:pt>
                <c:pt idx="396">
                  <c:v>599.60089162250347</c:v>
                </c:pt>
                <c:pt idx="397">
                  <c:v>602.25519002940598</c:v>
                </c:pt>
                <c:pt idx="398">
                  <c:v>604.91290622482234</c:v>
                </c:pt>
                <c:pt idx="399">
                  <c:v>607.57402146175912</c:v>
                </c:pt>
                <c:pt idx="400">
                  <c:v>610.23851700654006</c:v>
                </c:pt>
                <c:pt idx="401">
                  <c:v>612.90637172400773</c:v>
                </c:pt>
                <c:pt idx="402">
                  <c:v>615.5775596640807</c:v>
                </c:pt>
                <c:pt idx="403">
                  <c:v>618.2520524811755</c:v>
                </c:pt>
                <c:pt idx="404">
                  <c:v>620.92982185232142</c:v>
                </c:pt>
                <c:pt idx="405">
                  <c:v>623.61083947739746</c:v>
                </c:pt>
                <c:pt idx="406">
                  <c:v>626.29507707936659</c:v>
                </c:pt>
                <c:pt idx="407">
                  <c:v>628.98250640450806</c:v>
                </c:pt>
                <c:pt idx="408">
                  <c:v>631.67309922264712</c:v>
                </c:pt>
                <c:pt idx="409">
                  <c:v>634.36682732738257</c:v>
                </c:pt>
                <c:pt idx="410">
                  <c:v>637.06366253631154</c:v>
                </c:pt>
                <c:pt idx="411">
                  <c:v>639.76356335697892</c:v>
                </c:pt>
                <c:pt idx="412">
                  <c:v>642.46646166144524</c:v>
                </c:pt>
                <c:pt idx="413">
                  <c:v>645.1722760468158</c:v>
                </c:pt>
                <c:pt idx="414">
                  <c:v>647.88092518766075</c:v>
                </c:pt>
                <c:pt idx="415">
                  <c:v>650.59232783725099</c:v>
                </c:pt>
                <c:pt idx="416">
                  <c:v>653.3064028287771</c:v>
                </c:pt>
                <c:pt idx="417">
                  <c:v>656.023069076551</c:v>
                </c:pt>
                <c:pt idx="418">
                  <c:v>658.74224557719106</c:v>
                </c:pt>
                <c:pt idx="419">
                  <c:v>661.4638514107902</c:v>
                </c:pt>
                <c:pt idx="420">
                  <c:v>664.18779816192296</c:v>
                </c:pt>
                <c:pt idx="421">
                  <c:v>666.91398234686756</c:v>
                </c:pt>
                <c:pt idx="422">
                  <c:v>669.64229301185446</c:v>
                </c:pt>
                <c:pt idx="423">
                  <c:v>672.37261932551746</c:v>
                </c:pt>
                <c:pt idx="424">
                  <c:v>675.10485058087602</c:v>
                </c:pt>
                <c:pt idx="425">
                  <c:v>677.83887619728694</c:v>
                </c:pt>
                <c:pt idx="426">
                  <c:v>680.57458572236442</c:v>
                </c:pt>
                <c:pt idx="427">
                  <c:v>683.31186883386931</c:v>
                </c:pt>
                <c:pt idx="428">
                  <c:v>686.05061534156766</c:v>
                </c:pt>
                <c:pt idx="429">
                  <c:v>688.79071518905801</c:v>
                </c:pt>
                <c:pt idx="430">
                  <c:v>691.53205845556806</c:v>
                </c:pt>
                <c:pt idx="431">
                  <c:v>694.27453535772065</c:v>
                </c:pt>
                <c:pt idx="432">
                  <c:v>697.01802404696218</c:v>
                </c:pt>
                <c:pt idx="433">
                  <c:v>699.7623784205523</c:v>
                </c:pt>
                <c:pt idx="434">
                  <c:v>702.50744036046444</c:v>
                </c:pt>
                <c:pt idx="435">
                  <c:v>705.25305195959697</c:v>
                </c:pt>
                <c:pt idx="436">
                  <c:v>707.99905552523455</c:v>
                </c:pt>
                <c:pt idx="437">
                  <c:v>710.74529358244638</c:v>
                </c:pt>
                <c:pt idx="438">
                  <c:v>713.49160887742107</c:v>
                </c:pt>
                <c:pt idx="439">
                  <c:v>716.23784438073869</c:v>
                </c:pt>
                <c:pt idx="440">
                  <c:v>718.98384329057956</c:v>
                </c:pt>
                <c:pt idx="441">
                  <c:v>721.72944903587063</c:v>
                </c:pt>
                <c:pt idx="442">
                  <c:v>724.47451268687644</c:v>
                </c:pt>
                <c:pt idx="443">
                  <c:v>727.21890035510876</c:v>
                </c:pt>
                <c:pt idx="444">
                  <c:v>729.96248576525772</c:v>
                </c:pt>
                <c:pt idx="445">
                  <c:v>732.70514283713146</c:v>
                </c:pt>
                <c:pt idx="446">
                  <c:v>735.4467456874072</c:v>
                </c:pt>
                <c:pt idx="447">
                  <c:v>738.18716863134216</c:v>
                </c:pt>
                <c:pt idx="448">
                  <c:v>740.92628618444496</c:v>
                </c:pt>
                <c:pt idx="449">
                  <c:v>743.66397306410681</c:v>
                </c:pt>
                <c:pt idx="450">
                  <c:v>746.40010419119403</c:v>
                </c:pt>
                <c:pt idx="451">
                  <c:v>749.13455469160044</c:v>
                </c:pt>
                <c:pt idx="452">
                  <c:v>751.86719989776157</c:v>
                </c:pt>
                <c:pt idx="453">
                  <c:v>754.59792595167778</c:v>
                </c:pt>
                <c:pt idx="454">
                  <c:v>757.32664039002009</c:v>
                </c:pt>
                <c:pt idx="455">
                  <c:v>760.05326150658777</c:v>
                </c:pt>
                <c:pt idx="456">
                  <c:v>762.77770773212467</c:v>
                </c:pt>
                <c:pt idx="457">
                  <c:v>765.49989763468864</c:v>
                </c:pt>
                <c:pt idx="458">
                  <c:v>768.21974992000605</c:v>
                </c:pt>
                <c:pt idx="459">
                  <c:v>770.93718343181092</c:v>
                </c:pt>
                <c:pt idx="460">
                  <c:v>773.65211715216822</c:v>
                </c:pt>
                <c:pt idx="461">
                  <c:v>776.36447973960242</c:v>
                </c:pt>
                <c:pt idx="462">
                  <c:v>779.07421905014326</c:v>
                </c:pt>
                <c:pt idx="463">
                  <c:v>781.78129256493651</c:v>
                </c:pt>
                <c:pt idx="464">
                  <c:v>784.48565783473327</c:v>
                </c:pt>
                <c:pt idx="465">
                  <c:v>787.18727247979427</c:v>
                </c:pt>
                <c:pt idx="466">
                  <c:v>789.88608617832358</c:v>
                </c:pt>
                <c:pt idx="467">
                  <c:v>792.58203266951068</c:v>
                </c:pt>
                <c:pt idx="468">
                  <c:v>795.2749485806055</c:v>
                </c:pt>
                <c:pt idx="469">
                  <c:v>797.96460158357081</c:v>
                </c:pt>
                <c:pt idx="470">
                  <c:v>800.65088891350365</c:v>
                </c:pt>
                <c:pt idx="471">
                  <c:v>803.33381716255894</c:v>
                </c:pt>
                <c:pt idx="472">
                  <c:v>806.01339289964346</c:v>
                </c:pt>
                <c:pt idx="473">
                  <c:v>808.68962267052541</c:v>
                </c:pt>
                <c:pt idx="474">
                  <c:v>811.3625129979431</c:v>
                </c:pt>
                <c:pt idx="475">
                  <c:v>814.0320703817132</c:v>
                </c:pt>
                <c:pt idx="476">
                  <c:v>816.69830129883837</c:v>
                </c:pt>
                <c:pt idx="477">
                  <c:v>819.36121220361417</c:v>
                </c:pt>
                <c:pt idx="478">
                  <c:v>822.02080952773531</c:v>
                </c:pt>
                <c:pt idx="479">
                  <c:v>824.67709968040117</c:v>
                </c:pt>
                <c:pt idx="480">
                  <c:v>827.33008904842109</c:v>
                </c:pt>
                <c:pt idx="481">
                  <c:v>829.97978399631859</c:v>
                </c:pt>
                <c:pt idx="482">
                  <c:v>832.62619086643519</c:v>
                </c:pt>
                <c:pt idx="483">
                  <c:v>835.26931597903388</c:v>
                </c:pt>
                <c:pt idx="484">
                  <c:v>837.90916563240137</c:v>
                </c:pt>
                <c:pt idx="485">
                  <c:v>840.54574610295015</c:v>
                </c:pt>
                <c:pt idx="486">
                  <c:v>843.17906364531996</c:v>
                </c:pt>
                <c:pt idx="487">
                  <c:v>845.80912449247853</c:v>
                </c:pt>
                <c:pt idx="488">
                  <c:v>848.43593485582187</c:v>
                </c:pt>
                <c:pt idx="489">
                  <c:v>851.05950092527371</c:v>
                </c:pt>
                <c:pt idx="490">
                  <c:v>853.67982886938466</c:v>
                </c:pt>
                <c:pt idx="491">
                  <c:v>856.29692483543079</c:v>
                </c:pt>
                <c:pt idx="492">
                  <c:v>858.91079494951111</c:v>
                </c:pt>
                <c:pt idx="493">
                  <c:v>861.52144531664555</c:v>
                </c:pt>
                <c:pt idx="494">
                  <c:v>864.12888202087106</c:v>
                </c:pt>
                <c:pt idx="495">
                  <c:v>866.73311112533816</c:v>
                </c:pt>
                <c:pt idx="496">
                  <c:v>869.33413867240654</c:v>
                </c:pt>
                <c:pt idx="497">
                  <c:v>871.93197068374013</c:v>
                </c:pt>
                <c:pt idx="498">
                  <c:v>874.52661316040155</c:v>
                </c:pt>
                <c:pt idx="499">
                  <c:v>877.11807208294613</c:v>
                </c:pt>
                <c:pt idx="500">
                  <c:v>879.70635341151558</c:v>
                </c:pt>
                <c:pt idx="501">
                  <c:v>905.41485913659324</c:v>
                </c:pt>
                <c:pt idx="502">
                  <c:v>930.80942794625344</c:v>
                </c:pt>
                <c:pt idx="503">
                  <c:v>955.89582565768217</c:v>
                </c:pt>
                <c:pt idx="504">
                  <c:v>980.67962600729425</c:v>
                </c:pt>
                <c:pt idx="505">
                  <c:v>1005.166219106284</c:v>
                </c:pt>
                <c:pt idx="506">
                  <c:v>1029.3608194301369</c:v>
                </c:pt>
                <c:pt idx="507">
                  <c:v>1053.2684733727758</c:v>
                </c:pt>
                <c:pt idx="508">
                  <c:v>1076.8940663936735</c:v>
                </c:pt>
                <c:pt idx="509">
                  <c:v>1100.2423297841258</c:v>
                </c:pt>
                <c:pt idx="510">
                  <c:v>1123.3178470769235</c:v>
                </c:pt>
                <c:pt idx="511">
                  <c:v>1146.1250601218715</c:v>
                </c:pt>
                <c:pt idx="512">
                  <c:v>1168.6682748479654</c:v>
                </c:pt>
                <c:pt idx="513">
                  <c:v>1190.9516667315308</c:v>
                </c:pt>
                <c:pt idx="514">
                  <c:v>1212.9792859882482</c:v>
                </c:pt>
                <c:pt idx="515">
                  <c:v>1234.7550625057245</c:v>
                </c:pt>
                <c:pt idx="516">
                  <c:v>1256.2828105320978</c:v>
                </c:pt>
                <c:pt idx="517">
                  <c:v>1277.5662331350941</c:v>
                </c:pt>
                <c:pt idx="518">
                  <c:v>1298.6089264449627</c:v>
                </c:pt>
                <c:pt idx="519">
                  <c:v>1319.4143836938065</c:v>
                </c:pt>
                <c:pt idx="520">
                  <c:v>1339.9859990629805</c:v>
                </c:pt>
                <c:pt idx="521">
                  <c:v>1360.3270713494551</c:v>
                </c:pt>
                <c:pt idx="522">
                  <c:v>1380.4408074613225</c:v>
                </c:pt>
                <c:pt idx="523">
                  <c:v>1400.3303257519585</c:v>
                </c:pt>
                <c:pt idx="524">
                  <c:v>1419.9986592017376</c:v>
                </c:pt>
                <c:pt idx="525">
                  <c:v>1439.4487584556293</c:v>
                </c:pt>
                <c:pt idx="526">
                  <c:v>1458.6834947244754</c:v>
                </c:pt>
                <c:pt idx="527">
                  <c:v>1477.7056625572534</c:v>
                </c:pt>
                <c:pt idx="528">
                  <c:v>1496.5179824911829</c:v>
                </c:pt>
                <c:pt idx="529">
                  <c:v>1515.1231035861019</c:v>
                </c:pt>
                <c:pt idx="530">
                  <c:v>1533.5236058491505</c:v>
                </c:pt>
                <c:pt idx="531">
                  <c:v>1551.7220025554323</c:v>
                </c:pt>
                <c:pt idx="532">
                  <c:v>1569.7207424699809</c:v>
                </c:pt>
                <c:pt idx="533">
                  <c:v>1587.5222119760467</c:v>
                </c:pt>
                <c:pt idx="534">
                  <c:v>1605.1287371144158</c:v>
                </c:pt>
                <c:pt idx="535">
                  <c:v>1622.5425855382023</c:v>
                </c:pt>
                <c:pt idx="536">
                  <c:v>1639.7659683872967</c:v>
                </c:pt>
                <c:pt idx="537">
                  <c:v>1656.8010420864096</c:v>
                </c:pt>
                <c:pt idx="538">
                  <c:v>1673.649910070427</c:v>
                </c:pt>
                <c:pt idx="539">
                  <c:v>1690.3146244405834</c:v>
                </c:pt>
                <c:pt idx="540">
                  <c:v>1706.7971875547607</c:v>
                </c:pt>
                <c:pt idx="541">
                  <c:v>1723.0995535550385</c:v>
                </c:pt>
                <c:pt idx="542">
                  <c:v>1739.2236298354453</c:v>
                </c:pt>
                <c:pt idx="543">
                  <c:v>1755.1712784527042</c:v>
                </c:pt>
                <c:pt idx="544">
                  <c:v>1770.9443174826076</c:v>
                </c:pt>
                <c:pt idx="545">
                  <c:v>1786.5445223245208</c:v>
                </c:pt>
                <c:pt idx="546">
                  <c:v>1801.9736269563734</c:v>
                </c:pt>
                <c:pt idx="547">
                  <c:v>1817.2333251423788</c:v>
                </c:pt>
                <c:pt idx="548">
                  <c:v>1832.3252715955996</c:v>
                </c:pt>
                <c:pt idx="549">
                  <c:v>1847.251083097367</c:v>
                </c:pt>
                <c:pt idx="550">
                  <c:v>1862.0123395754586</c:v>
                </c:pt>
                <c:pt idx="551">
                  <c:v>1876.6105851428426</c:v>
                </c:pt>
                <c:pt idx="552">
                  <c:v>1891.0473290986997</c:v>
                </c:pt>
                <c:pt idx="553">
                  <c:v>1905.3240468933507</c:v>
                </c:pt>
                <c:pt idx="554">
                  <c:v>1919.4421810586357</c:v>
                </c:pt>
                <c:pt idx="555">
                  <c:v>1933.4031421052114</c:v>
                </c:pt>
                <c:pt idx="556">
                  <c:v>1947.208309388162</c:v>
                </c:pt>
                <c:pt idx="557">
                  <c:v>1960.859031942249</c:v>
                </c:pt>
                <c:pt idx="558">
                  <c:v>1974.3566292880639</c:v>
                </c:pt>
                <c:pt idx="559">
                  <c:v>1987.7023922102801</c:v>
                </c:pt>
                <c:pt idx="560">
                  <c:v>2000.8975835091485</c:v>
                </c:pt>
                <c:pt idx="561">
                  <c:v>2013.9434387263243</c:v>
                </c:pt>
                <c:pt idx="562">
                  <c:v>2026.8411668460594</c:v>
                </c:pt>
                <c:pt idx="563">
                  <c:v>2039.5919509727485</c:v>
                </c:pt>
                <c:pt idx="564">
                  <c:v>2052.1969489857684</c:v>
                </c:pt>
                <c:pt idx="565">
                  <c:v>2064.6572941725067</c:v>
                </c:pt>
                <c:pt idx="566">
                  <c:v>2076.9740958404386</c:v>
                </c:pt>
                <c:pt idx="567">
                  <c:v>2089.1484399090614</c:v>
                </c:pt>
                <c:pt idx="568">
                  <c:v>2101.1813894824709</c:v>
                </c:pt>
                <c:pt idx="569">
                  <c:v>2113.0739854033186</c:v>
                </c:pt>
                <c:pt idx="570">
                  <c:v>2124.8272467888651</c:v>
                </c:pt>
                <c:pt idx="571">
                  <c:v>2136.4421715497988</c:v>
                </c:pt>
                <c:pt idx="572">
                  <c:v>2147.9197368924774</c:v>
                </c:pt>
                <c:pt idx="573">
                  <c:v>2159.2608998052028</c:v>
                </c:pt>
                <c:pt idx="574">
                  <c:v>2170.4665975291277</c:v>
                </c:pt>
                <c:pt idx="575">
                  <c:v>2181.5377480143552</c:v>
                </c:pt>
                <c:pt idx="576">
                  <c:v>2192.475250361776</c:v>
                </c:pt>
                <c:pt idx="577">
                  <c:v>2203.2799852511585</c:v>
                </c:pt>
                <c:pt idx="578">
                  <c:v>2213.9528153559904</c:v>
                </c:pt>
                <c:pt idx="579">
                  <c:v>2224.4945857455455</c:v>
                </c:pt>
                <c:pt idx="580">
                  <c:v>2234.9061242746275</c:v>
                </c:pt>
                <c:pt idx="581">
                  <c:v>2245.1882419614312</c:v>
                </c:pt>
                <c:pt idx="582">
                  <c:v>2255.3417333539351</c:v>
                </c:pt>
                <c:pt idx="583">
                  <c:v>2265.3673768852241</c:v>
                </c:pt>
                <c:pt idx="584">
                  <c:v>2275.2659352181313</c:v>
                </c:pt>
                <c:pt idx="585">
                  <c:v>2285.038155579558</c:v>
                </c:pt>
                <c:pt idx="586">
                  <c:v>2294.6847700848321</c:v>
                </c:pt>
                <c:pt idx="587">
                  <c:v>2304.2064960524385</c:v>
                </c:pt>
                <c:pt idx="588">
                  <c:v>2313.6040363094485</c:v>
                </c:pt>
                <c:pt idx="589">
                  <c:v>2322.8780794879558</c:v>
                </c:pt>
                <c:pt idx="590">
                  <c:v>2332.0293003128254</c:v>
                </c:pt>
                <c:pt idx="591">
                  <c:v>2341.0583598810326</c:v>
                </c:pt>
                <c:pt idx="592">
                  <c:v>2349.9659059328783</c:v>
                </c:pt>
                <c:pt idx="593">
                  <c:v>2358.7525731153364</c:v>
                </c:pt>
                <c:pt idx="594">
                  <c:v>2367.4189832377942</c:v>
                </c:pt>
                <c:pt idx="595">
                  <c:v>2375.9657455204278</c:v>
                </c:pt>
                <c:pt idx="596">
                  <c:v>2384.393456835448</c:v>
                </c:pt>
                <c:pt idx="597">
                  <c:v>2392.7027019414427</c:v>
                </c:pt>
                <c:pt idx="598">
                  <c:v>2400.8940537110357</c:v>
                </c:pt>
                <c:pt idx="599">
                  <c:v>2408.9680733520663</c:v>
                </c:pt>
                <c:pt idx="600">
                  <c:v>2416.9253106224974</c:v>
                </c:pt>
                <c:pt idx="601">
                  <c:v>2424.7663040392408</c:v>
                </c:pt>
                <c:pt idx="602">
                  <c:v>2432.4915810810885</c:v>
                </c:pt>
                <c:pt idx="603">
                  <c:v>2440.1016583859314</c:v>
                </c:pt>
                <c:pt idx="604">
                  <c:v>2447.5970419424352</c:v>
                </c:pt>
                <c:pt idx="605">
                  <c:v>2454.9782272763432</c:v>
                </c:pt>
                <c:pt idx="606">
                  <c:v>2462.2456996315645</c:v>
                </c:pt>
                <c:pt idx="607">
                  <c:v>2469.3999341462063</c:v>
                </c:pt>
                <c:pt idx="608">
                  <c:v>2476.4413960236948</c:v>
                </c:pt>
                <c:pt idx="609">
                  <c:v>2483.3705406991344</c:v>
                </c:pt>
                <c:pt idx="610">
                  <c:v>2490.1878140010399</c:v>
                </c:pt>
                <c:pt idx="611">
                  <c:v>2496.8936523085804</c:v>
                </c:pt>
                <c:pt idx="612">
                  <c:v>2503.4884827044611</c:v>
                </c:pt>
                <c:pt idx="613">
                  <c:v>2509.9727231235706</c:v>
                </c:pt>
                <c:pt idx="614">
                  <c:v>2516.3467824975155</c:v>
                </c:pt>
                <c:pt idx="615">
                  <c:v>2522.6110608951585</c:v>
                </c:pt>
                <c:pt idx="616">
                  <c:v>2528.765949659276</c:v>
                </c:pt>
                <c:pt idx="617">
                  <c:v>2534.8118315394418</c:v>
                </c:pt>
                <c:pt idx="618">
                  <c:v>2540.7490808212488</c:v>
                </c:pt>
                <c:pt idx="619">
                  <c:v>2546.5780634519679</c:v>
                </c:pt>
                <c:pt idx="620">
                  <c:v>2552.2991371627481</c:v>
                </c:pt>
                <c:pt idx="621">
                  <c:v>2557.9126515874564</c:v>
                </c:pt>
                <c:pt idx="622">
                  <c:v>2563.4189483782502</c:v>
                </c:pt>
                <c:pt idx="623">
                  <c:v>2568.818361317979</c:v>
                </c:pt>
                <c:pt idx="624">
                  <c:v>2574.1112164295046</c:v>
                </c:pt>
                <c:pt idx="625">
                  <c:v>2579.297832082033</c:v>
                </c:pt>
                <c:pt idx="626">
                  <c:v>2584.3785190945405</c:v>
                </c:pt>
                <c:pt idx="627">
                  <c:v>2589.3535808363858</c:v>
                </c:pt>
                <c:pt idx="628">
                  <c:v>2594.223313325193</c:v>
                </c:pt>
                <c:pt idx="629">
                  <c:v>2598.9880053220886</c:v>
                </c:pt>
                <c:pt idx="630">
                  <c:v>2603.6479384243803</c:v>
                </c:pt>
                <c:pt idx="631">
                  <c:v>2608.2033871557592</c:v>
                </c:pt>
                <c:pt idx="632">
                  <c:v>2612.6546190541144</c:v>
                </c:pt>
                <c:pt idx="633">
                  <c:v>2617.0018947570452</c:v>
                </c:pt>
                <c:pt idx="634">
                  <c:v>2621.2454680851556</c:v>
                </c:pt>
                <c:pt idx="635">
                  <c:v>2625.3855861232259</c:v>
                </c:pt>
                <c:pt idx="636">
                  <c:v>2629.4224892993516</c:v>
                </c:pt>
                <c:pt idx="637">
                  <c:v>2633.3564114621449</c:v>
                </c:pt>
                <c:pt idx="638">
                  <c:v>2637.1875799561021</c:v>
                </c:pt>
                <c:pt idx="639">
                  <c:v>2640.9162156952402</c:v>
                </c:pt>
                <c:pt idx="640">
                  <c:v>2644.5425332351178</c:v>
                </c:pt>
                <c:pt idx="641">
                  <c:v>2648.0667408433587</c:v>
                </c:pt>
                <c:pt idx="642">
                  <c:v>2651.4890405688125</c:v>
                </c:pt>
                <c:pt idx="643">
                  <c:v>2654.8096283094892</c:v>
                </c:pt>
                <c:pt idx="644">
                  <c:v>2658.028693879427</c:v>
                </c:pt>
                <c:pt idx="645">
                  <c:v>2661.1464210746649</c:v>
                </c:pt>
                <c:pt idx="646">
                  <c:v>2664.1629877385076</c:v>
                </c:pt>
                <c:pt idx="647">
                  <c:v>2667.0785658263017</c:v>
                </c:pt>
                <c:pt idx="648">
                  <c:v>2669.8933214699578</c:v>
                </c:pt>
                <c:pt idx="649">
                  <c:v>2672.607415042492</c:v>
                </c:pt>
                <c:pt idx="650">
                  <c:v>2675.2210012228948</c:v>
                </c:pt>
                <c:pt idx="651">
                  <c:v>2677.7342290616766</c:v>
                </c:pt>
                <c:pt idx="652">
                  <c:v>2680.1472420474902</c:v>
                </c:pt>
                <c:pt idx="653">
                  <c:v>2682.4601781752872</c:v>
                </c:pt>
                <c:pt idx="654">
                  <c:v>2684.6731700165351</c:v>
                </c:pt>
                <c:pt idx="655">
                  <c:v>2686.7863447920968</c:v>
                </c:pt>
                <c:pt idx="656">
                  <c:v>2688.7998244484629</c:v>
                </c:pt>
                <c:pt idx="657">
                  <c:v>2690.7137257381282</c:v>
                </c:pt>
                <c:pt idx="658">
                  <c:v>2692.528160305023</c:v>
                </c:pt>
                <c:pt idx="659">
                  <c:v>2694.2432347760264</c:v>
                </c:pt>
                <c:pt idx="660">
                  <c:v>2695.8590508597376</c:v>
                </c:pt>
                <c:pt idx="661">
                  <c:v>2697.3757054538255</c:v>
                </c:pt>
                <c:pt idx="662">
                  <c:v>2698.7932907624336</c:v>
                </c:pt>
                <c:pt idx="663">
                  <c:v>2700.1118944252758</c:v>
                </c:pt>
                <c:pt idx="664">
                  <c:v>2701.3315996602023</c:v>
                </c:pt>
                <c:pt idx="665">
                  <c:v>2702.4524854211468</c:v>
                </c:pt>
                <c:pt idx="666">
                  <c:v>2703.4746265734448</c:v>
                </c:pt>
                <c:pt idx="667">
                  <c:v>2704.3980940885499</c:v>
                </c:pt>
                <c:pt idx="668">
                  <c:v>2705.2229552601057</c:v>
                </c:pt>
                <c:pt idx="669">
                  <c:v>2705.9492739431603</c:v>
                </c:pt>
                <c:pt idx="670">
                  <c:v>2706.5771108179933</c:v>
                </c:pt>
                <c:pt idx="671">
                  <c:v>2707.1065236795362</c:v>
                </c:pt>
                <c:pt idx="672">
                  <c:v>2707.5375677527045</c:v>
                </c:pt>
                <c:pt idx="673">
                  <c:v>2707.8702960331229</c:v>
                </c:pt>
                <c:pt idx="674">
                  <c:v>2708.1047596517337</c:v>
                </c:pt>
                <c:pt idx="675">
                  <c:v>2708.2410082607034</c:v>
                </c:pt>
                <c:pt idx="676">
                  <c:v>2708.2790904369535</c:v>
                </c:pt>
                <c:pt idx="677">
                  <c:v>2708.2190540986394</c:v>
                </c:pt>
                <c:pt idx="678">
                  <c:v>2708.0609469291044</c:v>
                </c:pt>
                <c:pt idx="679">
                  <c:v>2707.8048168023124</c:v>
                </c:pt>
                <c:pt idx="680">
                  <c:v>2707.4507122036071</c:v>
                </c:pt>
                <c:pt idx="681">
                  <c:v>2706.9986826398558</c:v>
                </c:pt>
                <c:pt idx="682">
                  <c:v>2706.4487790335907</c:v>
                </c:pt>
                <c:pt idx="683">
                  <c:v>2705.8010540966015</c:v>
                </c:pt>
                <c:pt idx="684">
                  <c:v>2705.0555626794503</c:v>
                </c:pt>
                <c:pt idx="685">
                  <c:v>2704.2123620944744</c:v>
                </c:pt>
                <c:pt idx="686">
                  <c:v>2703.2715124109191</c:v>
                </c:pt>
                <c:pt idx="687">
                  <c:v>2702.2330767218123</c:v>
                </c:pt>
                <c:pt idx="688">
                  <c:v>2701.0971213830121</c:v>
                </c:pt>
                <c:pt idx="689">
                  <c:v>2699.8637162255009</c:v>
                </c:pt>
                <c:pt idx="690">
                  <c:v>2698.5329347424563</c:v>
                </c:pt>
                <c:pt idx="691">
                  <c:v>2697.1048542529343</c:v>
                </c:pt>
                <c:pt idx="692">
                  <c:v>2695.5795560441456</c:v>
                </c:pt>
                <c:pt idx="693">
                  <c:v>2693.9571254943558</c:v>
                </c:pt>
                <c:pt idx="694">
                  <c:v>2692.2376521783995</c:v>
                </c:pt>
                <c:pt idx="695">
                  <c:v>2690.4212299577016</c:v>
                </c:pt>
                <c:pt idx="696">
                  <c:v>2688.5079570565654</c:v>
                </c:pt>
                <c:pt idx="697">
                  <c:v>2686.4979361263345</c:v>
                </c:pt>
                <c:pt idx="698">
                  <c:v>2684.391274298875</c:v>
                </c:pt>
                <c:pt idx="699">
                  <c:v>2682.1880832306701</c:v>
                </c:pt>
                <c:pt idx="700">
                  <c:v>2679.8884791386618</c:v>
                </c:pt>
                <c:pt idx="701">
                  <c:v>2677.4925828288442</c:v>
                </c:pt>
                <c:pt idx="702">
                  <c:v>2675.0005197184769</c:v>
                </c:pt>
                <c:pt idx="703">
                  <c:v>2672.412419852677</c:v>
                </c:pt>
                <c:pt idx="704">
                  <c:v>2669.7284179160515</c:v>
                </c:pt>
                <c:pt idx="705">
                  <c:v>2666.9486532399355</c:v>
                </c:pt>
                <c:pt idx="706">
                  <c:v>2664.07326980573</c:v>
                </c:pt>
                <c:pt idx="707">
                  <c:v>2661.1024162447629</c:v>
                </c:pt>
                <c:pt idx="708">
                  <c:v>2658.0362458350464</c:v>
                </c:pt>
                <c:pt idx="709">
                  <c:v>2654.8749164952396</c:v>
                </c:pt>
                <c:pt idx="710">
                  <c:v>2651.6185907760992</c:v>
                </c:pt>
                <c:pt idx="711">
                  <c:v>2648.267435849652</c:v>
                </c:pt>
                <c:pt idx="712">
                  <c:v>2644.8216234962974</c:v>
                </c:pt>
                <c:pt idx="713">
                  <c:v>2641.2813300900175</c:v>
                </c:pt>
                <c:pt idx="714">
                  <c:v>2637.6467365818548</c:v>
                </c:pt>
                <c:pt idx="715">
                  <c:v>2633.9180284817908</c:v>
                </c:pt>
                <c:pt idx="716">
                  <c:v>2630.0953958391447</c:v>
                </c:pt>
                <c:pt idx="717">
                  <c:v>2626.1790332216019</c:v>
                </c:pt>
                <c:pt idx="718">
                  <c:v>2622.1691396929573</c:v>
                </c:pt>
                <c:pt idx="719">
                  <c:v>2618.0659187896608</c:v>
                </c:pt>
                <c:pt idx="720">
                  <c:v>2613.8695784962365</c:v>
                </c:pt>
                <c:pt idx="721">
                  <c:v>2609.5803312196344</c:v>
                </c:pt>
                <c:pt idx="722">
                  <c:v>2605.1983937625814</c:v>
                </c:pt>
                <c:pt idx="723">
                  <c:v>2600.723987295974</c:v>
                </c:pt>
                <c:pt idx="724">
                  <c:v>2596.1573373303631</c:v>
                </c:pt>
                <c:pt idx="725">
                  <c:v>2591.4986736865758</c:v>
                </c:pt>
                <c:pt idx="726">
                  <c:v>2586.7482304655032</c:v>
                </c:pt>
                <c:pt idx="727">
                  <c:v>2581.9062460170994</c:v>
                </c:pt>
                <c:pt idx="728">
                  <c:v>2576.972962908615</c:v>
                </c:pt>
                <c:pt idx="729">
                  <c:v>2571.9486278920999</c:v>
                </c:pt>
                <c:pt idx="730">
                  <c:v>2566.833491871198</c:v>
                </c:pt>
                <c:pt idx="731">
                  <c:v>2561.6278098672637</c:v>
                </c:pt>
                <c:pt idx="732">
                  <c:v>2556.331840984818</c:v>
                </c:pt>
                <c:pt idx="733">
                  <c:v>2550.9458483763706</c:v>
                </c:pt>
                <c:pt idx="734">
                  <c:v>2545.4700992066287</c:v>
                </c:pt>
                <c:pt idx="735">
                  <c:v>2539.9048646161064</c:v>
                </c:pt>
                <c:pt idx="736">
                  <c:v>2534.2504196841624</c:v>
                </c:pt>
                <c:pt idx="737">
                  <c:v>2528.5070433914748</c:v>
                </c:pt>
                <c:pt idx="738">
                  <c:v>2522.6750185819765</c:v>
                </c:pt>
                <c:pt idx="739">
                  <c:v>2516.7546319242633</c:v>
                </c:pt>
                <c:pt idx="740">
                  <c:v>2510.7461738724937</c:v>
                </c:pt>
                <c:pt idx="741">
                  <c:v>2504.6499386267942</c:v>
                </c:pt>
                <c:pt idx="742">
                  <c:v>2498.4662240931825</c:v>
                </c:pt>
                <c:pt idx="743">
                  <c:v>2492.1953318430292</c:v>
                </c:pt>
                <c:pt idx="744">
                  <c:v>2485.8375670720648</c:v>
                </c:pt>
                <c:pt idx="745">
                  <c:v>2479.3932385589519</c:v>
                </c:pt>
                <c:pt idx="746">
                  <c:v>2472.8626586234318</c:v>
                </c:pt>
                <c:pt idx="747">
                  <c:v>2466.2461430840617</c:v>
                </c:pt>
                <c:pt idx="748">
                  <c:v>2459.5440112155547</c:v>
                </c:pt>
                <c:pt idx="749">
                  <c:v>2452.7565857057325</c:v>
                </c:pt>
                <c:pt idx="750">
                  <c:v>2445.8841926121099</c:v>
                </c:pt>
                <c:pt idx="751">
                  <c:v>2438.9271613181177</c:v>
                </c:pt>
                <c:pt idx="752">
                  <c:v>2431.8858244889793</c:v>
                </c:pt>
                <c:pt idx="753">
                  <c:v>2424.7605180272526</c:v>
                </c:pt>
                <c:pt idx="754">
                  <c:v>2417.5515810280494</c:v>
                </c:pt>
                <c:pt idx="755">
                  <c:v>2410.259355733946</c:v>
                </c:pt>
                <c:pt idx="756">
                  <c:v>2402.8841874895938</c:v>
                </c:pt>
                <c:pt idx="757">
                  <c:v>2395.4264246960447</c:v>
                </c:pt>
                <c:pt idx="758">
                  <c:v>2387.8864187648028</c:v>
                </c:pt>
                <c:pt idx="759">
                  <c:v>2380.264524071612</c:v>
                </c:pt>
                <c:pt idx="760">
                  <c:v>2372.5610979099938</c:v>
                </c:pt>
                <c:pt idx="761">
                  <c:v>2364.7765004445473</c:v>
                </c:pt>
                <c:pt idx="762">
                  <c:v>2356.9110946640199</c:v>
                </c:pt>
                <c:pt idx="763">
                  <c:v>2348.9652463341627</c:v>
                </c:pt>
                <c:pt idx="764">
                  <c:v>2340.9393239503829</c:v>
                </c:pt>
                <c:pt idx="765">
                  <c:v>2332.8336986902027</c:v>
                </c:pt>
                <c:pt idx="766">
                  <c:v>2324.648744365536</c:v>
                </c:pt>
                <c:pt idx="767">
                  <c:v>2316.3848373747965</c:v>
                </c:pt>
                <c:pt idx="768">
                  <c:v>2308.0423566548466</c:v>
                </c:pt>
                <c:pt idx="769">
                  <c:v>2299.6216836327994</c:v>
                </c:pt>
                <c:pt idx="770">
                  <c:v>2291.123202177685</c:v>
                </c:pt>
                <c:pt idx="771">
                  <c:v>2282.54729855199</c:v>
                </c:pt>
                <c:pt idx="772">
                  <c:v>2273.8943613630854</c:v>
                </c:pt>
                <c:pt idx="773">
                  <c:v>2265.1647815145516</c:v>
                </c:pt>
                <c:pt idx="774">
                  <c:v>2256.3589521574099</c:v>
                </c:pt>
                <c:pt idx="775">
                  <c:v>2247.4772686412762</c:v>
                </c:pt>
                <c:pt idx="776">
                  <c:v>2238.5201284654418</c:v>
                </c:pt>
                <c:pt idx="777">
                  <c:v>2229.4879312298967</c:v>
                </c:pt>
                <c:pt idx="778">
                  <c:v>2220.381078586307</c:v>
                </c:pt>
                <c:pt idx="779">
                  <c:v>2211.1999741889495</c:v>
                </c:pt>
                <c:pt idx="780">
                  <c:v>2201.9450236456246</c:v>
                </c:pt>
                <c:pt idx="781">
                  <c:v>2192.6166344685498</c:v>
                </c:pt>
                <c:pt idx="782">
                  <c:v>2183.2152160252499</c:v>
                </c:pt>
                <c:pt idx="783">
                  <c:v>2173.7411794894492</c:v>
                </c:pt>
                <c:pt idx="784">
                  <c:v>2164.19493779198</c:v>
                </c:pt>
                <c:pt idx="785">
                  <c:v>2154.5769055717174</c:v>
                </c:pt>
                <c:pt idx="786">
                  <c:v>2144.8874991265475</c:v>
                </c:pt>
                <c:pt idx="787">
                  <c:v>2135.1271363643832</c:v>
                </c:pt>
                <c:pt idx="788">
                  <c:v>2125.2962367542341</c:v>
                </c:pt>
                <c:pt idx="789">
                  <c:v>2115.395221277342</c:v>
                </c:pt>
                <c:pt idx="790">
                  <c:v>2105.4245123783944</c:v>
                </c:pt>
                <c:pt idx="791">
                  <c:v>2095.3845339168183</c:v>
                </c:pt>
                <c:pt idx="792">
                  <c:v>2085.2757111181736</c:v>
                </c:pt>
                <c:pt idx="793">
                  <c:v>2075.0984705256483</c:v>
                </c:pt>
                <c:pt idx="794">
                  <c:v>2064.8532399516675</c:v>
                </c:pt>
                <c:pt idx="795">
                  <c:v>2054.5404484296268</c:v>
                </c:pt>
                <c:pt idx="796">
                  <c:v>2044.1605261657567</c:v>
                </c:pt>
                <c:pt idx="797">
                  <c:v>2033.7139044911301</c:v>
                </c:pt>
                <c:pt idx="798">
                  <c:v>2023.2010158138191</c:v>
                </c:pt>
                <c:pt idx="799">
                  <c:v>2012.6222935712124</c:v>
                </c:pt>
                <c:pt idx="800">
                  <c:v>2001.9781721824997</c:v>
                </c:pt>
                <c:pt idx="801">
                  <c:v>1991.269087001335</c:v>
                </c:pt>
                <c:pt idx="802">
                  <c:v>1980.4954742686837</c:v>
                </c:pt>
                <c:pt idx="803">
                  <c:v>1969.6577710658651</c:v>
                </c:pt>
                <c:pt idx="804">
                  <c:v>1958.7564152677969</c:v>
                </c:pt>
                <c:pt idx="805">
                  <c:v>1947.7918454964502</c:v>
                </c:pt>
                <c:pt idx="806">
                  <c:v>1936.7645010745239</c:v>
                </c:pt>
                <c:pt idx="807">
                  <c:v>1925.6748219793449</c:v>
                </c:pt>
                <c:pt idx="808">
                  <c:v>1914.523248797004</c:v>
                </c:pt>
                <c:pt idx="809">
                  <c:v>1903.3102226767335</c:v>
                </c:pt>
                <c:pt idx="810">
                  <c:v>1892.0361852855342</c:v>
                </c:pt>
                <c:pt idx="811">
                  <c:v>1880.7015787630612</c:v>
                </c:pt>
                <c:pt idx="812">
                  <c:v>1869.3068456767733</c:v>
                </c:pt>
                <c:pt idx="813">
                  <c:v>1857.8524289773545</c:v>
                </c:pt>
                <c:pt idx="814">
                  <c:v>1846.3387719544146</c:v>
                </c:pt>
                <c:pt idx="815">
                  <c:v>1834.7663181924754</c:v>
                </c:pt>
                <c:pt idx="816">
                  <c:v>1823.1355115272502</c:v>
                </c:pt>
                <c:pt idx="817">
                  <c:v>1811.4467960022214</c:v>
                </c:pt>
                <c:pt idx="818">
                  <c:v>1799.7006158255251</c:v>
                </c:pt>
                <c:pt idx="819">
                  <c:v>1787.8974153271472</c:v>
                </c:pt>
                <c:pt idx="820">
                  <c:v>1776.0376389164378</c:v>
                </c:pt>
                <c:pt idx="821">
                  <c:v>1764.1217310399502</c:v>
                </c:pt>
                <c:pt idx="822">
                  <c:v>1752.1501361396101</c:v>
                </c:pt>
                <c:pt idx="823">
                  <c:v>1740.1232986112213</c:v>
                </c:pt>
                <c:pt idx="824">
                  <c:v>1728.0416627633128</c:v>
                </c:pt>
                <c:pt idx="825">
                  <c:v>1715.9056727763332</c:v>
                </c:pt>
                <c:pt idx="826">
                  <c:v>1703.7157726621972</c:v>
                </c:pt>
                <c:pt idx="827">
                  <c:v>1691.4724062241917</c:v>
                </c:pt>
                <c:pt idx="828">
                  <c:v>1679.1760170172424</c:v>
                </c:pt>
                <c:pt idx="829">
                  <c:v>1666.8270483085498</c:v>
                </c:pt>
                <c:pt idx="830">
                  <c:v>1654.4259430385973</c:v>
                </c:pt>
                <c:pt idx="831">
                  <c:v>1641.9731437825355</c:v>
                </c:pt>
                <c:pt idx="832">
                  <c:v>1629.4690927119502</c:v>
                </c:pt>
                <c:pt idx="833">
                  <c:v>1616.9142315570139</c:v>
                </c:pt>
                <c:pt idx="834">
                  <c:v>1604.3090015690286</c:v>
                </c:pt>
                <c:pt idx="835">
                  <c:v>1591.6538434833635</c:v>
                </c:pt>
                <c:pt idx="836">
                  <c:v>1578.9491974827886</c:v>
                </c:pt>
                <c:pt idx="837">
                  <c:v>1566.1955031612115</c:v>
                </c:pt>
                <c:pt idx="838">
                  <c:v>1553.3931994878194</c:v>
                </c:pt>
                <c:pt idx="839">
                  <c:v>1540.5427247716289</c:v>
                </c:pt>
                <c:pt idx="840">
                  <c:v>1527.6445166264484</c:v>
                </c:pt>
                <c:pt idx="841">
                  <c:v>1514.6990119362558</c:v>
                </c:pt>
                <c:pt idx="842">
                  <c:v>1501.7066468209935</c:v>
                </c:pt>
                <c:pt idx="843">
                  <c:v>1488.6678566027852</c:v>
                </c:pt>
                <c:pt idx="844">
                  <c:v>1475.5830757725755</c:v>
                </c:pt>
                <c:pt idx="845">
                  <c:v>1462.4527379571969</c:v>
                </c:pt>
                <c:pt idx="846">
                  <c:v>1449.2772758868634</c:v>
                </c:pt>
                <c:pt idx="847">
                  <c:v>1436.0571213630976</c:v>
                </c:pt>
                <c:pt idx="848">
                  <c:v>1422.7927052270882</c:v>
                </c:pt>
                <c:pt idx="849">
                  <c:v>1409.4844573284843</c:v>
                </c:pt>
                <c:pt idx="850">
                  <c:v>1396.1328064946258</c:v>
                </c:pt>
                <c:pt idx="851">
                  <c:v>1382.7381805002126</c:v>
                </c:pt>
                <c:pt idx="852">
                  <c:v>1369.3010060374133</c:v>
                </c:pt>
                <c:pt idx="853">
                  <c:v>1355.8217086864167</c:v>
                </c:pt>
                <c:pt idx="854">
                  <c:v>1342.3007128864249</c:v>
                </c:pt>
                <c:pt idx="855">
                  <c:v>1328.7384419070909</c:v>
                </c:pt>
                <c:pt idx="856">
                  <c:v>1315.1353178204015</c:v>
                </c:pt>
                <c:pt idx="857">
                  <c:v>1301.4917614730061</c:v>
                </c:pt>
                <c:pt idx="858">
                  <c:v>1287.8081924589917</c:v>
                </c:pt>
                <c:pt idx="859">
                  <c:v>1274.085029093106</c:v>
                </c:pt>
                <c:pt idx="860">
                  <c:v>1260.3226883844277</c:v>
                </c:pt>
                <c:pt idx="861">
                  <c:v>1246.5215860104861</c:v>
                </c:pt>
                <c:pt idx="862">
                  <c:v>1232.6821362918274</c:v>
                </c:pt>
                <c:pt idx="863">
                  <c:v>1218.8047521670321</c:v>
                </c:pt>
                <c:pt idx="864">
                  <c:v>1204.8898451681791</c:v>
                </c:pt>
                <c:pt idx="865">
                  <c:v>1190.9378253967591</c:v>
                </c:pt>
                <c:pt idx="866">
                  <c:v>1176.9491015000365</c:v>
                </c:pt>
                <c:pt idx="867">
                  <c:v>1162.9240806478595</c:v>
                </c:pt>
                <c:pt idx="868">
                  <c:v>1148.8631685099169</c:v>
                </c:pt>
                <c:pt idx="869">
                  <c:v>1134.766769233443</c:v>
                </c:pt>
                <c:pt idx="870">
                  <c:v>1120.6352854213678</c:v>
                </c:pt>
                <c:pt idx="871">
                  <c:v>1106.469118110914</c:v>
                </c:pt>
                <c:pt idx="872">
                  <c:v>1092.2686667526366</c:v>
                </c:pt>
                <c:pt idx="873">
                  <c:v>1078.0343291899087</c:v>
                </c:pt>
                <c:pt idx="874">
                  <c:v>1063.7665016388476</c:v>
                </c:pt>
                <c:pt idx="875">
                  <c:v>1049.4655786686831</c:v>
                </c:pt>
                <c:pt idx="876">
                  <c:v>1035.1319531825661</c:v>
                </c:pt>
                <c:pt idx="877">
                  <c:v>1020.7660163988155</c:v>
                </c:pt>
                <c:pt idx="878">
                  <c:v>1006.3681578326011</c:v>
                </c:pt>
                <c:pt idx="879">
                  <c:v>991.9387652780639</c:v>
                </c:pt>
                <c:pt idx="880">
                  <c:v>977.47822479086813</c:v>
                </c:pt>
                <c:pt idx="881">
                  <c:v>962.98692067118679</c:v>
                </c:pt>
                <c:pt idx="882">
                  <c:v>948.46523544711613</c:v>
                </c:pt>
                <c:pt idx="883">
                  <c:v>933.91354985851888</c:v>
                </c:pt>
                <c:pt idx="884">
                  <c:v>919.3322428412929</c:v>
                </c:pt>
                <c:pt idx="885">
                  <c:v>904.72169151206401</c:v>
                </c:pt>
                <c:pt idx="886">
                  <c:v>890.08227115330044</c:v>
                </c:pt>
                <c:pt idx="887">
                  <c:v>875.41435519884647</c:v>
                </c:pt>
                <c:pt idx="888">
                  <c:v>860.71831521987292</c:v>
                </c:pt>
                <c:pt idx="889">
                  <c:v>845.99452091124215</c:v>
                </c:pt>
                <c:pt idx="890">
                  <c:v>831.24334007828497</c:v>
                </c:pt>
                <c:pt idx="891">
                  <c:v>816.46513862398695</c:v>
                </c:pt>
                <c:pt idx="892">
                  <c:v>801.6602805365809</c:v>
                </c:pt>
                <c:pt idx="893">
                  <c:v>786.82912787754367</c:v>
                </c:pt>
                <c:pt idx="894">
                  <c:v>771.97204076999367</c:v>
                </c:pt>
                <c:pt idx="895">
                  <c:v>757.08937738748682</c:v>
                </c:pt>
                <c:pt idx="896">
                  <c:v>742.18149394320722</c:v>
                </c:pt>
                <c:pt idx="897">
                  <c:v>727.24874467955033</c:v>
                </c:pt>
                <c:pt idx="898">
                  <c:v>712.29148185809527</c:v>
                </c:pt>
                <c:pt idx="899">
                  <c:v>697.31005574996288</c:v>
                </c:pt>
                <c:pt idx="900">
                  <c:v>682.30481462655666</c:v>
                </c:pt>
                <c:pt idx="901">
                  <c:v>667.27610475068332</c:v>
                </c:pt>
                <c:pt idx="902">
                  <c:v>652.22427036804947</c:v>
                </c:pt>
                <c:pt idx="903">
                  <c:v>637.1496536991317</c:v>
                </c:pt>
                <c:pt idx="904">
                  <c:v>622.05259493141534</c:v>
                </c:pt>
                <c:pt idx="905">
                  <c:v>606.93343221199996</c:v>
                </c:pt>
                <c:pt idx="906">
                  <c:v>591.79250164056759</c:v>
                </c:pt>
                <c:pt idx="907">
                  <c:v>576.63013726270958</c:v>
                </c:pt>
                <c:pt idx="908">
                  <c:v>561.44667106360953</c:v>
                </c:pt>
                <c:pt idx="909">
                  <c:v>546.24243296207783</c:v>
                </c:pt>
                <c:pt idx="910">
                  <c:v>531.01775080493462</c:v>
                </c:pt>
                <c:pt idx="911">
                  <c:v>515.77295036173746</c:v>
                </c:pt>
                <c:pt idx="912">
                  <c:v>500.50835531985018</c:v>
                </c:pt>
                <c:pt idx="913">
                  <c:v>485.22428727984862</c:v>
                </c:pt>
                <c:pt idx="914">
                  <c:v>469.92106575126002</c:v>
                </c:pt>
                <c:pt idx="915">
                  <c:v>454.59900814863209</c:v>
                </c:pt>
                <c:pt idx="916">
                  <c:v>439.25842978792804</c:v>
                </c:pt>
                <c:pt idx="917">
                  <c:v>423.89964388324353</c:v>
                </c:pt>
                <c:pt idx="918">
                  <c:v>408.52296154384186</c:v>
                </c:pt>
                <c:pt idx="919">
                  <c:v>393.1286917715035</c:v>
                </c:pt>
                <c:pt idx="920">
                  <c:v>377.71714145818578</c:v>
                </c:pt>
                <c:pt idx="921">
                  <c:v>362.28861538398957</c:v>
                </c:pt>
                <c:pt idx="922">
                  <c:v>346.84341621542785</c:v>
                </c:pt>
                <c:pt idx="923">
                  <c:v>331.38184450399336</c:v>
                </c:pt>
                <c:pt idx="924">
                  <c:v>315.90419868502067</c:v>
                </c:pt>
                <c:pt idx="925">
                  <c:v>300.410775076839</c:v>
                </c:pt>
                <c:pt idx="926">
                  <c:v>284.90186788021157</c:v>
                </c:pt>
                <c:pt idx="927">
                  <c:v>269.37776917805775</c:v>
                </c:pt>
                <c:pt idx="928">
                  <c:v>253.83876893545366</c:v>
                </c:pt>
                <c:pt idx="929">
                  <c:v>238.28515499990777</c:v>
                </c:pt>
                <c:pt idx="930">
                  <c:v>222.71721310190696</c:v>
                </c:pt>
                <c:pt idx="931">
                  <c:v>207.13522685572906</c:v>
                </c:pt>
                <c:pt idx="932">
                  <c:v>191.53947776051825</c:v>
                </c:pt>
                <c:pt idx="933">
                  <c:v>175.93024520161896</c:v>
                </c:pt>
                <c:pt idx="934">
                  <c:v>160.30780645216433</c:v>
                </c:pt>
                <c:pt idx="935">
                  <c:v>144.67243667491525</c:v>
                </c:pt>
                <c:pt idx="936">
                  <c:v>129.02440892434592</c:v>
                </c:pt>
                <c:pt idx="937">
                  <c:v>113.36399414897203</c:v>
                </c:pt>
                <c:pt idx="938">
                  <c:v>97.691461193917377</c:v>
                </c:pt>
                <c:pt idx="939">
                  <c:v>82.007076803715151</c:v>
                </c:pt>
                <c:pt idx="940">
                  <c:v>66.311105625339664</c:v>
                </c:pt>
                <c:pt idx="941">
                  <c:v>50.603810211464726</c:v>
                </c:pt>
                <c:pt idx="942">
                  <c:v>34.885451023944647</c:v>
                </c:pt>
                <c:pt idx="943">
                  <c:v>19.15628643751387</c:v>
                </c:pt>
                <c:pt idx="944">
                  <c:v>3.4165727437013285</c:v>
                </c:pt>
                <c:pt idx="945">
                  <c:v>-12.33343584504439</c:v>
                </c:pt>
                <c:pt idx="946">
                  <c:v>-12.349190942745714</c:v>
                </c:pt>
                <c:pt idx="947">
                  <c:v>-12.364946050364122</c:v>
                </c:pt>
                <c:pt idx="948">
                  <c:v>-12.380701167899362</c:v>
                </c:pt>
                <c:pt idx="949">
                  <c:v>-12.396456295351188</c:v>
                </c:pt>
                <c:pt idx="950">
                  <c:v>-12.412211432719349</c:v>
                </c:pt>
                <c:pt idx="951">
                  <c:v>-12.427966580003599</c:v>
                </c:pt>
                <c:pt idx="952">
                  <c:v>-12.443721737203687</c:v>
                </c:pt>
                <c:pt idx="953">
                  <c:v>-12.459476904319365</c:v>
                </c:pt>
                <c:pt idx="954">
                  <c:v>-12.475232081350384</c:v>
                </c:pt>
                <c:pt idx="955">
                  <c:v>-12.490987268296497</c:v>
                </c:pt>
                <c:pt idx="956">
                  <c:v>-12.506742465157453</c:v>
                </c:pt>
                <c:pt idx="957">
                  <c:v>-12.522497671933005</c:v>
                </c:pt>
                <c:pt idx="958">
                  <c:v>-12.538252888622903</c:v>
                </c:pt>
                <c:pt idx="959">
                  <c:v>-12.5540081152269</c:v>
                </c:pt>
                <c:pt idx="960">
                  <c:v>-12.569763351744745</c:v>
                </c:pt>
                <c:pt idx="961">
                  <c:v>-12.585518598176193</c:v>
                </c:pt>
                <c:pt idx="962">
                  <c:v>-12.601273854520993</c:v>
                </c:pt>
                <c:pt idx="963">
                  <c:v>-12.617029120778897</c:v>
                </c:pt>
                <c:pt idx="964">
                  <c:v>-12.632784396949656</c:v>
                </c:pt>
                <c:pt idx="965">
                  <c:v>-12.648539683033022</c:v>
                </c:pt>
                <c:pt idx="966">
                  <c:v>-12.664294979028744</c:v>
                </c:pt>
                <c:pt idx="967">
                  <c:v>-12.680050284936577</c:v>
                </c:pt>
                <c:pt idx="968">
                  <c:v>-12.69580560075627</c:v>
                </c:pt>
                <c:pt idx="969">
                  <c:v>-12.711560926487575</c:v>
                </c:pt>
                <c:pt idx="970">
                  <c:v>-12.727316262130243</c:v>
                </c:pt>
                <c:pt idx="971">
                  <c:v>-12.743071607684026</c:v>
                </c:pt>
                <c:pt idx="972">
                  <c:v>-12.758826963148675</c:v>
                </c:pt>
                <c:pt idx="973">
                  <c:v>-12.774582328523941</c:v>
                </c:pt>
                <c:pt idx="974">
                  <c:v>-12.790337703809577</c:v>
                </c:pt>
                <c:pt idx="975">
                  <c:v>-12.806093089005332</c:v>
                </c:pt>
                <c:pt idx="976">
                  <c:v>-12.821848484110959</c:v>
                </c:pt>
                <c:pt idx="977">
                  <c:v>-12.837603889126209</c:v>
                </c:pt>
                <c:pt idx="978">
                  <c:v>-12.853359304050834</c:v>
                </c:pt>
                <c:pt idx="979">
                  <c:v>-12.869114728884584</c:v>
                </c:pt>
                <c:pt idx="980">
                  <c:v>-12.884870163627212</c:v>
                </c:pt>
                <c:pt idx="981">
                  <c:v>-12.900625608278469</c:v>
                </c:pt>
                <c:pt idx="982">
                  <c:v>-12.916381062838106</c:v>
                </c:pt>
                <c:pt idx="983">
                  <c:v>-12.932136527305873</c:v>
                </c:pt>
                <c:pt idx="984">
                  <c:v>-12.947892001681524</c:v>
                </c:pt>
                <c:pt idx="985">
                  <c:v>-12.963647485964808</c:v>
                </c:pt>
                <c:pt idx="986">
                  <c:v>-12.979402980155479</c:v>
                </c:pt>
                <c:pt idx="987">
                  <c:v>-12.995158484253286</c:v>
                </c:pt>
                <c:pt idx="988">
                  <c:v>-13.010913998257982</c:v>
                </c:pt>
                <c:pt idx="989">
                  <c:v>-13.026669522169318</c:v>
                </c:pt>
                <c:pt idx="990">
                  <c:v>-13.042425055987044</c:v>
                </c:pt>
                <c:pt idx="991">
                  <c:v>-13.058180599710914</c:v>
                </c:pt>
                <c:pt idx="992">
                  <c:v>-13.073936153340679</c:v>
                </c:pt>
                <c:pt idx="993">
                  <c:v>-13.089691716876088</c:v>
                </c:pt>
                <c:pt idx="994">
                  <c:v>-13.105447290316894</c:v>
                </c:pt>
                <c:pt idx="995">
                  <c:v>-13.121202873662849</c:v>
                </c:pt>
                <c:pt idx="996">
                  <c:v>-13.136958466913704</c:v>
                </c:pt>
                <c:pt idx="997">
                  <c:v>-13.15271407006921</c:v>
                </c:pt>
                <c:pt idx="998">
                  <c:v>-13.168469683129119</c:v>
                </c:pt>
                <c:pt idx="999">
                  <c:v>-13.184225306093182</c:v>
                </c:pt>
                <c:pt idx="1000">
                  <c:v>-13.199980938961151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3B-6442-AFEC-07E56791BA28}"/>
            </c:ext>
          </c:extLst>
        </c:ser>
        <c:ser>
          <c:idx val="4"/>
          <c:order val="3"/>
          <c:tx>
            <c:strRef>
              <c:f>Trajecto!$B$109</c:f>
              <c:strCache>
                <c:ptCount val="1"/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FF66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3B-6442-AFEC-07E56791BA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Trajecto!$B$140:$B$146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Trajecto!$C$138:$C$144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3B-6442-AFEC-07E56791BA28}"/>
            </c:ext>
          </c:extLst>
        </c:ser>
        <c:ser>
          <c:idx val="5"/>
          <c:order val="4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Calculs!$J$4:$J$1004</c:f>
              <c:numCache>
                <c:formatCode>0.00</c:formatCode>
                <c:ptCount val="1001"/>
                <c:pt idx="0">
                  <c:v>0</c:v>
                </c:pt>
                <c:pt idx="1">
                  <c:v>4.2388035248574833E-5</c:v>
                </c:pt>
                <c:pt idx="2">
                  <c:v>2.633065668814509E-4</c:v>
                </c:pt>
                <c:pt idx="3">
                  <c:v>7.9542963262857795E-4</c:v>
                </c:pt>
                <c:pt idx="4">
                  <c:v>1.7166269806795881E-3</c:v>
                </c:pt>
                <c:pt idx="5">
                  <c:v>3.1048343840561509E-3</c:v>
                </c:pt>
                <c:pt idx="6">
                  <c:v>5.0380635461967482E-3</c:v>
                </c:pt>
                <c:pt idx="7">
                  <c:v>7.594411916287399E-3</c:v>
                </c:pt>
                <c:pt idx="8">
                  <c:v>1.0852072418020067E-2</c:v>
                </c:pt>
                <c:pt idx="9">
                  <c:v>1.4889343095336932E-2</c:v>
                </c:pt>
                <c:pt idx="10">
                  <c:v>1.9784636678599202E-2</c:v>
                </c:pt>
                <c:pt idx="11">
                  <c:v>2.559408785778463E-2</c:v>
                </c:pt>
                <c:pt idx="12">
                  <c:v>3.2329104884837465E-2</c:v>
                </c:pt>
                <c:pt idx="13">
                  <c:v>3.9978524417161217E-2</c:v>
                </c:pt>
                <c:pt idx="14">
                  <c:v>4.8530817087647934E-2</c:v>
                </c:pt>
                <c:pt idx="15">
                  <c:v>5.7974257951207371E-2</c:v>
                </c:pt>
                <c:pt idx="16">
                  <c:v>6.8297097323067407E-2</c:v>
                </c:pt>
                <c:pt idx="17">
                  <c:v>7.9487561200797252E-2</c:v>
                </c:pt>
                <c:pt idx="18">
                  <c:v>9.1533851686051285E-2</c:v>
                </c:pt>
                <c:pt idx="19">
                  <c:v>0.10442414740596842</c:v>
                </c:pt>
                <c:pt idx="20">
                  <c:v>0.11814660393416225</c:v>
                </c:pt>
                <c:pt idx="21">
                  <c:v>0.13268935421123748</c:v>
                </c:pt>
                <c:pt idx="22">
                  <c:v>0.14804050896476892</c:v>
                </c:pt>
                <c:pt idx="23">
                  <c:v>0.16418815712867935</c:v>
                </c:pt>
                <c:pt idx="24">
                  <c:v>0.18112036626195335</c:v>
                </c:pt>
                <c:pt idx="25">
                  <c:v>0.19882518296662458</c:v>
                </c:pt>
                <c:pt idx="26">
                  <c:v>0.21729063330497422</c:v>
                </c:pt>
                <c:pt idx="27">
                  <c:v>0.23650773511460821</c:v>
                </c:pt>
                <c:pt idx="28">
                  <c:v>0.2564735156066818</c:v>
                </c:pt>
                <c:pt idx="29">
                  <c:v>0.27718800746088779</c:v>
                </c:pt>
                <c:pt idx="30">
                  <c:v>0.29865123942634525</c:v>
                </c:pt>
                <c:pt idx="31">
                  <c:v>0.32086323631653191</c:v>
                </c:pt>
                <c:pt idx="32">
                  <c:v>0.34382401900431159</c:v>
                </c:pt>
                <c:pt idx="33">
                  <c:v>0.36753360441705657</c:v>
                </c:pt>
                <c:pt idx="34">
                  <c:v>0.39203461321100952</c:v>
                </c:pt>
                <c:pt idx="35">
                  <c:v>0.41737107021736164</c:v>
                </c:pt>
                <c:pt idx="36">
                  <c:v>0.44354578167993192</c:v>
                </c:pt>
                <c:pt idx="37">
                  <c:v>0.4705614996433754</c:v>
                </c:pt>
                <c:pt idx="38">
                  <c:v>0.49842090368529446</c:v>
                </c:pt>
                <c:pt idx="39">
                  <c:v>0.52712660439949544</c:v>
                </c:pt>
                <c:pt idx="40">
                  <c:v>0.5566811466110354</c:v>
                </c:pt>
                <c:pt idx="41">
                  <c:v>0.58708701235005634</c:v>
                </c:pt>
                <c:pt idx="42">
                  <c:v>0.61834662360807557</c:v>
                </c:pt>
                <c:pt idx="43">
                  <c:v>0.65046234489755828</c:v>
                </c:pt>
                <c:pt idx="44">
                  <c:v>0.68343648563315063</c:v>
                </c:pt>
                <c:pt idx="45">
                  <c:v>0.71727130235084868</c:v>
                </c:pt>
                <c:pt idx="46">
                  <c:v>0.75196900077955542</c:v>
                </c:pt>
                <c:pt idx="47">
                  <c:v>0.78753173777789509</c:v>
                </c:pt>
                <c:pt idx="48">
                  <c:v>0.82396162314777821</c:v>
                </c:pt>
                <c:pt idx="49">
                  <c:v>0.86126072133500453</c:v>
                </c:pt>
                <c:pt idx="50">
                  <c:v>0.89943105302613724</c:v>
                </c:pt>
                <c:pt idx="51">
                  <c:v>0.93847459664995436</c:v>
                </c:pt>
                <c:pt idx="52">
                  <c:v>0.97839328979096329</c:v>
                </c:pt>
                <c:pt idx="53">
                  <c:v>1.0191890305217461</c:v>
                </c:pt>
                <c:pt idx="54">
                  <c:v>1.0608636786602585</c:v>
                </c:pt>
                <c:pt idx="55">
                  <c:v>1.1034190569576394</c:v>
                </c:pt>
                <c:pt idx="56">
                  <c:v>1.1468569522215819</c:v>
                </c:pt>
                <c:pt idx="57">
                  <c:v>1.1911791163798633</c:v>
                </c:pt>
                <c:pt idx="58">
                  <c:v>1.2363872674882286</c:v>
                </c:pt>
                <c:pt idx="59">
                  <c:v>1.2824830906864597</c:v>
                </c:pt>
                <c:pt idx="60">
                  <c:v>1.3294682391061396</c:v>
                </c:pt>
                <c:pt idx="61">
                  <c:v>1.3773443347333247</c:v>
                </c:pt>
                <c:pt idx="62">
                  <c:v>1.4261129692290775</c:v>
                </c:pt>
                <c:pt idx="63">
                  <c:v>1.4757757047105742</c:v>
                </c:pt>
                <c:pt idx="64">
                  <c:v>1.5263340744952854</c:v>
                </c:pt>
                <c:pt idx="65">
                  <c:v>1.5777895838105329</c:v>
                </c:pt>
                <c:pt idx="66">
                  <c:v>1.6301437104705501</c:v>
                </c:pt>
                <c:pt idx="67">
                  <c:v>1.6833979055230106</c:v>
                </c:pt>
                <c:pt idx="68">
                  <c:v>1.7375535938668472</c:v>
                </c:pt>
                <c:pt idx="69">
                  <c:v>1.7926121748430428</c:v>
                </c:pt>
                <c:pt idx="70">
                  <c:v>1.8485750227999618</c:v>
                </c:pt>
                <c:pt idx="71">
                  <c:v>1.9054434876346715</c:v>
                </c:pt>
                <c:pt idx="72">
                  <c:v>1.9632188576473495</c:v>
                </c:pt>
                <c:pt idx="73">
                  <c:v>2.0219023221359529</c:v>
                </c:pt>
                <c:pt idx="74">
                  <c:v>2.0814950092226621</c:v>
                </c:pt>
                <c:pt idx="75">
                  <c:v>2.1419980239062579</c:v>
                </c:pt>
                <c:pt idx="76">
                  <c:v>2.203412448515115</c:v>
                </c:pt>
                <c:pt idx="77">
                  <c:v>2.2657393431425437</c:v>
                </c:pt>
                <c:pt idx="78">
                  <c:v>2.3289797460654023</c:v>
                </c:pt>
                <c:pt idx="79">
                  <c:v>2.3931346741468409</c:v>
                </c:pt>
                <c:pt idx="80">
                  <c:v>2.4582051232239897</c:v>
                </c:pt>
                <c:pt idx="81">
                  <c:v>2.5241920684813421</c:v>
                </c:pt>
                <c:pt idx="82">
                  <c:v>2.5910964648105512</c:v>
                </c:pt>
                <c:pt idx="83">
                  <c:v>2.6589192471573</c:v>
                </c:pt>
                <c:pt idx="84">
                  <c:v>2.7276613308558799</c:v>
                </c:pt>
                <c:pt idx="85">
                  <c:v>2.7973236119520601</c:v>
                </c:pt>
                <c:pt idx="86">
                  <c:v>2.8679069675148097</c:v>
                </c:pt>
                <c:pt idx="87">
                  <c:v>2.9394122559373907</c:v>
                </c:pt>
                <c:pt idx="88">
                  <c:v>3.0118403172283195</c:v>
                </c:pt>
                <c:pt idx="89">
                  <c:v>3.0851919732926558</c:v>
                </c:pt>
                <c:pt idx="90">
                  <c:v>3.1594680282040648</c:v>
                </c:pt>
                <c:pt idx="91">
                  <c:v>3.2346692684680614</c:v>
                </c:pt>
                <c:pt idx="92">
                  <c:v>3.3107964632768327</c:v>
                </c:pt>
                <c:pt idx="93">
                  <c:v>3.387850364756007</c:v>
                </c:pt>
                <c:pt idx="94">
                  <c:v>3.4658317082037198</c:v>
                </c:pt>
                <c:pt idx="95">
                  <c:v>3.5447412123223105</c:v>
                </c:pt>
                <c:pt idx="96">
                  <c:v>3.6245795794429636</c:v>
                </c:pt>
                <c:pt idx="97">
                  <c:v>3.7053474957435921</c:v>
                </c:pt>
                <c:pt idx="98">
                  <c:v>3.7870456314602472</c:v>
                </c:pt>
                <c:pt idx="99">
                  <c:v>3.8696746410923222</c:v>
                </c:pt>
                <c:pt idx="100">
                  <c:v>3.9532351636018062</c:v>
                </c:pt>
                <c:pt idx="101">
                  <c:v>4.0377278226068292</c:v>
                </c:pt>
                <c:pt idx="102">
                  <c:v>4.1231532265697304</c:v>
                </c:pt>
                <c:pt idx="103">
                  <c:v>4.2095119689798635</c:v>
                </c:pt>
                <c:pt idx="104">
                  <c:v>4.2968046285313592</c:v>
                </c:pt>
                <c:pt idx="105">
                  <c:v>4.3850317692960292</c:v>
                </c:pt>
                <c:pt idx="106">
                  <c:v>4.4741939408916114</c:v>
                </c:pt>
                <c:pt idx="107">
                  <c:v>4.5642916786455281</c:v>
                </c:pt>
                <c:pt idx="108">
                  <c:v>4.6553255037543408</c:v>
                </c:pt>
                <c:pt idx="109">
                  <c:v>4.7472959234390517</c:v>
                </c:pt>
                <c:pt idx="110">
                  <c:v>4.8402034310964162</c:v>
                </c:pt>
                <c:pt idx="111">
                  <c:v>4.934048506446417</c:v>
                </c:pt>
                <c:pt idx="112">
                  <c:v>5.0288316156760349</c:v>
                </c:pt>
                <c:pt idx="113">
                  <c:v>5.1245532115794603</c:v>
                </c:pt>
                <c:pt idx="114">
                  <c:v>5.2212137336948734</c:v>
                </c:pt>
                <c:pt idx="115">
                  <c:v>5.3188136084379138</c:v>
                </c:pt>
                <c:pt idx="116">
                  <c:v>5.4173532492319634</c:v>
                </c:pt>
                <c:pt idx="117">
                  <c:v>5.5168330566353516</c:v>
                </c:pt>
                <c:pt idx="118">
                  <c:v>5.6172534184655998</c:v>
                </c:pt>
                <c:pt idx="119">
                  <c:v>5.7186147099208027</c:v>
                </c:pt>
                <c:pt idx="120">
                  <c:v>5.8209172936982476</c:v>
                </c:pt>
                <c:pt idx="121">
                  <c:v>5.9241615201103697</c:v>
                </c:pt>
                <c:pt idx="122">
                  <c:v>6.0283477271981347</c:v>
                </c:pt>
                <c:pt idx="123">
                  <c:v>6.1334762408419383</c:v>
                </c:pt>
                <c:pt idx="124">
                  <c:v>6.2395473748701002</c:v>
                </c:pt>
                <c:pt idx="125">
                  <c:v>6.346561431165048</c:v>
                </c:pt>
                <c:pt idx="126">
                  <c:v>6.4545186997672515</c:v>
                </c:pt>
                <c:pt idx="127">
                  <c:v>6.5634194589769983</c:v>
                </c:pt>
                <c:pt idx="128">
                  <c:v>6.6732639754540708</c:v>
                </c:pt>
                <c:pt idx="129">
                  <c:v>6.7840523179318986</c:v>
                </c:pt>
                <c:pt idx="130">
                  <c:v>6.8957841702017983</c:v>
                </c:pt>
                <c:pt idx="131">
                  <c:v>7.0084590166579064</c:v>
                </c:pt>
                <c:pt idx="132">
                  <c:v>7.122076328583149</c:v>
                </c:pt>
                <c:pt idx="133">
                  <c:v>7.2366355642690596</c:v>
                </c:pt>
                <c:pt idx="134">
                  <c:v>7.3521361691334599</c:v>
                </c:pt>
                <c:pt idx="135">
                  <c:v>7.4685775758360586</c:v>
                </c:pt>
                <c:pt idx="136">
                  <c:v>7.5859592043920561</c:v>
                </c:pt>
                <c:pt idx="137">
                  <c:v>7.7042804622837995</c:v>
                </c:pt>
                <c:pt idx="138">
                  <c:v>7.8235407445705638</c:v>
                </c:pt>
                <c:pt idx="139">
                  <c:v>7.9437394339965133</c:v>
                </c:pt>
                <c:pt idx="140">
                  <c:v>8.0648759010969009</c:v>
                </c:pt>
                <c:pt idx="141">
                  <c:v>8.1869495043025626</c:v>
                </c:pt>
                <c:pt idx="142">
                  <c:v>8.3099595900427587</c:v>
                </c:pt>
                <c:pt idx="143">
                  <c:v>8.4339054928464119</c:v>
                </c:pt>
                <c:pt idx="144">
                  <c:v>8.5587865354417936</c:v>
                </c:pt>
                <c:pt idx="145">
                  <c:v>8.6846020288547088</c:v>
                </c:pt>
                <c:pt idx="146">
                  <c:v>8.8113512725052132</c:v>
                </c:pt>
                <c:pt idx="147">
                  <c:v>8.9390335543029273</c:v>
                </c:pt>
                <c:pt idx="148">
                  <c:v>9.0676481507409648</c:v>
                </c:pt>
                <c:pt idx="149">
                  <c:v>9.1971943269885355</c:v>
                </c:pt>
                <c:pt idx="150">
                  <c:v>9.3276713369822613</c:v>
                </c:pt>
                <c:pt idx="151">
                  <c:v>9.4590784235162246</c:v>
                </c:pt>
                <c:pt idx="152">
                  <c:v>9.5914148183308097</c:v>
                </c:pt>
                <c:pt idx="153">
                  <c:v>9.7246797422003581</c:v>
                </c:pt>
                <c:pt idx="154">
                  <c:v>9.8588724050196728</c:v>
                </c:pt>
                <c:pt idx="155">
                  <c:v>9.9939920058894138</c:v>
                </c:pt>
                <c:pt idx="156">
                  <c:v>10.130037733200403</c:v>
                </c:pt>
                <c:pt idx="157">
                  <c:v>10.267008764716884</c:v>
                </c:pt>
                <c:pt idx="158">
                  <c:v>10.404904267658749</c:v>
                </c:pt>
                <c:pt idx="159">
                  <c:v>10.543723398782777</c:v>
                </c:pt>
                <c:pt idx="160">
                  <c:v>10.68346530446291</c:v>
                </c:pt>
                <c:pt idx="161">
                  <c:v>10.824129120769575</c:v>
                </c:pt>
                <c:pt idx="162">
                  <c:v>10.965713973548105</c:v>
                </c:pt>
                <c:pt idx="163">
                  <c:v>11.108218978496266</c:v>
                </c:pt>
                <c:pt idx="164">
                  <c:v>11.251643241240915</c:v>
                </c:pt>
                <c:pt idx="165">
                  <c:v>11.39598585741382</c:v>
                </c:pt>
                <c:pt idx="166">
                  <c:v>11.541245912726657</c:v>
                </c:pt>
                <c:pt idx="167">
                  <c:v>11.687422483045214</c:v>
                </c:pt>
                <c:pt idx="168">
                  <c:v>11.834514634462815</c:v>
                </c:pt>
                <c:pt idx="169">
                  <c:v>11.982521423372985</c:v>
                </c:pt>
                <c:pt idx="170">
                  <c:v>12.131441896541384</c:v>
                </c:pt>
                <c:pt idx="171">
                  <c:v>12.281275091177022</c:v>
                </c:pt>
                <c:pt idx="172">
                  <c:v>12.432020035002767</c:v>
                </c:pt>
                <c:pt idx="173">
                  <c:v>12.583675746325182</c:v>
                </c:pt>
                <c:pt idx="174">
                  <c:v>12.736241234103694</c:v>
                </c:pt>
                <c:pt idx="175">
                  <c:v>12.889715498019115</c:v>
                </c:pt>
                <c:pt idx="176">
                  <c:v>13.044097528541526</c:v>
                </c:pt>
                <c:pt idx="177">
                  <c:v>13.19938630699756</c:v>
                </c:pt>
                <c:pt idx="178">
                  <c:v>13.35558080563707</c:v>
                </c:pt>
                <c:pt idx="179">
                  <c:v>13.512679987699215</c:v>
                </c:pt>
                <c:pt idx="180">
                  <c:v>13.670682807477982</c:v>
                </c:pt>
                <c:pt idx="181">
                  <c:v>13.829588210387142</c:v>
                </c:pt>
                <c:pt idx="182">
                  <c:v>13.98939513302466</c:v>
                </c:pt>
                <c:pt idx="183">
                  <c:v>14.15010250323658</c:v>
                </c:pt>
                <c:pt idx="184">
                  <c:v>14.31170924018039</c:v>
                </c:pt>
                <c:pt idx="185">
                  <c:v>14.474214254387876</c:v>
                </c:pt>
                <c:pt idx="186">
                  <c:v>14.63761644782748</c:v>
                </c:pt>
                <c:pt idx="187">
                  <c:v>14.801914713966182</c:v>
                </c:pt>
                <c:pt idx="188">
                  <c:v>14.9671079378309</c:v>
                </c:pt>
                <c:pt idx="189">
                  <c:v>15.133194996069433</c:v>
                </c:pt>
                <c:pt idx="190">
                  <c:v>15.30017475701095</c:v>
                </c:pt>
                <c:pt idx="191">
                  <c:v>15.46804608072604</c:v>
                </c:pt>
                <c:pt idx="192">
                  <c:v>15.636807819086325</c:v>
                </c:pt>
                <c:pt idx="193">
                  <c:v>15.806458815823655</c:v>
                </c:pt>
                <c:pt idx="194">
                  <c:v>15.976997906588887</c:v>
                </c:pt>
                <c:pt idx="195">
                  <c:v>16.148423919010259</c:v>
                </c:pt>
                <c:pt idx="196">
                  <c:v>16.320735672751368</c:v>
                </c:pt>
                <c:pt idx="197">
                  <c:v>16.493931979568764</c:v>
                </c:pt>
                <c:pt idx="198">
                  <c:v>16.668011643369159</c:v>
                </c:pt>
                <c:pt idx="199">
                  <c:v>16.842973460266261</c:v>
                </c:pt>
                <c:pt idx="200">
                  <c:v>17.018816218637255</c:v>
                </c:pt>
                <c:pt idx="201">
                  <c:v>17.195538699178918</c:v>
                </c:pt>
                <c:pt idx="202">
                  <c:v>17.373139674963383</c:v>
                </c:pt>
                <c:pt idx="203">
                  <c:v>17.551617911493569</c:v>
                </c:pt>
                <c:pt idx="204">
                  <c:v>17.730972166758267</c:v>
                </c:pt>
                <c:pt idx="205">
                  <c:v>17.911201191286892</c:v>
                </c:pt>
                <c:pt idx="206">
                  <c:v>18.092303679971909</c:v>
                </c:pt>
                <c:pt idx="207">
                  <c:v>18.274278223774587</c:v>
                </c:pt>
                <c:pt idx="208">
                  <c:v>18.45712335787907</c:v>
                </c:pt>
                <c:pt idx="209">
                  <c:v>18.640837609965029</c:v>
                </c:pt>
                <c:pt idx="210">
                  <c:v>18.82541950026587</c:v>
                </c:pt>
                <c:pt idx="211">
                  <c:v>19.010867541626617</c:v>
                </c:pt>
                <c:pt idx="212">
                  <c:v>19.197180239561465</c:v>
                </c:pt>
                <c:pt idx="213">
                  <c:v>19.38435609231102</c:v>
                </c:pt>
                <c:pt idx="214">
                  <c:v>19.57239359089921</c:v>
                </c:pt>
                <c:pt idx="215">
                  <c:v>19.761291219189911</c:v>
                </c:pt>
                <c:pt idx="216">
                  <c:v>19.951047453943247</c:v>
                </c:pt>
                <c:pt idx="217">
                  <c:v>20.141660764871606</c:v>
                </c:pt>
                <c:pt idx="218">
                  <c:v>20.333129614695352</c:v>
                </c:pt>
                <c:pt idx="219">
                  <c:v>20.525452459198252</c:v>
                </c:pt>
                <c:pt idx="220">
                  <c:v>20.718627747282618</c:v>
                </c:pt>
                <c:pt idx="221">
                  <c:v>20.912653921024162</c:v>
                </c:pt>
                <c:pt idx="222">
                  <c:v>21.107529415726578</c:v>
                </c:pt>
                <c:pt idx="223">
                  <c:v>21.30325265997585</c:v>
                </c:pt>
                <c:pt idx="224">
                  <c:v>21.499822075694297</c:v>
                </c:pt>
                <c:pt idx="225">
                  <c:v>21.69723607819434</c:v>
                </c:pt>
                <c:pt idx="226">
                  <c:v>21.895493076232011</c:v>
                </c:pt>
                <c:pt idx="227">
                  <c:v>22.094591472060209</c:v>
                </c:pt>
                <c:pt idx="228">
                  <c:v>22.2945296614817</c:v>
                </c:pt>
                <c:pt idx="229">
                  <c:v>22.495306033901855</c:v>
                </c:pt>
                <c:pt idx="230">
                  <c:v>22.696918972381152</c:v>
                </c:pt>
                <c:pt idx="231">
                  <c:v>22.899366853687422</c:v>
                </c:pt>
                <c:pt idx="232">
                  <c:v>23.102648048347863</c:v>
                </c:pt>
                <c:pt idx="233">
                  <c:v>23.3067609207008</c:v>
                </c:pt>
                <c:pt idx="234">
                  <c:v>23.511703828947219</c:v>
                </c:pt>
                <c:pt idx="235">
                  <c:v>23.717475125202064</c:v>
                </c:pt>
                <c:pt idx="236">
                  <c:v>23.924073155545301</c:v>
                </c:pt>
                <c:pt idx="237">
                  <c:v>24.131496260072748</c:v>
                </c:pt>
                <c:pt idx="238">
                  <c:v>24.339742772946693</c:v>
                </c:pt>
                <c:pt idx="239">
                  <c:v>24.548811022446266</c:v>
                </c:pt>
                <c:pt idx="240">
                  <c:v>24.758699331017606</c:v>
                </c:pt>
                <c:pt idx="241">
                  <c:v>24.969406015323802</c:v>
                </c:pt>
                <c:pt idx="242">
                  <c:v>25.180929215852519</c:v>
                </c:pt>
                <c:pt idx="243">
                  <c:v>25.393266726194124</c:v>
                </c:pt>
                <c:pt idx="244">
                  <c:v>25.606416163199036</c:v>
                </c:pt>
                <c:pt idx="245">
                  <c:v>25.820375137472244</c:v>
                </c:pt>
                <c:pt idx="246">
                  <c:v>26.03514125343829</c:v>
                </c:pt>
                <c:pt idx="247">
                  <c:v>26.250712109405935</c:v>
                </c:pt>
                <c:pt idx="248">
                  <c:v>26.467085297632476</c:v>
                </c:pt>
                <c:pt idx="249">
                  <c:v>26.68425840438778</c:v>
                </c:pt>
                <c:pt idx="250">
                  <c:v>26.902229010017983</c:v>
                </c:pt>
                <c:pt idx="251">
                  <c:v>27.120994689008871</c:v>
                </c:pt>
                <c:pt idx="252">
                  <c:v>27.340553010048968</c:v>
                </c:pt>
                <c:pt idx="253">
                  <c:v>27.560901536092285</c:v>
                </c:pt>
                <c:pt idx="254">
                  <c:v>27.782037824420794</c:v>
                </c:pt>
                <c:pt idx="255">
                  <c:v>28.003959426706565</c:v>
                </c:pt>
                <c:pt idx="256">
                  <c:v>28.226663889073617</c:v>
                </c:pt>
                <c:pt idx="257">
                  <c:v>28.450148752159457</c:v>
                </c:pt>
                <c:pt idx="258">
                  <c:v>28.67441155117632</c:v>
                </c:pt>
                <c:pt idx="259">
                  <c:v>28.899449815972115</c:v>
                </c:pt>
                <c:pt idx="260">
                  <c:v>29.12526107109106</c:v>
                </c:pt>
                <c:pt idx="261">
                  <c:v>29.351842835834024</c:v>
                </c:pt>
                <c:pt idx="262">
                  <c:v>29.579192624318576</c:v>
                </c:pt>
                <c:pt idx="263">
                  <c:v>29.807307945538739</c:v>
                </c:pt>
                <c:pt idx="264">
                  <c:v>30.036186303424447</c:v>
                </c:pt>
                <c:pt idx="265">
                  <c:v>30.265825196900714</c:v>
                </c:pt>
                <c:pt idx="266">
                  <c:v>30.496222119946506</c:v>
                </c:pt>
                <c:pt idx="267">
                  <c:v>30.727374561653328</c:v>
                </c:pt>
                <c:pt idx="268">
                  <c:v>30.959280006283521</c:v>
                </c:pt>
                <c:pt idx="269">
                  <c:v>31.191935933328271</c:v>
                </c:pt>
                <c:pt idx="270">
                  <c:v>31.425339817565327</c:v>
                </c:pt>
                <c:pt idx="271">
                  <c:v>31.659489129116441</c:v>
                </c:pt>
                <c:pt idx="272">
                  <c:v>31.894381333504512</c:v>
                </c:pt>
                <c:pt idx="273">
                  <c:v>32.130013891710462</c:v>
                </c:pt>
                <c:pt idx="274">
                  <c:v>32.366384260229808</c:v>
                </c:pt>
                <c:pt idx="275">
                  <c:v>32.603489891128959</c:v>
                </c:pt>
                <c:pt idx="276">
                  <c:v>32.841328232101255</c:v>
                </c:pt>
                <c:pt idx="277">
                  <c:v>33.079896726522684</c:v>
                </c:pt>
                <c:pt idx="278">
                  <c:v>33.319192813507343</c:v>
                </c:pt>
                <c:pt idx="279">
                  <c:v>33.55921392796261</c:v>
                </c:pt>
                <c:pt idx="280">
                  <c:v>33.799957500644055</c:v>
                </c:pt>
                <c:pt idx="281">
                  <c:v>34.041420958210054</c:v>
                </c:pt>
                <c:pt idx="282">
                  <c:v>34.283601723276128</c:v>
                </c:pt>
                <c:pt idx="283">
                  <c:v>34.526497214469003</c:v>
                </c:pt>
                <c:pt idx="284">
                  <c:v>34.770105051189034</c:v>
                </c:pt>
                <c:pt idx="285">
                  <c:v>35.014423258663484</c:v>
                </c:pt>
                <c:pt idx="286">
                  <c:v>35.259450063523467</c:v>
                </c:pt>
                <c:pt idx="287">
                  <c:v>35.50518368908147</c:v>
                </c:pt>
                <c:pt idx="288">
                  <c:v>35.751622355368077</c:v>
                </c:pt>
                <c:pt idx="289">
                  <c:v>35.998764279168526</c:v>
                </c:pt>
                <c:pt idx="290">
                  <c:v>36.246607674059092</c:v>
                </c:pt>
                <c:pt idx="291">
                  <c:v>36.495150750443365</c:v>
                </c:pt>
                <c:pt idx="292">
                  <c:v>36.744391715588328</c:v>
                </c:pt>
                <c:pt idx="293">
                  <c:v>36.994328773660314</c:v>
                </c:pt>
                <c:pt idx="294">
                  <c:v>37.244960125760805</c:v>
                </c:pt>
                <c:pt idx="295">
                  <c:v>37.496283969962072</c:v>
                </c:pt>
                <c:pt idx="296">
                  <c:v>37.748298501342653</c:v>
                </c:pt>
                <c:pt idx="297">
                  <c:v>38.001001912022723</c:v>
                </c:pt>
                <c:pt idx="298">
                  <c:v>38.254392391199247</c:v>
                </c:pt>
                <c:pt idx="299">
                  <c:v>38.508468125181039</c:v>
                </c:pt>
                <c:pt idx="300">
                  <c:v>38.763227297423654</c:v>
                </c:pt>
                <c:pt idx="301">
                  <c:v>39.018668088564105</c:v>
                </c:pt>
                <c:pt idx="302">
                  <c:v>39.274788676455458</c:v>
                </c:pt>
                <c:pt idx="303">
                  <c:v>39.531587236201275</c:v>
                </c:pt>
                <c:pt idx="304">
                  <c:v>39.789061940189875</c:v>
                </c:pt>
                <c:pt idx="305">
                  <c:v>40.047210958128488</c:v>
                </c:pt>
                <c:pt idx="306">
                  <c:v>40.306032457077222</c:v>
                </c:pt>
                <c:pt idx="307">
                  <c:v>40.56552460148292</c:v>
                </c:pt>
                <c:pt idx="308">
                  <c:v>40.825685553212807</c:v>
                </c:pt>
                <c:pt idx="309">
                  <c:v>41.086513471588056</c:v>
                </c:pt>
                <c:pt idx="310">
                  <c:v>41.348006513417147</c:v>
                </c:pt>
                <c:pt idx="311">
                  <c:v>41.610162833029108</c:v>
                </c:pt>
                <c:pt idx="312">
                  <c:v>41.872980582306603</c:v>
                </c:pt>
                <c:pt idx="313">
                  <c:v>42.13645791071886</c:v>
                </c:pt>
                <c:pt idx="314">
                  <c:v>42.400592965354456</c:v>
                </c:pt>
                <c:pt idx="315">
                  <c:v>42.66538389095394</c:v>
                </c:pt>
                <c:pt idx="316">
                  <c:v>42.930828829942335</c:v>
                </c:pt>
                <c:pt idx="317">
                  <c:v>43.196925922461453</c:v>
                </c:pt>
                <c:pt idx="318">
                  <c:v>43.4636733064021</c:v>
                </c:pt>
                <c:pt idx="319">
                  <c:v>43.731069117436093</c:v>
                </c:pt>
                <c:pt idx="320">
                  <c:v>43.999111489048161</c:v>
                </c:pt>
                <c:pt idx="321">
                  <c:v>44.267798552567669</c:v>
                </c:pt>
                <c:pt idx="322">
                  <c:v>44.537128437200217</c:v>
                </c:pt>
                <c:pt idx="323">
                  <c:v>44.807099270059062</c:v>
                </c:pt>
                <c:pt idx="324">
                  <c:v>45.077709176196429</c:v>
                </c:pt>
                <c:pt idx="325">
                  <c:v>45.348956278634631</c:v>
                </c:pt>
                <c:pt idx="326">
                  <c:v>45.620838711232672</c:v>
                </c:pt>
                <c:pt idx="327">
                  <c:v>45.893354631566154</c:v>
                </c:pt>
                <c:pt idx="328">
                  <c:v>46.166502208129103</c:v>
                </c:pt>
                <c:pt idx="329">
                  <c:v>46.440279607521688</c:v>
                </c:pt>
                <c:pt idx="330">
                  <c:v>46.714684994479846</c:v>
                </c:pt>
                <c:pt idx="331">
                  <c:v>46.989716531904705</c:v>
                </c:pt>
                <c:pt idx="332">
                  <c:v>47.265372380891918</c:v>
                </c:pt>
                <c:pt idx="333">
                  <c:v>47.541650700760812</c:v>
                </c:pt>
                <c:pt idx="334">
                  <c:v>47.818549649083401</c:v>
                </c:pt>
                <c:pt idx="335">
                  <c:v>48.096067381713283</c:v>
                </c:pt>
                <c:pt idx="336">
                  <c:v>48.374202052814375</c:v>
                </c:pt>
                <c:pt idx="337">
                  <c:v>48.652951814889491</c:v>
                </c:pt>
                <c:pt idx="338">
                  <c:v>48.932314818808813</c:v>
                </c:pt>
                <c:pt idx="339">
                  <c:v>49.212289213838183</c:v>
                </c:pt>
                <c:pt idx="340">
                  <c:v>49.492873147667289</c:v>
                </c:pt>
                <c:pt idx="341">
                  <c:v>49.774064766437668</c:v>
                </c:pt>
                <c:pt idx="342">
                  <c:v>50.055862214770606</c:v>
                </c:pt>
                <c:pt idx="343">
                  <c:v>50.338263635794867</c:v>
                </c:pt>
                <c:pt idx="344">
                  <c:v>50.621267171174296</c:v>
                </c:pt>
                <c:pt idx="345">
                  <c:v>50.904870961135266</c:v>
                </c:pt>
                <c:pt idx="346">
                  <c:v>51.189073144493996</c:v>
                </c:pt>
                <c:pt idx="347">
                  <c:v>51.473871858683722</c:v>
                </c:pt>
                <c:pt idx="348">
                  <c:v>51.759265239781726</c:v>
                </c:pt>
                <c:pt idx="349">
                  <c:v>52.045251422536218</c:v>
                </c:pt>
                <c:pt idx="350">
                  <c:v>52.331828540393076</c:v>
                </c:pt>
                <c:pt idx="351">
                  <c:v>52.618994725522462</c:v>
                </c:pt>
                <c:pt idx="352">
                  <c:v>52.906748108845271</c:v>
                </c:pt>
                <c:pt idx="353">
                  <c:v>53.195086820059444</c:v>
                </c:pt>
                <c:pt idx="354">
                  <c:v>53.484008987666165</c:v>
                </c:pt>
                <c:pt idx="355">
                  <c:v>53.773512738995862</c:v>
                </c:pt>
                <c:pt idx="356">
                  <c:v>54.063596200234137</c:v>
                </c:pt>
                <c:pt idx="357">
                  <c:v>54.354257496447481</c:v>
                </c:pt>
                <c:pt idx="358">
                  <c:v>54.645494751608915</c:v>
                </c:pt>
                <c:pt idx="359">
                  <c:v>54.93730608862343</c:v>
                </c:pt>
                <c:pt idx="360">
                  <c:v>55.229689629353324</c:v>
                </c:pt>
                <c:pt idx="361">
                  <c:v>55.522643494643383</c:v>
                </c:pt>
                <c:pt idx="362">
                  <c:v>55.816165804345943</c:v>
                </c:pt>
                <c:pt idx="363">
                  <c:v>56.110254677345758</c:v>
                </c:pt>
                <c:pt idx="364">
                  <c:v>56.404908231584777</c:v>
                </c:pt>
                <c:pt idx="365">
                  <c:v>56.700124584086772</c:v>
                </c:pt>
                <c:pt idx="366">
                  <c:v>56.995902182282201</c:v>
                </c:pt>
                <c:pt idx="367">
                  <c:v>57.29224013558175</c:v>
                </c:pt>
                <c:pt idx="368">
                  <c:v>57.589137884108403</c:v>
                </c:pt>
                <c:pt idx="369">
                  <c:v>57.886594867173038</c:v>
                </c:pt>
                <c:pt idx="370">
                  <c:v>58.184610523283119</c:v>
                </c:pt>
                <c:pt idx="371">
                  <c:v>58.483184290151414</c:v>
                </c:pt>
                <c:pt idx="372">
                  <c:v>58.782315604704642</c:v>
                </c:pt>
                <c:pt idx="373">
                  <c:v>59.082003903092136</c:v>
                </c:pt>
                <c:pt idx="374">
                  <c:v>59.382248620694476</c:v>
                </c:pt>
                <c:pt idx="375">
                  <c:v>59.68304919213206</c:v>
                </c:pt>
                <c:pt idx="376">
                  <c:v>59.984405051273697</c:v>
                </c:pt>
                <c:pt idx="377">
                  <c:v>60.286315631245138</c:v>
                </c:pt>
                <c:pt idx="378">
                  <c:v>60.588780364437618</c:v>
                </c:pt>
                <c:pt idx="379">
                  <c:v>60.891798682516331</c:v>
                </c:pt>
                <c:pt idx="380">
                  <c:v>61.195370016428924</c:v>
                </c:pt>
                <c:pt idx="381">
                  <c:v>61.499493436519337</c:v>
                </c:pt>
                <c:pt idx="382">
                  <c:v>61.804167292396684</c:v>
                </c:pt>
                <c:pt idx="383">
                  <c:v>62.109389572873617</c:v>
                </c:pt>
                <c:pt idx="384">
                  <c:v>62.415158266157682</c:v>
                </c:pt>
                <c:pt idx="385">
                  <c:v>62.721471359875743</c:v>
                </c:pt>
                <c:pt idx="386">
                  <c:v>63.028326841098256</c:v>
                </c:pt>
                <c:pt idx="387">
                  <c:v>63.335722696363398</c:v>
                </c:pt>
                <c:pt idx="388">
                  <c:v>63.643656911701015</c:v>
                </c:pt>
                <c:pt idx="389">
                  <c:v>63.952127472656443</c:v>
                </c:pt>
                <c:pt idx="390">
                  <c:v>64.261132364314165</c:v>
                </c:pt>
                <c:pt idx="391">
                  <c:v>64.570669571321289</c:v>
                </c:pt>
                <c:pt idx="392">
                  <c:v>64.88073707791095</c:v>
                </c:pt>
                <c:pt idx="393">
                  <c:v>65.191332867925468</c:v>
                </c:pt>
                <c:pt idx="394">
                  <c:v>65.502454924839384</c:v>
                </c:pt>
                <c:pt idx="395">
                  <c:v>65.814101231782388</c:v>
                </c:pt>
                <c:pt idx="396">
                  <c:v>66.126269771562022</c:v>
                </c:pt>
                <c:pt idx="397">
                  <c:v>66.438958526686278</c:v>
                </c:pt>
                <c:pt idx="398">
                  <c:v>66.752165479386036</c:v>
                </c:pt>
                <c:pt idx="399">
                  <c:v>67.065888611637348</c:v>
                </c:pt>
                <c:pt idx="400">
                  <c:v>67.380125905183547</c:v>
                </c:pt>
                <c:pt idx="401">
                  <c:v>67.694875056699317</c:v>
                </c:pt>
                <c:pt idx="402">
                  <c:v>68.010133192800822</c:v>
                </c:pt>
                <c:pt idx="403">
                  <c:v>68.325897155020996</c:v>
                </c:pt>
                <c:pt idx="404">
                  <c:v>68.642163784945978</c:v>
                </c:pt>
                <c:pt idx="405">
                  <c:v>68.958929924251436</c:v>
                </c:pt>
                <c:pt idx="406">
                  <c:v>69.276192414738702</c:v>
                </c:pt>
                <c:pt idx="407">
                  <c:v>69.593948098370433</c:v>
                </c:pt>
                <c:pt idx="408">
                  <c:v>69.91219381730609</c:v>
                </c:pt>
                <c:pt idx="409">
                  <c:v>70.230926413937041</c:v>
                </c:pt>
                <c:pt idx="410">
                  <c:v>70.550142730921365</c:v>
                </c:pt>
                <c:pt idx="411">
                  <c:v>70.869838032593535</c:v>
                </c:pt>
                <c:pt idx="412">
                  <c:v>71.190004425675937</c:v>
                </c:pt>
                <c:pt idx="413">
                  <c:v>71.510632438734518</c:v>
                </c:pt>
                <c:pt idx="414">
                  <c:v>71.831712602400458</c:v>
                </c:pt>
                <c:pt idx="415">
                  <c:v>72.153235449539125</c:v>
                </c:pt>
                <c:pt idx="416">
                  <c:v>72.47519151541681</c:v>
                </c:pt>
                <c:pt idx="417">
                  <c:v>72.797571337865136</c:v>
                </c:pt>
                <c:pt idx="418">
                  <c:v>73.120365457443256</c:v>
                </c:pt>
                <c:pt idx="419">
                  <c:v>73.443564417597727</c:v>
                </c:pt>
                <c:pt idx="420">
                  <c:v>73.76715786449293</c:v>
                </c:pt>
                <c:pt idx="421">
                  <c:v>74.091133646607815</c:v>
                </c:pt>
                <c:pt idx="422">
                  <c:v>74.41547871594112</c:v>
                </c:pt>
                <c:pt idx="423">
                  <c:v>74.740180029503151</c:v>
                </c:pt>
                <c:pt idx="424">
                  <c:v>75.065224549578261</c:v>
                </c:pt>
                <c:pt idx="425">
                  <c:v>75.390599243983203</c:v>
                </c:pt>
                <c:pt idx="426">
                  <c:v>75.716291086321235</c:v>
                </c:pt>
                <c:pt idx="427">
                  <c:v>76.042287056232112</c:v>
                </c:pt>
                <c:pt idx="428">
                  <c:v>76.368574139637957</c:v>
                </c:pt>
                <c:pt idx="429">
                  <c:v>76.695139328984936</c:v>
                </c:pt>
                <c:pt idx="430">
                  <c:v>77.0219696234808</c:v>
                </c:pt>
                <c:pt idx="431">
                  <c:v>77.349052029328334</c:v>
                </c:pt>
                <c:pt idx="432">
                  <c:v>77.676372104143809</c:v>
                </c:pt>
                <c:pt idx="433">
                  <c:v>78.003912501432239</c:v>
                </c:pt>
                <c:pt idx="434">
                  <c:v>78.331654428468966</c:v>
                </c:pt>
                <c:pt idx="435">
                  <c:v>78.659579104231952</c:v>
                </c:pt>
                <c:pt idx="436">
                  <c:v>78.987667759843561</c:v>
                </c:pt>
                <c:pt idx="437">
                  <c:v>79.315901639003812</c:v>
                </c:pt>
                <c:pt idx="438">
                  <c:v>79.644261998415118</c:v>
                </c:pt>
                <c:pt idx="439">
                  <c:v>79.972730108198533</c:v>
                </c:pt>
                <c:pt idx="440">
                  <c:v>80.301287252301492</c:v>
                </c:pt>
                <c:pt idx="441">
                  <c:v>80.629914728897134</c:v>
                </c:pt>
                <c:pt idx="442">
                  <c:v>80.958594737554037</c:v>
                </c:pt>
                <c:pt idx="443">
                  <c:v>81.287311266076685</c:v>
                </c:pt>
                <c:pt idx="444">
                  <c:v>81.61604920255057</c:v>
                </c:pt>
                <c:pt idx="445">
                  <c:v>81.944793447632563</c:v>
                </c:pt>
                <c:pt idx="446">
                  <c:v>82.273528914775241</c:v>
                </c:pt>
                <c:pt idx="447">
                  <c:v>82.602240530445627</c:v>
                </c:pt>
                <c:pt idx="448">
                  <c:v>82.930913234338632</c:v>
                </c:pt>
                <c:pt idx="449">
                  <c:v>83.259531979584906</c:v>
                </c:pt>
                <c:pt idx="450">
                  <c:v>83.588081732953384</c:v>
                </c:pt>
                <c:pt idx="451">
                  <c:v>83.916547475048361</c:v>
                </c:pt>
                <c:pt idx="452">
                  <c:v>84.244914200501213</c:v>
                </c:pt>
                <c:pt idx="453">
                  <c:v>84.573168192314412</c:v>
                </c:pt>
                <c:pt idx="454">
                  <c:v>84.901298295424525</c:v>
                </c:pt>
                <c:pt idx="455">
                  <c:v>85.229294640056196</c:v>
                </c:pt>
                <c:pt idx="456">
                  <c:v>85.557147365787486</c:v>
                </c:pt>
                <c:pt idx="457">
                  <c:v>85.884846621598413</c:v>
                </c:pt>
                <c:pt idx="458">
                  <c:v>86.212382565917324</c:v>
                </c:pt>
                <c:pt idx="459">
                  <c:v>86.539745366665059</c:v>
                </c:pt>
                <c:pt idx="460">
                  <c:v>86.86692520129688</c:v>
                </c:pt>
                <c:pt idx="461">
                  <c:v>87.193913406463864</c:v>
                </c:pt>
                <c:pt idx="462">
                  <c:v>87.520703626862385</c:v>
                </c:pt>
                <c:pt idx="463">
                  <c:v>87.847290663110641</c:v>
                </c:pt>
                <c:pt idx="464">
                  <c:v>88.173669320411193</c:v>
                </c:pt>
                <c:pt idx="465">
                  <c:v>88.499834408539627</c:v>
                </c:pt>
                <c:pt idx="466">
                  <c:v>88.825779774434906</c:v>
                </c:pt>
                <c:pt idx="467">
                  <c:v>89.151497335498561</c:v>
                </c:pt>
                <c:pt idx="468">
                  <c:v>89.476967268583891</c:v>
                </c:pt>
                <c:pt idx="469">
                  <c:v>89.802161404399442</c:v>
                </c:pt>
                <c:pt idx="470">
                  <c:v>90.127067219908298</c:v>
                </c:pt>
                <c:pt idx="471">
                  <c:v>90.451685407138783</c:v>
                </c:pt>
                <c:pt idx="472">
                  <c:v>90.776016655719076</c:v>
                </c:pt>
                <c:pt idx="473">
                  <c:v>91.100061652888584</c:v>
                </c:pt>
                <c:pt idx="474">
                  <c:v>91.423821083509168</c:v>
                </c:pt>
                <c:pt idx="475">
                  <c:v>91.747295630076422</c:v>
                </c:pt>
                <c:pt idx="476">
                  <c:v>92.070485972730765</c:v>
                </c:pt>
                <c:pt idx="477">
                  <c:v>92.39339278926856</c:v>
                </c:pt>
                <c:pt idx="478">
                  <c:v>92.716016755153106</c:v>
                </c:pt>
                <c:pt idx="479">
                  <c:v>93.038358543525604</c:v>
                </c:pt>
                <c:pt idx="480">
                  <c:v>93.36041882521603</c:v>
                </c:pt>
                <c:pt idx="481">
                  <c:v>93.682198268753964</c:v>
                </c:pt>
                <c:pt idx="482">
                  <c:v>94.003697540379335</c:v>
                </c:pt>
                <c:pt idx="483">
                  <c:v>94.324917304053145</c:v>
                </c:pt>
                <c:pt idx="484">
                  <c:v>94.645858221468075</c:v>
                </c:pt>
                <c:pt idx="485">
                  <c:v>94.966520952059071</c:v>
                </c:pt>
                <c:pt idx="486">
                  <c:v>95.286906153013817</c:v>
                </c:pt>
                <c:pt idx="487">
                  <c:v>95.607014479283237</c:v>
                </c:pt>
                <c:pt idx="488">
                  <c:v>95.926846583591839</c:v>
                </c:pt>
                <c:pt idx="489">
                  <c:v>96.24640311644805</c:v>
                </c:pt>
                <c:pt idx="490">
                  <c:v>96.565684726154487</c:v>
                </c:pt>
                <c:pt idx="491">
                  <c:v>96.88469205881816</c:v>
                </c:pt>
                <c:pt idx="492">
                  <c:v>97.203425758360609</c:v>
                </c:pt>
                <c:pt idx="493">
                  <c:v>97.521886466527988</c:v>
                </c:pt>
                <c:pt idx="494">
                  <c:v>97.84007482290113</c:v>
                </c:pt>
                <c:pt idx="495">
                  <c:v>98.157991464905464</c:v>
                </c:pt>
                <c:pt idx="496">
                  <c:v>98.475637027820966</c:v>
                </c:pt>
                <c:pt idx="497">
                  <c:v>98.793012144792002</c:v>
                </c:pt>
                <c:pt idx="498">
                  <c:v>99.110117446837108</c:v>
                </c:pt>
                <c:pt idx="499">
                  <c:v>99.42695356285877</c:v>
                </c:pt>
                <c:pt idx="500">
                  <c:v>99.743521119653082</c:v>
                </c:pt>
                <c:pt idx="501">
                  <c:v>102.89447432075595</c:v>
                </c:pt>
                <c:pt idx="502">
                  <c:v>106.01897392881712</c:v>
                </c:pt>
                <c:pt idx="503">
                  <c:v>109.11762715646719</c:v>
                </c:pt>
                <c:pt idx="504">
                  <c:v>112.19102138441373</c:v>
                </c:pt>
                <c:pt idx="505">
                  <c:v>115.23972503881592</c:v>
                </c:pt>
                <c:pt idx="506">
                  <c:v>118.26428842033155</c:v>
                </c:pt>
                <c:pt idx="507">
                  <c:v>121.26524448801779</c:v>
                </c:pt>
                <c:pt idx="508">
                  <c:v>124.24310960102443</c:v>
                </c:pt>
                <c:pt idx="509">
                  <c:v>127.19838422079663</c:v>
                </c:pt>
                <c:pt idx="510">
                  <c:v>130.13155357630094</c:v>
                </c:pt>
                <c:pt idx="511">
                  <c:v>133.04308829460334</c:v>
                </c:pt>
                <c:pt idx="512">
                  <c:v>135.93344499895741</c:v>
                </c:pt>
                <c:pt idx="513">
                  <c:v>138.80306687640527</c:v>
                </c:pt>
                <c:pt idx="514">
                  <c:v>141.65238421675025</c:v>
                </c:pt>
                <c:pt idx="515">
                  <c:v>144.48181492462916</c:v>
                </c:pt>
                <c:pt idx="516">
                  <c:v>147.29176500629075</c:v>
                </c:pt>
                <c:pt idx="517">
                  <c:v>150.08262903257574</c:v>
                </c:pt>
                <c:pt idx="518">
                  <c:v>152.85479057949112</c:v>
                </c:pt>
                <c:pt idx="519">
                  <c:v>155.60862264767687</c:v>
                </c:pt>
                <c:pt idx="520">
                  <c:v>158.3444880619758</c:v>
                </c:pt>
                <c:pt idx="521">
                  <c:v>161.06273985223697</c:v>
                </c:pt>
                <c:pt idx="522">
                  <c:v>163.76372161640816</c:v>
                </c:pt>
                <c:pt idx="523">
                  <c:v>166.44776786690403</c:v>
                </c:pt>
                <c:pt idx="524">
                  <c:v>169.11520436117306</c:v>
                </c:pt>
                <c:pt idx="525">
                  <c:v>171.76634841732698</c:v>
                </c:pt>
                <c:pt idx="526">
                  <c:v>174.40150921564148</c:v>
                </c:pt>
                <c:pt idx="527">
                  <c:v>177.02098808668623</c:v>
                </c:pt>
                <c:pt idx="528">
                  <c:v>179.62507878679526</c:v>
                </c:pt>
                <c:pt idx="529">
                  <c:v>182.21406776154427</c:v>
                </c:pt>
                <c:pt idx="530">
                  <c:v>184.78823439786123</c:v>
                </c:pt>
                <c:pt idx="531">
                  <c:v>187.34785126535826</c:v>
                </c:pt>
                <c:pt idx="532">
                  <c:v>189.89318434743754</c:v>
                </c:pt>
                <c:pt idx="533">
                  <c:v>192.42449326269116</c:v>
                </c:pt>
                <c:pt idx="534">
                  <c:v>194.94203147708396</c:v>
                </c:pt>
                <c:pt idx="535">
                  <c:v>197.44604650737995</c:v>
                </c:pt>
                <c:pt idx="536">
                  <c:v>199.93678011624581</c:v>
                </c:pt>
                <c:pt idx="537">
                  <c:v>202.41446849944057</c:v>
                </c:pt>
                <c:pt idx="538">
                  <c:v>204.87934246547661</c:v>
                </c:pt>
                <c:pt idx="539">
                  <c:v>207.33162760811567</c:v>
                </c:pt>
                <c:pt idx="540">
                  <c:v>209.77154447204319</c:v>
                </c:pt>
                <c:pt idx="541">
                  <c:v>212.19930871204497</c:v>
                </c:pt>
                <c:pt idx="542">
                  <c:v>214.61513124599213</c:v>
                </c:pt>
                <c:pt idx="543">
                  <c:v>217.01921840192418</c:v>
                </c:pt>
                <c:pt idx="544">
                  <c:v>219.41177205950339</c:v>
                </c:pt>
                <c:pt idx="545">
                  <c:v>221.79298978609987</c:v>
                </c:pt>
                <c:pt idx="546">
                  <c:v>224.16306496775184</c:v>
                </c:pt>
                <c:pt idx="547">
                  <c:v>226.52218693523358</c:v>
                </c:pt>
                <c:pt idx="548">
                  <c:v>228.8705410854507</c:v>
                </c:pt>
                <c:pt idx="549">
                  <c:v>231.20830899837094</c:v>
                </c:pt>
                <c:pt idx="550">
                  <c:v>233.53566854968815</c:v>
                </c:pt>
                <c:pt idx="551">
                  <c:v>235.8527940194067</c:v>
                </c:pt>
                <c:pt idx="552">
                  <c:v>238.15985619652403</c:v>
                </c:pt>
                <c:pt idx="553">
                  <c:v>240.45702247998017</c:v>
                </c:pt>
                <c:pt idx="554">
                  <c:v>242.74445697603429</c:v>
                </c:pt>
                <c:pt idx="555">
                  <c:v>245.02232059222061</c:v>
                </c:pt>
                <c:pt idx="556">
                  <c:v>247.2907711280283</c:v>
                </c:pt>
                <c:pt idx="557">
                  <c:v>249.54996336244264</c:v>
                </c:pt>
                <c:pt idx="558">
                  <c:v>251.80004913847867</c:v>
                </c:pt>
                <c:pt idx="559">
                  <c:v>254.04117744483116</c:v>
                </c:pt>
                <c:pt idx="560">
                  <c:v>256.2734944947598</c:v>
                </c:pt>
                <c:pt idx="561">
                  <c:v>258.49714380232189</c:v>
                </c:pt>
                <c:pt idx="562">
                  <c:v>260.71226625606027</c:v>
                </c:pt>
                <c:pt idx="563">
                  <c:v>262.91900019024825</c:v>
                </c:pt>
                <c:pt idx="564">
                  <c:v>265.11748145378937</c:v>
                </c:pt>
                <c:pt idx="565">
                  <c:v>267.30784347686472</c:v>
                </c:pt>
                <c:pt idx="566">
                  <c:v>269.49021733541628</c:v>
                </c:pt>
                <c:pt idx="567">
                  <c:v>271.66473181355082</c:v>
                </c:pt>
                <c:pt idx="568">
                  <c:v>273.83151346394493</c:v>
                </c:pt>
                <c:pt idx="569">
                  <c:v>275.99068666632797</c:v>
                </c:pt>
                <c:pt idx="570">
                  <c:v>278.14237368411642</c:v>
                </c:pt>
                <c:pt idx="571">
                  <c:v>280.28669471926969</c:v>
                </c:pt>
                <c:pt idx="572">
                  <c:v>282.42376796543431</c:v>
                </c:pt>
                <c:pt idx="573">
                  <c:v>284.55370965944036</c:v>
                </c:pt>
                <c:pt idx="574">
                  <c:v>286.67663413121136</c:v>
                </c:pt>
                <c:pt idx="575">
                  <c:v>288.79265385214569</c:v>
                </c:pt>
                <c:pt idx="576">
                  <c:v>290.90187948202572</c:v>
                </c:pt>
                <c:pt idx="577">
                  <c:v>293.00441991450765</c:v>
                </c:pt>
                <c:pt idx="578">
                  <c:v>295.10038232124339</c:v>
                </c:pt>
                <c:pt idx="579">
                  <c:v>297.18987219468266</c:v>
                </c:pt>
                <c:pt idx="580">
                  <c:v>299.27299338960279</c:v>
                </c:pt>
                <c:pt idx="581">
                  <c:v>301.34984816341006</c:v>
                </c:pt>
                <c:pt idx="582">
                  <c:v>303.42053721525565</c:v>
                </c:pt>
                <c:pt idx="583">
                  <c:v>305.48515972400702</c:v>
                </c:pt>
                <c:pt idx="584">
                  <c:v>307.54381338511348</c:v>
                </c:pt>
                <c:pt idx="585">
                  <c:v>309.59659444640386</c:v>
                </c:pt>
                <c:pt idx="586">
                  <c:v>311.64359774285145</c:v>
                </c:pt>
                <c:pt idx="587">
                  <c:v>313.6849167303406</c:v>
                </c:pt>
                <c:pt idx="588">
                  <c:v>315.72064351846785</c:v>
                </c:pt>
                <c:pt idx="589">
                  <c:v>317.7508689024088</c:v>
                </c:pt>
                <c:pt idx="590">
                  <c:v>319.77568239388023</c:v>
                </c:pt>
                <c:pt idx="591">
                  <c:v>321.79517225122669</c:v>
                </c:pt>
                <c:pt idx="592">
                  <c:v>323.80942550865814</c:v>
                </c:pt>
                <c:pt idx="593">
                  <c:v>325.81852800466544</c:v>
                </c:pt>
                <c:pt idx="594">
                  <c:v>327.82256440963801</c:v>
                </c:pt>
                <c:pt idx="595">
                  <c:v>329.82161825270765</c:v>
                </c:pt>
                <c:pt idx="596">
                  <c:v>331.81577194784091</c:v>
                </c:pt>
                <c:pt idx="597">
                  <c:v>333.80510681920197</c:v>
                </c:pt>
                <c:pt idx="598">
                  <c:v>335.78970312580606</c:v>
                </c:pt>
                <c:pt idx="599">
                  <c:v>337.7696400854831</c:v>
                </c:pt>
                <c:pt idx="600">
                  <c:v>339.74499589816998</c:v>
                </c:pt>
                <c:pt idx="601">
                  <c:v>341.71584776854905</c:v>
                </c:pt>
                <c:pt idx="602">
                  <c:v>343.68227192804909</c:v>
                </c:pt>
                <c:pt idx="603">
                  <c:v>345.64434365622446</c:v>
                </c:pt>
                <c:pt idx="604">
                  <c:v>347.60213730152708</c:v>
                </c:pt>
                <c:pt idx="605">
                  <c:v>349.55572630148487</c:v>
                </c:pt>
                <c:pt idx="606">
                  <c:v>351.50518320229946</c:v>
                </c:pt>
                <c:pt idx="607">
                  <c:v>353.45057967787477</c:v>
                </c:pt>
                <c:pt idx="608">
                  <c:v>355.39198654828755</c:v>
                </c:pt>
                <c:pt idx="609">
                  <c:v>357.32947379770985</c:v>
                </c:pt>
                <c:pt idx="610">
                  <c:v>359.26311059179221</c:v>
                </c:pt>
                <c:pt idx="611">
                  <c:v>361.19296529451589</c:v>
                </c:pt>
                <c:pt idx="612">
                  <c:v>363.11910548452073</c:v>
                </c:pt>
                <c:pt idx="613">
                  <c:v>365.04159797091518</c:v>
                </c:pt>
                <c:pt idx="614">
                  <c:v>366.96050880857285</c:v>
                </c:pt>
                <c:pt idx="615">
                  <c:v>368.87590331292034</c:v>
                </c:pt>
                <c:pt idx="616">
                  <c:v>370.78784607421778</c:v>
                </c:pt>
                <c:pt idx="617">
                  <c:v>372.69640097133521</c:v>
                </c:pt>
                <c:pt idx="618">
                  <c:v>374.60163118502362</c:v>
                </c:pt>
                <c:pt idx="619">
                  <c:v>376.5035992106807</c:v>
                </c:pt>
                <c:pt idx="620">
                  <c:v>378.40236687060849</c:v>
                </c:pt>
                <c:pt idx="621">
                  <c:v>380.29799532575873</c:v>
                </c:pt>
                <c:pt idx="622">
                  <c:v>382.19054508696109</c:v>
                </c:pt>
                <c:pt idx="623">
                  <c:v>384.08007602562662</c:v>
                </c:pt>
                <c:pt idx="624">
                  <c:v>385.96664738391746</c:v>
                </c:pt>
                <c:pt idx="625">
                  <c:v>387.85031778437167</c:v>
                </c:pt>
                <c:pt idx="626">
                  <c:v>389.73114523897056</c:v>
                </c:pt>
                <c:pt idx="627">
                  <c:v>391.60918715763205</c:v>
                </c:pt>
                <c:pt idx="628">
                  <c:v>393.48450035611296</c:v>
                </c:pt>
                <c:pt idx="629">
                  <c:v>395.3571410632984</c:v>
                </c:pt>
                <c:pt idx="630">
                  <c:v>397.22716492785531</c:v>
                </c:pt>
                <c:pt idx="631">
                  <c:v>399.09462702422172</c:v>
                </c:pt>
                <c:pt idx="632">
                  <c:v>400.95958185790181</c:v>
                </c:pt>
                <c:pt idx="633">
                  <c:v>402.82208337003073</c:v>
                </c:pt>
                <c:pt idx="634">
                  <c:v>404.68218494117008</c:v>
                </c:pt>
                <c:pt idx="635">
                  <c:v>406.53993939428949</c:v>
                </c:pt>
                <c:pt idx="636">
                  <c:v>408.39539899688384</c:v>
                </c:pt>
                <c:pt idx="637">
                  <c:v>410.24861546217033</c:v>
                </c:pt>
                <c:pt idx="638">
                  <c:v>412.09963994930206</c:v>
                </c:pt>
                <c:pt idx="639">
                  <c:v>413.94852306252807</c:v>
                </c:pt>
                <c:pt idx="640">
                  <c:v>415.79531484922074</c:v>
                </c:pt>
                <c:pt idx="641">
                  <c:v>417.64006479668308</c:v>
                </c:pt>
                <c:pt idx="642">
                  <c:v>419.48282182763751</c:v>
                </c:pt>
                <c:pt idx="643">
                  <c:v>421.32363429428682</c:v>
                </c:pt>
                <c:pt idx="644">
                  <c:v>423.16254997082603</c:v>
                </c:pt>
                <c:pt idx="645">
                  <c:v>424.99961604426932</c:v>
                </c:pt>
                <c:pt idx="646">
                  <c:v>426.83487910344235</c:v>
                </c:pt>
                <c:pt idx="647">
                  <c:v>428.66838512597292</c:v>
                </c:pt>
                <c:pt idx="648">
                  <c:v>430.500179463096</c:v>
                </c:pt>
                <c:pt idx="649">
                  <c:v>432.33030682206964</c:v>
                </c:pt>
                <c:pt idx="650">
                  <c:v>434.15881124597803</c:v>
                </c:pt>
                <c:pt idx="651">
                  <c:v>435.98573609067654</c:v>
                </c:pt>
                <c:pt idx="652">
                  <c:v>437.81112399861121</c:v>
                </c:pt>
                <c:pt idx="653">
                  <c:v>439.6350168692224</c:v>
                </c:pt>
                <c:pt idx="654">
                  <c:v>441.45745582562074</c:v>
                </c:pt>
                <c:pt idx="655">
                  <c:v>443.27848117720248</c:v>
                </c:pt>
                <c:pt idx="656">
                  <c:v>445.09813237785346</c:v>
                </c:pt>
                <c:pt idx="657">
                  <c:v>446.91644797937937</c:v>
                </c:pt>
                <c:pt idx="658">
                  <c:v>448.73346557979318</c:v>
                </c:pt>
                <c:pt idx="659">
                  <c:v>450.54922176609824</c:v>
                </c:pt>
                <c:pt idx="660">
                  <c:v>452.36375205122522</c:v>
                </c:pt>
                <c:pt idx="661">
                  <c:v>454.17709080482354</c:v>
                </c:pt>
                <c:pt idx="662">
                  <c:v>455.98927117767528</c:v>
                </c:pt>
                <c:pt idx="663">
                  <c:v>457.8003250196017</c:v>
                </c:pt>
                <c:pt idx="664">
                  <c:v>459.61028279087452</c:v>
                </c:pt>
                <c:pt idx="665">
                  <c:v>461.41917346733624</c:v>
                </c:pt>
                <c:pt idx="666">
                  <c:v>463.22702443967756</c:v>
                </c:pt>
                <c:pt idx="667">
                  <c:v>465.03386140762473</c:v>
                </c:pt>
                <c:pt idx="668">
                  <c:v>466.839708270149</c:v>
                </c:pt>
                <c:pt idx="669">
                  <c:v>468.64458701321871</c:v>
                </c:pt>
                <c:pt idx="670">
                  <c:v>470.44851759705392</c:v>
                </c:pt>
                <c:pt idx="671">
                  <c:v>472.25151784528498</c:v>
                </c:pt>
                <c:pt idx="672">
                  <c:v>474.05360333881885</c:v>
                </c:pt>
                <c:pt idx="673">
                  <c:v>475.85478731753335</c:v>
                </c:pt>
                <c:pt idx="674">
                  <c:v>477.65508059309099</c:v>
                </c:pt>
                <c:pt idx="675">
                  <c:v>479.4544914761434</c:v>
                </c:pt>
                <c:pt idx="676">
                  <c:v>481.25302572094517</c:v>
                </c:pt>
                <c:pt idx="677">
                  <c:v>483.05068648989879</c:v>
                </c:pt>
                <c:pt idx="678">
                  <c:v>484.84747433983046</c:v>
                </c:pt>
                <c:pt idx="679">
                  <c:v>486.64338723090395</c:v>
                </c:pt>
                <c:pt idx="680">
                  <c:v>488.43842055809313</c:v>
                </c:pt>
                <c:pt idx="681">
                  <c:v>490.2325672041581</c:v>
                </c:pt>
                <c:pt idx="682">
                  <c:v>492.02581761219329</c:v>
                </c:pt>
                <c:pt idx="683">
                  <c:v>493.81815987512408</c:v>
                </c:pt>
                <c:pt idx="684">
                  <c:v>495.60957983906491</c:v>
                </c:pt>
                <c:pt idx="685">
                  <c:v>497.40006121723491</c:v>
                </c:pt>
                <c:pt idx="686">
                  <c:v>499.1895857111374</c:v>
                </c:pt>
                <c:pt idx="687">
                  <c:v>500.97813313591018</c:v>
                </c:pt>
                <c:pt idx="688">
                  <c:v>502.76568154708701</c:v>
                </c:pt>
                <c:pt idx="689">
                  <c:v>504.55220736642781</c:v>
                </c:pt>
                <c:pt idx="690">
                  <c:v>506.33768550492289</c:v>
                </c:pt>
                <c:pt idx="691">
                  <c:v>508.12208948151664</c:v>
                </c:pt>
                <c:pt idx="692">
                  <c:v>509.90539153650235</c:v>
                </c:pt>
                <c:pt idx="693">
                  <c:v>511.68756273889466</c:v>
                </c:pt>
                <c:pt idx="694">
                  <c:v>513.46857308738356</c:v>
                </c:pt>
                <c:pt idx="695">
                  <c:v>515.24839160471174</c:v>
                </c:pt>
                <c:pt idx="696">
                  <c:v>517.02698642550217</c:v>
                </c:pt>
                <c:pt idx="697">
                  <c:v>518.80432487769747</c:v>
                </c:pt>
                <c:pt idx="698">
                  <c:v>520.5803735578711</c:v>
                </c:pt>
                <c:pt idx="699">
                  <c:v>522.35509840072996</c:v>
                </c:pt>
                <c:pt idx="700">
                  <c:v>524.1284647431695</c:v>
                </c:pt>
                <c:pt idx="701">
                  <c:v>525.90043738325573</c:v>
                </c:pt>
                <c:pt idx="702">
                  <c:v>527.67098063451544</c:v>
                </c:pt>
                <c:pt idx="703">
                  <c:v>529.44005837590566</c:v>
                </c:pt>
                <c:pt idx="704">
                  <c:v>531.20763409782035</c:v>
                </c:pt>
                <c:pt idx="705">
                  <c:v>532.97367094447372</c:v>
                </c:pt>
                <c:pt idx="706">
                  <c:v>534.73813175297676</c:v>
                </c:pt>
                <c:pt idx="707">
                  <c:v>536.50097908940097</c:v>
                </c:pt>
                <c:pt idx="708">
                  <c:v>538.26217528210134</c:v>
                </c:pt>
                <c:pt idx="709">
                  <c:v>540.02168245254597</c:v>
                </c:pt>
                <c:pt idx="710">
                  <c:v>541.77946254388041</c:v>
                </c:pt>
                <c:pt idx="711">
                  <c:v>543.53547734743131</c:v>
                </c:pt>
                <c:pt idx="712">
                  <c:v>545.28968852733806</c:v>
                </c:pt>
                <c:pt idx="713">
                  <c:v>547.04205764348103</c:v>
                </c:pt>
                <c:pt idx="714">
                  <c:v>548.79254617285972</c:v>
                </c:pt>
                <c:pt idx="715">
                  <c:v>550.54111552955874</c:v>
                </c:pt>
                <c:pt idx="716">
                  <c:v>552.28772708342785</c:v>
                </c:pt>
                <c:pt idx="717">
                  <c:v>554.03234217758666</c:v>
                </c:pt>
                <c:pt idx="718">
                  <c:v>555.77492214485756</c:v>
                </c:pt>
                <c:pt idx="719">
                  <c:v>557.51542832321707</c:v>
                </c:pt>
                <c:pt idx="720">
                  <c:v>559.2538220703492</c:v>
                </c:pt>
                <c:pt idx="721">
                  <c:v>560.9900647773751</c:v>
                </c:pt>
                <c:pt idx="722">
                  <c:v>562.72411788182615</c:v>
                </c:pt>
                <c:pt idx="723">
                  <c:v>564.45594287992162</c:v>
                </c:pt>
                <c:pt idx="724">
                  <c:v>566.185501338206</c:v>
                </c:pt>
                <c:pt idx="725">
                  <c:v>567.91275490459554</c:v>
                </c:pt>
                <c:pt idx="726">
                  <c:v>569.63766531887893</c:v>
                </c:pt>
                <c:pt idx="727">
                  <c:v>571.36019442271311</c:v>
                </c:pt>
                <c:pt idx="728">
                  <c:v>573.08030416915108</c:v>
                </c:pt>
                <c:pt idx="729">
                  <c:v>574.79795663173547</c:v>
                </c:pt>
                <c:pt idx="730">
                  <c:v>576.51311401318787</c:v>
                </c:pt>
                <c:pt idx="731">
                  <c:v>578.22573865372181</c:v>
                </c:pt>
                <c:pt idx="732">
                  <c:v>579.93579303900469</c:v>
                </c:pt>
                <c:pt idx="733">
                  <c:v>581.6432398077917</c:v>
                </c:pt>
                <c:pt idx="734">
                  <c:v>583.34804175925206</c:v>
                </c:pt>
                <c:pt idx="735">
                  <c:v>585.05016186000705</c:v>
                </c:pt>
                <c:pt idx="736">
                  <c:v>586.74956325089693</c:v>
                </c:pt>
                <c:pt idx="737">
                  <c:v>588.44620925349341</c:v>
                </c:pt>
                <c:pt idx="738">
                  <c:v>590.14006337637056</c:v>
                </c:pt>
                <c:pt idx="739">
                  <c:v>591.83108932114942</c:v>
                </c:pt>
                <c:pt idx="740">
                  <c:v>593.51925098832692</c:v>
                </c:pt>
                <c:pt idx="741">
                  <c:v>595.20451248290112</c:v>
                </c:pt>
                <c:pt idx="742">
                  <c:v>596.88683811980263</c:v>
                </c:pt>
                <c:pt idx="743">
                  <c:v>598.56619242914178</c:v>
                </c:pt>
                <c:pt idx="744">
                  <c:v>600.24254016128009</c:v>
                </c:pt>
                <c:pt idx="745">
                  <c:v>601.91584629173394</c:v>
                </c:pt>
                <c:pt idx="746">
                  <c:v>603.58607602591815</c:v>
                </c:pt>
                <c:pt idx="747">
                  <c:v>605.2531948037356</c:v>
                </c:pt>
                <c:pt idx="748">
                  <c:v>606.91716830401947</c:v>
                </c:pt>
                <c:pt idx="749">
                  <c:v>608.577962448834</c:v>
                </c:pt>
                <c:pt idx="750">
                  <c:v>610.23554340763872</c:v>
                </c:pt>
                <c:pt idx="751">
                  <c:v>611.88987760132125</c:v>
                </c:pt>
                <c:pt idx="752">
                  <c:v>613.54093170610327</c:v>
                </c:pt>
                <c:pt idx="753">
                  <c:v>615.18867265732376</c:v>
                </c:pt>
                <c:pt idx="754">
                  <c:v>616.8330676531034</c:v>
                </c:pt>
                <c:pt idx="755">
                  <c:v>618.47408415789391</c:v>
                </c:pt>
                <c:pt idx="756">
                  <c:v>620.11168990591568</c:v>
                </c:pt>
                <c:pt idx="757">
                  <c:v>621.7458529044867</c:v>
                </c:pt>
                <c:pt idx="758">
                  <c:v>623.37654143724581</c:v>
                </c:pt>
                <c:pt idx="759">
                  <c:v>625.00372406727274</c:v>
                </c:pt>
                <c:pt idx="760">
                  <c:v>626.62736964010844</c:v>
                </c:pt>
                <c:pt idx="761">
                  <c:v>628.24744728667667</c:v>
                </c:pt>
                <c:pt idx="762">
                  <c:v>629.86392642610986</c:v>
                </c:pt>
                <c:pt idx="763">
                  <c:v>631.47677676848173</c:v>
                </c:pt>
                <c:pt idx="764">
                  <c:v>633.08596831744785</c:v>
                </c:pt>
                <c:pt idx="765">
                  <c:v>634.69147137279629</c:v>
                </c:pt>
                <c:pt idx="766">
                  <c:v>636.29325653290994</c:v>
                </c:pt>
                <c:pt idx="767">
                  <c:v>637.89129469714305</c:v>
                </c:pt>
                <c:pt idx="768">
                  <c:v>639.48555706811169</c:v>
                </c:pt>
                <c:pt idx="769">
                  <c:v>641.07601515390161</c:v>
                </c:pt>
                <c:pt idx="770">
                  <c:v>642.66264077019366</c:v>
                </c:pt>
                <c:pt idx="771">
                  <c:v>644.24540604230822</c:v>
                </c:pt>
                <c:pt idx="772">
                  <c:v>645.82428340717013</c:v>
                </c:pt>
                <c:pt idx="773">
                  <c:v>647.39924561519581</c:v>
                </c:pt>
                <c:pt idx="774">
                  <c:v>648.97026573210201</c:v>
                </c:pt>
                <c:pt idx="775">
                  <c:v>650.53731714063963</c:v>
                </c:pt>
                <c:pt idx="776">
                  <c:v>652.10037354225153</c:v>
                </c:pt>
                <c:pt idx="777">
                  <c:v>653.65940895865685</c:v>
                </c:pt>
                <c:pt idx="778">
                  <c:v>655.21439773336158</c:v>
                </c:pt>
                <c:pt idx="779">
                  <c:v>656.76531453309747</c:v>
                </c:pt>
                <c:pt idx="780">
                  <c:v>658.31213434918914</c:v>
                </c:pt>
                <c:pt idx="781">
                  <c:v>659.85483249885124</c:v>
                </c:pt>
                <c:pt idx="782">
                  <c:v>661.39338462641535</c:v>
                </c:pt>
                <c:pt idx="783">
                  <c:v>662.92776670448848</c:v>
                </c:pt>
                <c:pt idx="784">
                  <c:v>664.4579550350436</c:v>
                </c:pt>
                <c:pt idx="785">
                  <c:v>665.98392625044244</c:v>
                </c:pt>
                <c:pt idx="786">
                  <c:v>667.50565731439247</c:v>
                </c:pt>
                <c:pt idx="787">
                  <c:v>669.0231255228374</c:v>
                </c:pt>
                <c:pt idx="788">
                  <c:v>670.53630850478316</c:v>
                </c:pt>
                <c:pt idx="789">
                  <c:v>672.04518422305944</c:v>
                </c:pt>
                <c:pt idx="790">
                  <c:v>673.54973097501727</c:v>
                </c:pt>
                <c:pt idx="791">
                  <c:v>675.04992739316424</c:v>
                </c:pt>
                <c:pt idx="792">
                  <c:v>676.54575244573675</c:v>
                </c:pt>
                <c:pt idx="793">
                  <c:v>678.03718543721129</c:v>
                </c:pt>
                <c:pt idx="794">
                  <c:v>679.5242060087545</c:v>
                </c:pt>
                <c:pt idx="795">
                  <c:v>681.00679413861292</c:v>
                </c:pt>
                <c:pt idx="796">
                  <c:v>682.48493014244309</c:v>
                </c:pt>
                <c:pt idx="797">
                  <c:v>683.95859467358309</c:v>
                </c:pt>
                <c:pt idx="798">
                  <c:v>685.4277687232651</c:v>
                </c:pt>
                <c:pt idx="799">
                  <c:v>686.89243362077059</c:v>
                </c:pt>
                <c:pt idx="800">
                  <c:v>688.35257103352876</c:v>
                </c:pt>
                <c:pt idx="801">
                  <c:v>689.80816296715807</c:v>
                </c:pt>
                <c:pt idx="802">
                  <c:v>691.2591917654521</c:v>
                </c:pt>
                <c:pt idx="803">
                  <c:v>692.70564011031058</c:v>
                </c:pt>
                <c:pt idx="804">
                  <c:v>694.14749102161534</c:v>
                </c:pt>
                <c:pt idx="805">
                  <c:v>695.58472785705305</c:v>
                </c:pt>
                <c:pt idx="806">
                  <c:v>697.01733431188427</c:v>
                </c:pt>
                <c:pt idx="807">
                  <c:v>698.44529441865973</c:v>
                </c:pt>
                <c:pt idx="808">
                  <c:v>699.86859254688534</c:v>
                </c:pt>
                <c:pt idx="809">
                  <c:v>701.28721340263496</c:v>
                </c:pt>
                <c:pt idx="810">
                  <c:v>702.70114202811317</c:v>
                </c:pt>
                <c:pt idx="811">
                  <c:v>704.11036380116752</c:v>
                </c:pt>
                <c:pt idx="812">
                  <c:v>705.51486443475164</c:v>
                </c:pt>
                <c:pt idx="813">
                  <c:v>706.91462997633914</c:v>
                </c:pt>
                <c:pt idx="814">
                  <c:v>708.30964680728994</c:v>
                </c:pt>
                <c:pt idx="815">
                  <c:v>709.69990164216858</c:v>
                </c:pt>
                <c:pt idx="816">
                  <c:v>711.085381528016</c:v>
                </c:pt>
                <c:pt idx="817">
                  <c:v>712.46607384357458</c:v>
                </c:pt>
                <c:pt idx="818">
                  <c:v>713.84196629846838</c:v>
                </c:pt>
                <c:pt idx="819">
                  <c:v>715.21304693233765</c:v>
                </c:pt>
                <c:pt idx="820">
                  <c:v>716.57930411392977</c:v>
                </c:pt>
                <c:pt idx="821">
                  <c:v>717.9407265401461</c:v>
                </c:pt>
                <c:pt idx="822">
                  <c:v>719.29730323504577</c:v>
                </c:pt>
                <c:pt idx="823">
                  <c:v>720.64902354880769</c:v>
                </c:pt>
                <c:pt idx="824">
                  <c:v>721.99587715665041</c:v>
                </c:pt>
                <c:pt idx="825">
                  <c:v>723.3378540577113</c:v>
                </c:pt>
                <c:pt idx="826">
                  <c:v>724.674944573885</c:v>
                </c:pt>
                <c:pt idx="827">
                  <c:v>726.00713934862267</c:v>
                </c:pt>
                <c:pt idx="828">
                  <c:v>727.33442934569212</c:v>
                </c:pt>
                <c:pt idx="829">
                  <c:v>728.65680584789902</c:v>
                </c:pt>
                <c:pt idx="830">
                  <c:v>729.97426045577163</c:v>
                </c:pt>
                <c:pt idx="831">
                  <c:v>731.28678508620703</c:v>
                </c:pt>
                <c:pt idx="832">
                  <c:v>732.5943719710823</c:v>
                </c:pt>
                <c:pt idx="833">
                  <c:v>733.89701365582926</c:v>
                </c:pt>
                <c:pt idx="834">
                  <c:v>735.19470299797467</c:v>
                </c:pt>
                <c:pt idx="835">
                  <c:v>736.48743316564571</c:v>
                </c:pt>
                <c:pt idx="836">
                  <c:v>737.77519763604198</c:v>
                </c:pt>
                <c:pt idx="837">
                  <c:v>739.05799019387473</c:v>
                </c:pt>
                <c:pt idx="838">
                  <c:v>740.33580492977308</c:v>
                </c:pt>
                <c:pt idx="839">
                  <c:v>741.60863623865964</c:v>
                </c:pt>
                <c:pt idx="840">
                  <c:v>742.87647881809437</c:v>
                </c:pt>
                <c:pt idx="841">
                  <c:v>744.13932766658809</c:v>
                </c:pt>
                <c:pt idx="842">
                  <c:v>745.39717808188698</c:v>
                </c:pt>
                <c:pt idx="843">
                  <c:v>746.65002565922759</c:v>
                </c:pt>
                <c:pt idx="844">
                  <c:v>747.89786628956381</c:v>
                </c:pt>
                <c:pt idx="845">
                  <c:v>749.14069615776611</c:v>
                </c:pt>
                <c:pt idx="846">
                  <c:v>750.37851174079378</c:v>
                </c:pt>
                <c:pt idx="847">
                  <c:v>751.61130980584107</c:v>
                </c:pt>
                <c:pt idx="848">
                  <c:v>752.83908740845754</c:v>
                </c:pt>
                <c:pt idx="849">
                  <c:v>754.06184189064334</c:v>
                </c:pt>
                <c:pt idx="850">
                  <c:v>755.27957087892048</c:v>
                </c:pt>
                <c:pt idx="851">
                  <c:v>756.49227228238044</c:v>
                </c:pt>
                <c:pt idx="852">
                  <c:v>757.69994429070823</c:v>
                </c:pt>
                <c:pt idx="853">
                  <c:v>758.90258537218517</c:v>
                </c:pt>
                <c:pt idx="854">
                  <c:v>760.10019427166878</c:v>
                </c:pt>
                <c:pt idx="855">
                  <c:v>761.29277000855257</c:v>
                </c:pt>
                <c:pt idx="856">
                  <c:v>762.48031187470519</c:v>
                </c:pt>
                <c:pt idx="857">
                  <c:v>763.66281943238937</c:v>
                </c:pt>
                <c:pt idx="858">
                  <c:v>764.84029251216259</c:v>
                </c:pt>
                <c:pt idx="859">
                  <c:v>766.0127312107586</c:v>
                </c:pt>
                <c:pt idx="860">
                  <c:v>767.18013588895167</c:v>
                </c:pt>
                <c:pt idx="861">
                  <c:v>768.34250716940312</c:v>
                </c:pt>
                <c:pt idx="862">
                  <c:v>769.49984593449153</c:v>
                </c:pt>
                <c:pt idx="863">
                  <c:v>770.6521533241272</c:v>
                </c:pt>
                <c:pt idx="864">
                  <c:v>771.79943073355105</c:v>
                </c:pt>
                <c:pt idx="865">
                  <c:v>772.94167981111889</c:v>
                </c:pt>
                <c:pt idx="866">
                  <c:v>774.07890245607177</c:v>
                </c:pt>
                <c:pt idx="867">
                  <c:v>775.21110081629229</c:v>
                </c:pt>
                <c:pt idx="868">
                  <c:v>776.33827728604899</c:v>
                </c:pt>
                <c:pt idx="869">
                  <c:v>777.46043450372747</c:v>
                </c:pt>
                <c:pt idx="870">
                  <c:v>778.57757534955067</c:v>
                </c:pt>
                <c:pt idx="871">
                  <c:v>779.68970294328722</c:v>
                </c:pt>
                <c:pt idx="872">
                  <c:v>780.79682064195026</c:v>
                </c:pt>
                <c:pt idx="873">
                  <c:v>781.89893203748545</c:v>
                </c:pt>
                <c:pt idx="874">
                  <c:v>782.99604095445022</c:v>
                </c:pt>
                <c:pt idx="875">
                  <c:v>784.08815144768391</c:v>
                </c:pt>
                <c:pt idx="876">
                  <c:v>785.17526779997002</c:v>
                </c:pt>
                <c:pt idx="877">
                  <c:v>786.25739451969048</c:v>
                </c:pt>
                <c:pt idx="878">
                  <c:v>787.33453633847284</c:v>
                </c:pt>
                <c:pt idx="879">
                  <c:v>788.40669820883136</c:v>
                </c:pt>
                <c:pt idx="880">
                  <c:v>789.47388530180137</c:v>
                </c:pt>
                <c:pt idx="881">
                  <c:v>790.53610300456899</c:v>
                </c:pt>
                <c:pt idx="882">
                  <c:v>791.59335691809508</c:v>
                </c:pt>
                <c:pt idx="883">
                  <c:v>792.64565285473532</c:v>
                </c:pt>
                <c:pt idx="884">
                  <c:v>793.69299683585643</c:v>
                </c:pt>
                <c:pt idx="885">
                  <c:v>794.7353950894485</c:v>
                </c:pt>
                <c:pt idx="886">
                  <c:v>795.772854047735</c:v>
                </c:pt>
                <c:pt idx="887">
                  <c:v>796.80538034478002</c:v>
                </c:pt>
                <c:pt idx="888">
                  <c:v>797.83298081409396</c:v>
                </c:pt>
                <c:pt idx="889">
                  <c:v>798.85566248623752</c:v>
                </c:pt>
                <c:pt idx="890">
                  <c:v>799.873432586425</c:v>
                </c:pt>
                <c:pt idx="891">
                  <c:v>800.88629853212683</c:v>
                </c:pt>
                <c:pt idx="892">
                  <c:v>801.89426793067275</c:v>
                </c:pt>
                <c:pt idx="893">
                  <c:v>802.89734857685482</c:v>
                </c:pt>
                <c:pt idx="894">
                  <c:v>803.89554845053169</c:v>
                </c:pt>
                <c:pt idx="895">
                  <c:v>804.88887571423425</c:v>
                </c:pt>
                <c:pt idx="896">
                  <c:v>805.87733871077307</c:v>
                </c:pt>
                <c:pt idx="897">
                  <c:v>806.8609459608482</c:v>
                </c:pt>
                <c:pt idx="898">
                  <c:v>807.83970616066131</c:v>
                </c:pt>
                <c:pt idx="899">
                  <c:v>808.81362817953152</c:v>
                </c:pt>
                <c:pt idx="900">
                  <c:v>809.78272105751444</c:v>
                </c:pt>
                <c:pt idx="901">
                  <c:v>810.74699400302472</c:v>
                </c:pt>
                <c:pt idx="902">
                  <c:v>811.70645639046404</c:v>
                </c:pt>
                <c:pt idx="903">
                  <c:v>812.66111775785259</c:v>
                </c:pt>
                <c:pt idx="904">
                  <c:v>813.61098780446662</c:v>
                </c:pt>
                <c:pt idx="905">
                  <c:v>814.55607638848073</c:v>
                </c:pt>
                <c:pt idx="906">
                  <c:v>815.49639352461668</c:v>
                </c:pt>
                <c:pt idx="907">
                  <c:v>816.43194938179795</c:v>
                </c:pt>
                <c:pt idx="908">
                  <c:v>817.36275428081126</c:v>
                </c:pt>
                <c:pt idx="909">
                  <c:v>818.2888186919746</c:v>
                </c:pt>
                <c:pt idx="910">
                  <c:v>819.2101532328129</c:v>
                </c:pt>
                <c:pt idx="911">
                  <c:v>820.12676866574111</c:v>
                </c:pt>
                <c:pt idx="912">
                  <c:v>821.03867589575555</c:v>
                </c:pt>
                <c:pt idx="913">
                  <c:v>821.94588596813287</c:v>
                </c:pt>
                <c:pt idx="914">
                  <c:v>822.8484100661384</c:v>
                </c:pt>
                <c:pt idx="915">
                  <c:v>823.7462595087427</c:v>
                </c:pt>
                <c:pt idx="916">
                  <c:v>824.63944574834784</c:v>
                </c:pt>
                <c:pt idx="917">
                  <c:v>825.52798036852278</c:v>
                </c:pt>
                <c:pt idx="918">
                  <c:v>826.4118750817488</c:v>
                </c:pt>
                <c:pt idx="919">
                  <c:v>827.29114172717482</c:v>
                </c:pt>
                <c:pt idx="920">
                  <c:v>828.16579226838303</c:v>
                </c:pt>
                <c:pt idx="921">
                  <c:v>829.03583879116536</c:v>
                </c:pt>
                <c:pt idx="922">
                  <c:v>829.90129350131053</c:v>
                </c:pt>
                <c:pt idx="923">
                  <c:v>830.76216872240252</c:v>
                </c:pt>
                <c:pt idx="924">
                  <c:v>831.6184768936298</c:v>
                </c:pt>
                <c:pt idx="925">
                  <c:v>832.47023056760713</c:v>
                </c:pt>
                <c:pt idx="926">
                  <c:v>833.31744240820819</c:v>
                </c:pt>
                <c:pt idx="927">
                  <c:v>834.16012518841114</c:v>
                </c:pt>
                <c:pt idx="928">
                  <c:v>834.9982917881556</c:v>
                </c:pt>
                <c:pt idx="929">
                  <c:v>835.83195519221294</c:v>
                </c:pt>
                <c:pt idx="930">
                  <c:v>836.66112848806893</c:v>
                </c:pt>
                <c:pt idx="931">
                  <c:v>837.48582486381895</c:v>
                </c:pt>
                <c:pt idx="932">
                  <c:v>838.30605760607705</c:v>
                </c:pt>
                <c:pt idx="933">
                  <c:v>839.12184009789769</c:v>
                </c:pt>
                <c:pt idx="934">
                  <c:v>839.9331858167111</c:v>
                </c:pt>
                <c:pt idx="935">
                  <c:v>840.74010833227248</c:v>
                </c:pt>
                <c:pt idx="936">
                  <c:v>841.54262130462484</c:v>
                </c:pt>
                <c:pt idx="937">
                  <c:v>842.34073848207584</c:v>
                </c:pt>
                <c:pt idx="938">
                  <c:v>843.1344736991889</c:v>
                </c:pt>
                <c:pt idx="939">
                  <c:v>843.92384087478843</c:v>
                </c:pt>
                <c:pt idx="940">
                  <c:v>844.70885400997952</c:v>
                </c:pt>
                <c:pt idx="941">
                  <c:v>845.48952718618239</c:v>
                </c:pt>
                <c:pt idx="942">
                  <c:v>846.26587456318123</c:v>
                </c:pt>
                <c:pt idx="943">
                  <c:v>847.03791037718827</c:v>
                </c:pt>
                <c:pt idx="944">
                  <c:v>847.80564893892256</c:v>
                </c:pt>
                <c:pt idx="945">
                  <c:v>848.56910463170368</c:v>
                </c:pt>
                <c:pt idx="946">
                  <c:v>848.56910463170368</c:v>
                </c:pt>
                <c:pt idx="947">
                  <c:v>848.56910463170368</c:v>
                </c:pt>
                <c:pt idx="948">
                  <c:v>848.56910463170368</c:v>
                </c:pt>
                <c:pt idx="949">
                  <c:v>848.56910463170368</c:v>
                </c:pt>
                <c:pt idx="950">
                  <c:v>848.56910463170368</c:v>
                </c:pt>
                <c:pt idx="951">
                  <c:v>848.56910463170368</c:v>
                </c:pt>
                <c:pt idx="952">
                  <c:v>848.56910463170368</c:v>
                </c:pt>
                <c:pt idx="953">
                  <c:v>848.56910463170368</c:v>
                </c:pt>
                <c:pt idx="954">
                  <c:v>848.56910463170368</c:v>
                </c:pt>
                <c:pt idx="955">
                  <c:v>848.56910463170368</c:v>
                </c:pt>
                <c:pt idx="956">
                  <c:v>848.56910463170368</c:v>
                </c:pt>
                <c:pt idx="957">
                  <c:v>848.56910463170368</c:v>
                </c:pt>
                <c:pt idx="958">
                  <c:v>848.56910463170368</c:v>
                </c:pt>
                <c:pt idx="959">
                  <c:v>848.56910463170368</c:v>
                </c:pt>
                <c:pt idx="960">
                  <c:v>848.56910463170368</c:v>
                </c:pt>
                <c:pt idx="961">
                  <c:v>848.56910463170368</c:v>
                </c:pt>
                <c:pt idx="962">
                  <c:v>848.56910463170368</c:v>
                </c:pt>
                <c:pt idx="963">
                  <c:v>848.56910463170368</c:v>
                </c:pt>
                <c:pt idx="964">
                  <c:v>848.56910463170368</c:v>
                </c:pt>
                <c:pt idx="965">
                  <c:v>848.56910463170368</c:v>
                </c:pt>
                <c:pt idx="966">
                  <c:v>848.56910463170368</c:v>
                </c:pt>
                <c:pt idx="967">
                  <c:v>848.56910463170368</c:v>
                </c:pt>
                <c:pt idx="968">
                  <c:v>848.56910463170368</c:v>
                </c:pt>
                <c:pt idx="969">
                  <c:v>848.56910463170368</c:v>
                </c:pt>
                <c:pt idx="970">
                  <c:v>848.56910463170368</c:v>
                </c:pt>
                <c:pt idx="971">
                  <c:v>848.56910463170368</c:v>
                </c:pt>
                <c:pt idx="972">
                  <c:v>848.56910463170368</c:v>
                </c:pt>
                <c:pt idx="973">
                  <c:v>848.56910463170368</c:v>
                </c:pt>
                <c:pt idx="974">
                  <c:v>848.56910463170368</c:v>
                </c:pt>
                <c:pt idx="975">
                  <c:v>848.56910463170368</c:v>
                </c:pt>
                <c:pt idx="976">
                  <c:v>848.56910463170368</c:v>
                </c:pt>
                <c:pt idx="977">
                  <c:v>848.56910463170368</c:v>
                </c:pt>
                <c:pt idx="978">
                  <c:v>848.56910463170368</c:v>
                </c:pt>
                <c:pt idx="979">
                  <c:v>848.56910463170368</c:v>
                </c:pt>
                <c:pt idx="980">
                  <c:v>848.56910463170368</c:v>
                </c:pt>
                <c:pt idx="981">
                  <c:v>848.56910463170368</c:v>
                </c:pt>
                <c:pt idx="982">
                  <c:v>848.56910463170368</c:v>
                </c:pt>
                <c:pt idx="983">
                  <c:v>848.56910463170368</c:v>
                </c:pt>
                <c:pt idx="984">
                  <c:v>848.56910463170368</c:v>
                </c:pt>
                <c:pt idx="985">
                  <c:v>848.56910463170368</c:v>
                </c:pt>
                <c:pt idx="986">
                  <c:v>848.56910463170368</c:v>
                </c:pt>
                <c:pt idx="987">
                  <c:v>848.56910463170368</c:v>
                </c:pt>
                <c:pt idx="988">
                  <c:v>848.56910463170368</c:v>
                </c:pt>
                <c:pt idx="989">
                  <c:v>848.56910463170368</c:v>
                </c:pt>
                <c:pt idx="990">
                  <c:v>848.56910463170368</c:v>
                </c:pt>
                <c:pt idx="991">
                  <c:v>848.56910463170368</c:v>
                </c:pt>
                <c:pt idx="992">
                  <c:v>848.56910463170368</c:v>
                </c:pt>
                <c:pt idx="993">
                  <c:v>848.56910463170368</c:v>
                </c:pt>
                <c:pt idx="994">
                  <c:v>848.56910463170368</c:v>
                </c:pt>
                <c:pt idx="995">
                  <c:v>848.56910463170368</c:v>
                </c:pt>
                <c:pt idx="996">
                  <c:v>848.56910463170368</c:v>
                </c:pt>
                <c:pt idx="997">
                  <c:v>848.56910463170368</c:v>
                </c:pt>
                <c:pt idx="998">
                  <c:v>848.56910463170368</c:v>
                </c:pt>
                <c:pt idx="999">
                  <c:v>848.56910463170368</c:v>
                </c:pt>
                <c:pt idx="1000">
                  <c:v>848.56910463170368</c:v>
                </c:pt>
              </c:numCache>
            </c:numRef>
          </c:xVal>
          <c:yVal>
            <c:numRef>
              <c:f>Calculs!$AE$4:$AE$1004</c:f>
              <c:numCache>
                <c:formatCode>0</c:formatCode>
                <c:ptCount val="1001"/>
                <c:pt idx="0">
                  <c:v>0</c:v>
                </c:pt>
                <c:pt idx="1">
                  <c:v>4.8454537426533613E-4</c:v>
                </c:pt>
                <c:pt idx="2">
                  <c:v>3.0098523531846906E-3</c:v>
                </c:pt>
                <c:pt idx="3">
                  <c:v>9.0924669372744408E-3</c:v>
                </c:pt>
                <c:pt idx="4">
                  <c:v>1.9622488329450273E-2</c:v>
                </c:pt>
                <c:pt idx="5">
                  <c:v>3.5490770437777167E-2</c:v>
                </c:pt>
                <c:pt idx="6">
                  <c:v>5.7589035102754378E-2</c:v>
                </c:pt>
                <c:pt idx="7">
                  <c:v>8.6809984293011788E-2</c:v>
                </c:pt>
                <c:pt idx="8">
                  <c:v>0.12404741131150263</c:v>
                </c:pt>
                <c:pt idx="9">
                  <c:v>0.17019631105286553</c:v>
                </c:pt>
                <c:pt idx="10">
                  <c:v>0.22615298935126302</c:v>
                </c:pt>
                <c:pt idx="11">
                  <c:v>0.29255910031611482</c:v>
                </c:pt>
                <c:pt idx="12">
                  <c:v>0.36954504731527471</c:v>
                </c:pt>
                <c:pt idx="13">
                  <c:v>0.45698322648663359</c:v>
                </c:pt>
                <c:pt idx="14">
                  <c:v>0.55474185008536059</c:v>
                </c:pt>
                <c:pt idx="15">
                  <c:v>0.66268689479262965</c:v>
                </c:pt>
                <c:pt idx="16">
                  <c:v>0.78068405450253586</c:v>
                </c:pt>
                <c:pt idx="17">
                  <c:v>0.90859874514596273</c:v>
                </c:pt>
                <c:pt idx="18">
                  <c:v>1.0462961095112582</c:v>
                </c:pt>
                <c:pt idx="19">
                  <c:v>1.1936410220609734</c:v>
                </c:pt>
                <c:pt idx="20">
                  <c:v>1.3504980937439244</c:v>
                </c:pt>
                <c:pt idx="21">
                  <c:v>1.5167316768018404</c:v>
                </c:pt>
                <c:pt idx="22">
                  <c:v>1.6922058695698703</c:v>
                </c:pt>
                <c:pt idx="23">
                  <c:v>1.8767845212702179</c:v>
                </c:pt>
                <c:pt idx="24">
                  <c:v>2.070331236798189</c:v>
                </c:pt>
                <c:pt idx="25">
                  <c:v>2.2727093814999333</c:v>
                </c:pt>
                <c:pt idx="26">
                  <c:v>2.4837820859411726</c:v>
                </c:pt>
                <c:pt idx="27">
                  <c:v>2.7034466785245099</c:v>
                </c:pt>
                <c:pt idx="28">
                  <c:v>2.9316691784966009</c:v>
                </c:pt>
                <c:pt idx="29">
                  <c:v>3.1684499594633553</c:v>
                </c:pt>
                <c:pt idx="30">
                  <c:v>3.4137893501040186</c:v>
                </c:pt>
                <c:pt idx="31">
                  <c:v>3.6676876341132512</c:v>
                </c:pt>
                <c:pt idx="32">
                  <c:v>3.9301450501442883</c:v>
                </c:pt>
                <c:pt idx="33">
                  <c:v>4.2011617917531918</c:v>
                </c:pt>
                <c:pt idx="34">
                  <c:v>4.4807342796552891</c:v>
                </c:pt>
                <c:pt idx="35">
                  <c:v>4.7688587659544588</c:v>
                </c:pt>
                <c:pt idx="36">
                  <c:v>5.0655350626862239</c:v>
                </c:pt>
                <c:pt idx="37">
                  <c:v>5.37076294017763</c:v>
                </c:pt>
                <c:pt idx="38">
                  <c:v>5.684542128653665</c:v>
                </c:pt>
                <c:pt idx="39">
                  <c:v>6.0068723179364136</c:v>
                </c:pt>
                <c:pt idx="40">
                  <c:v>6.3377531571639567</c:v>
                </c:pt>
                <c:pt idx="41">
                  <c:v>6.6771842545272015</c:v>
                </c:pt>
                <c:pt idx="42">
                  <c:v>7.0251651770230428</c:v>
                </c:pt>
                <c:pt idx="43">
                  <c:v>7.3816954502224439</c:v>
                </c:pt>
                <c:pt idx="44">
                  <c:v>7.7467745580521896</c:v>
                </c:pt>
                <c:pt idx="45">
                  <c:v>8.1204019425892007</c:v>
                </c:pt>
                <c:pt idx="46">
                  <c:v>8.5025770038664259</c:v>
                </c:pt>
                <c:pt idx="47">
                  <c:v>8.8932990996894254</c:v>
                </c:pt>
                <c:pt idx="48">
                  <c:v>9.2925675454628678</c:v>
                </c:pt>
                <c:pt idx="49">
                  <c:v>9.7003816140262167</c:v>
                </c:pt>
                <c:pt idx="50">
                  <c:v>10.116740535497987</c:v>
                </c:pt>
                <c:pt idx="51">
                  <c:v>10.541643497127991</c:v>
                </c:pt>
                <c:pt idx="52">
                  <c:v>10.975089643157048</c:v>
                </c:pt>
                <c:pt idx="53">
                  <c:v>11.417078074683706</c:v>
                </c:pt>
                <c:pt idx="54">
                  <c:v>11.867607849537535</c:v>
                </c:pt>
                <c:pt idx="55">
                  <c:v>12.326677982158607</c:v>
                </c:pt>
                <c:pt idx="56">
                  <c:v>12.794287443482824</c:v>
                </c:pt>
                <c:pt idx="57">
                  <c:v>13.270435160832752</c:v>
                </c:pt>
                <c:pt idx="58">
                  <c:v>13.755120017813685</c:v>
                </c:pt>
                <c:pt idx="59">
                  <c:v>14.248340854214662</c:v>
                </c:pt>
                <c:pt idx="60">
                  <c:v>14.750096465914199</c:v>
                </c:pt>
                <c:pt idx="61">
                  <c:v>15.260385604790489</c:v>
                </c:pt>
                <c:pt idx="62">
                  <c:v>15.779206978635896</c:v>
                </c:pt>
                <c:pt idx="63">
                  <c:v>16.30655925107552</c:v>
                </c:pt>
                <c:pt idx="64">
                  <c:v>16.842441041489678</c:v>
                </c:pt>
                <c:pt idx="65">
                  <c:v>17.38685092494012</c:v>
                </c:pt>
                <c:pt idx="66">
                  <c:v>17.939787432099855</c:v>
                </c:pt>
                <c:pt idx="67">
                  <c:v>18.50124904918642</c:v>
                </c:pt>
                <c:pt idx="68">
                  <c:v>19.071234217898471</c:v>
                </c:pt>
                <c:pt idx="69">
                  <c:v>19.649741335355603</c:v>
                </c:pt>
                <c:pt idx="70">
                  <c:v>20.236768754041247</c:v>
                </c:pt>
                <c:pt idx="71">
                  <c:v>20.832314781748551</c:v>
                </c:pt>
                <c:pt idx="72">
                  <c:v>21.436377287415919</c:v>
                </c:pt>
                <c:pt idx="73">
                  <c:v>22.048953306369146</c:v>
                </c:pt>
                <c:pt idx="74">
                  <c:v>22.670039433573695</c:v>
                </c:pt>
                <c:pt idx="75">
                  <c:v>23.299632217497475</c:v>
                </c:pt>
                <c:pt idx="76">
                  <c:v>23.937728160093723</c:v>
                </c:pt>
                <c:pt idx="77">
                  <c:v>24.584323716786518</c:v>
                </c:pt>
                <c:pt idx="78">
                  <c:v>25.239415296458819</c:v>
                </c:pt>
                <c:pt idx="79">
                  <c:v>25.902999261443011</c:v>
                </c:pt>
                <c:pt idx="80">
                  <c:v>26.57507192751385</c:v>
                </c:pt>
                <c:pt idx="81">
                  <c:v>27.25562956388379</c:v>
                </c:pt>
                <c:pt idx="82">
                  <c:v>27.944668393200619</c:v>
                </c:pt>
                <c:pt idx="83">
                  <c:v>28.642184591547345</c:v>
                </c:pt>
                <c:pt idx="84">
                  <c:v>29.348174288444326</c:v>
                </c:pt>
                <c:pt idx="85">
                  <c:v>30.062633566853549</c:v>
                </c:pt>
                <c:pt idx="86">
                  <c:v>30.785558463185041</c:v>
                </c:pt>
                <c:pt idx="87">
                  <c:v>31.516944967305385</c:v>
                </c:pt>
                <c:pt idx="88">
                  <c:v>32.256789022548269</c:v>
                </c:pt>
                <c:pt idx="89">
                  <c:v>33.005086525727073</c:v>
                </c:pt>
                <c:pt idx="90">
                  <c:v>33.761833327149418</c:v>
                </c:pt>
                <c:pt idx="91">
                  <c:v>34.527025230633676</c:v>
                </c:pt>
                <c:pt idx="92">
                  <c:v>35.300657993527402</c:v>
                </c:pt>
                <c:pt idx="93">
                  <c:v>36.082727326727664</c:v>
                </c:pt>
                <c:pt idx="94">
                  <c:v>36.87322889470321</c:v>
                </c:pt>
                <c:pt idx="95">
                  <c:v>37.672158315518516</c:v>
                </c:pt>
                <c:pt idx="96">
                  <c:v>38.479511160859595</c:v>
                </c:pt>
                <c:pt idx="97">
                  <c:v>39.295282956061627</c:v>
                </c:pt>
                <c:pt idx="98">
                  <c:v>40.119469180138367</c:v>
                </c:pt>
                <c:pt idx="99">
                  <c:v>40.952065265813246</c:v>
                </c:pt>
                <c:pt idx="100">
                  <c:v>41.793066599552247</c:v>
                </c:pt>
                <c:pt idx="101">
                  <c:v>42.64246852159846</c:v>
                </c:pt>
                <c:pt idx="102">
                  <c:v>43.500266326008301</c:v>
                </c:pt>
                <c:pt idx="103">
                  <c:v>44.366455260689435</c:v>
                </c:pt>
                <c:pt idx="104">
                  <c:v>45.241030527440309</c:v>
                </c:pt>
                <c:pt idx="105">
                  <c:v>46.12398728199134</c:v>
                </c:pt>
                <c:pt idx="106">
                  <c:v>47.015320634047697</c:v>
                </c:pt>
                <c:pt idx="107">
                  <c:v>47.915025647333692</c:v>
                </c:pt>
                <c:pt idx="108">
                  <c:v>48.823097339638743</c:v>
                </c:pt>
                <c:pt idx="109">
                  <c:v>49.739530682864903</c:v>
                </c:pt>
                <c:pt idx="110">
                  <c:v>50.66432060307595</c:v>
                </c:pt>
                <c:pt idx="111">
                  <c:v>51.597461980548005</c:v>
                </c:pt>
                <c:pt idx="112">
                  <c:v>52.53894964982166</c:v>
                </c:pt>
                <c:pt idx="113">
                  <c:v>53.488778399755667</c:v>
                </c:pt>
                <c:pt idx="114">
                  <c:v>54.446942973582054</c:v>
                </c:pt>
                <c:pt idx="115">
                  <c:v>55.413438068962783</c:v>
                </c:pt>
                <c:pt idx="116">
                  <c:v>56.388258338047869</c:v>
                </c:pt>
                <c:pt idx="117">
                  <c:v>57.371398387534924</c:v>
                </c:pt>
                <c:pt idx="118">
                  <c:v>58.362852778730208</c:v>
                </c:pt>
                <c:pt idx="119">
                  <c:v>59.362616027611068</c:v>
                </c:pt>
                <c:pt idx="120">
                  <c:v>60.370682604889844</c:v>
                </c:pt>
                <c:pt idx="121">
                  <c:v>61.387046936079166</c:v>
                </c:pt>
                <c:pt idx="122">
                  <c:v>62.411703401558675</c:v>
                </c:pt>
                <c:pt idx="123">
                  <c:v>63.444646336643125</c:v>
                </c:pt>
                <c:pt idx="124">
                  <c:v>64.485870031651871</c:v>
                </c:pt>
                <c:pt idx="125">
                  <c:v>65.535368731979773</c:v>
                </c:pt>
                <c:pt idx="126">
                  <c:v>66.593136638169398</c:v>
                </c:pt>
                <c:pt idx="127">
                  <c:v>67.659167905984631</c:v>
                </c:pt>
                <c:pt idx="128">
                  <c:v>68.733456646485635</c:v>
                </c:pt>
                <c:pt idx="129">
                  <c:v>69.815995104083711</c:v>
                </c:pt>
                <c:pt idx="130">
                  <c:v>70.906771832403919</c:v>
                </c:pt>
                <c:pt idx="131">
                  <c:v>72.005773513763401</c:v>
                </c:pt>
                <c:pt idx="132">
                  <c:v>73.112986780907136</c:v>
                </c:pt>
                <c:pt idx="133">
                  <c:v>74.228398217214703</c:v>
                </c:pt>
                <c:pt idx="134">
                  <c:v>75.351994356908321</c:v>
                </c:pt>
                <c:pt idx="135">
                  <c:v>76.483761685262238</c:v>
                </c:pt>
                <c:pt idx="136">
                  <c:v>77.623686638813453</c:v>
                </c:pt>
                <c:pt idx="137">
                  <c:v>78.771755605573759</c:v>
                </c:pt>
                <c:pt idx="138">
                  <c:v>79.927954925243043</c:v>
                </c:pt>
                <c:pt idx="139">
                  <c:v>81.092270889423858</c:v>
                </c:pt>
                <c:pt idx="140">
                  <c:v>82.264689741837287</c:v>
                </c:pt>
                <c:pt idx="141">
                  <c:v>83.445197678539955</c:v>
                </c:pt>
                <c:pt idx="142">
                  <c:v>84.633780848142365</c:v>
                </c:pt>
                <c:pt idx="143">
                  <c:v>85.830425352028371</c:v>
                </c:pt>
                <c:pt idx="144">
                  <c:v>87.035117244575844</c:v>
                </c:pt>
                <c:pt idx="145">
                  <c:v>88.247842533378517</c:v>
                </c:pt>
                <c:pt idx="146">
                  <c:v>89.468587179469012</c:v>
                </c:pt>
                <c:pt idx="147">
                  <c:v>90.697337097542928</c:v>
                </c:pt>
                <c:pt idx="148">
                  <c:v>91.934078156184114</c:v>
                </c:pt>
                <c:pt idx="149">
                  <c:v>93.178796178091048</c:v>
                </c:pt>
                <c:pt idx="150">
                  <c:v>94.431476940304236</c:v>
                </c:pt>
                <c:pt idx="151">
                  <c:v>95.692106174434784</c:v>
                </c:pt>
                <c:pt idx="152">
                  <c:v>96.960669566893927</c:v>
                </c:pt>
                <c:pt idx="153">
                  <c:v>98.237152759123688</c:v>
                </c:pt>
                <c:pt idx="154">
                  <c:v>99.521541347828489</c:v>
                </c:pt>
                <c:pt idx="155">
                  <c:v>100.81382088520783</c:v>
                </c:pt>
                <c:pt idx="156">
                  <c:v>102.11397687918991</c:v>
                </c:pt>
                <c:pt idx="157">
                  <c:v>103.42199479366624</c:v>
                </c:pt>
                <c:pt idx="158">
                  <c:v>104.7378600487273</c:v>
                </c:pt>
                <c:pt idx="159">
                  <c:v>106.06155802089899</c:v>
                </c:pt>
                <c:pt idx="160">
                  <c:v>107.39307404338014</c:v>
                </c:pt>
                <c:pt idx="161">
                  <c:v>108.73239340628091</c:v>
                </c:pt>
                <c:pt idx="162">
                  <c:v>110.07950135686204</c:v>
                </c:pt>
                <c:pt idx="163">
                  <c:v>111.43438309977505</c:v>
                </c:pt>
                <c:pt idx="164">
                  <c:v>112.79702379730327</c:v>
                </c:pt>
                <c:pt idx="165">
                  <c:v>114.16740856960375</c:v>
                </c:pt>
                <c:pt idx="166">
                  <c:v>115.54552249494999</c:v>
                </c:pt>
                <c:pt idx="167">
                  <c:v>116.93135060997554</c:v>
                </c:pt>
                <c:pt idx="168">
                  <c:v>118.32487790991833</c:v>
                </c:pt>
                <c:pt idx="169">
                  <c:v>119.72608934886588</c:v>
                </c:pt>
                <c:pt idx="170">
                  <c:v>121.13496984000126</c:v>
                </c:pt>
                <c:pt idx="171">
                  <c:v>122.55150425584981</c:v>
                </c:pt>
                <c:pt idx="172">
                  <c:v>123.97567742852658</c:v>
                </c:pt>
                <c:pt idx="173">
                  <c:v>125.40747414998459</c:v>
                </c:pt>
                <c:pt idx="174">
                  <c:v>126.84687917226375</c:v>
                </c:pt>
                <c:pt idx="175">
                  <c:v>128.29387720774048</c:v>
                </c:pt>
                <c:pt idx="176">
                  <c:v>129.74845292937806</c:v>
                </c:pt>
                <c:pt idx="177">
                  <c:v>131.21059097097768</c:v>
                </c:pt>
                <c:pt idx="178">
                  <c:v>132.68027592743002</c:v>
                </c:pt>
                <c:pt idx="179">
                  <c:v>134.15749235496764</c:v>
                </c:pt>
                <c:pt idx="180">
                  <c:v>135.642224771418</c:v>
                </c:pt>
                <c:pt idx="181">
                  <c:v>137.13445765645687</c:v>
                </c:pt>
                <c:pt idx="182">
                  <c:v>138.63417545186266</c:v>
                </c:pt>
                <c:pt idx="183">
                  <c:v>140.14136256177113</c:v>
                </c:pt>
                <c:pt idx="184">
                  <c:v>141.65600335293078</c:v>
                </c:pt>
                <c:pt idx="185">
                  <c:v>143.1780821549587</c:v>
                </c:pt>
                <c:pt idx="186">
                  <c:v>144.70758326059709</c:v>
                </c:pt>
                <c:pt idx="187">
                  <c:v>146.24449092597021</c:v>
                </c:pt>
                <c:pt idx="188">
                  <c:v>147.7887893708419</c:v>
                </c:pt>
                <c:pt idx="189">
                  <c:v>149.34046277887364</c:v>
                </c:pt>
                <c:pt idx="190">
                  <c:v>150.89949529788302</c:v>
                </c:pt>
                <c:pt idx="191">
                  <c:v>152.46587104010274</c:v>
                </c:pt>
                <c:pt idx="192">
                  <c:v>154.03957408244</c:v>
                </c:pt>
                <c:pt idx="193">
                  <c:v>155.62058846673645</c:v>
                </c:pt>
                <c:pt idx="194">
                  <c:v>157.20889820002856</c:v>
                </c:pt>
                <c:pt idx="195">
                  <c:v>158.80448725480827</c:v>
                </c:pt>
                <c:pt idx="196">
                  <c:v>160.40733956928423</c:v>
                </c:pt>
                <c:pt idx="197">
                  <c:v>162.01743904764328</c:v>
                </c:pt>
                <c:pt idx="198">
                  <c:v>163.63476956031244</c:v>
                </c:pt>
                <c:pt idx="199">
                  <c:v>165.25931494422113</c:v>
                </c:pt>
                <c:pt idx="200">
                  <c:v>166.8910590030639</c:v>
                </c:pt>
                <c:pt idx="201">
                  <c:v>168.52998550756334</c:v>
                </c:pt>
                <c:pt idx="202">
                  <c:v>170.1760781957334</c:v>
                </c:pt>
                <c:pt idx="203">
                  <c:v>171.82932077314302</c:v>
                </c:pt>
                <c:pt idx="204">
                  <c:v>173.48969691318004</c:v>
                </c:pt>
                <c:pt idx="205">
                  <c:v>175.15719025731531</c:v>
                </c:pt>
                <c:pt idx="206">
                  <c:v>176.83178396925146</c:v>
                </c:pt>
                <c:pt idx="207">
                  <c:v>178.51346028877683</c:v>
                </c:pt>
                <c:pt idx="208">
                  <c:v>180.20220097796303</c:v>
                </c:pt>
                <c:pt idx="209">
                  <c:v>181.8979877676733</c:v>
                </c:pt>
                <c:pt idx="210">
                  <c:v>183.60080235785898</c:v>
                </c:pt>
                <c:pt idx="211">
                  <c:v>185.31062641785618</c:v>
                </c:pt>
                <c:pt idx="212">
                  <c:v>187.0274415866825</c:v>
                </c:pt>
                <c:pt idx="213">
                  <c:v>188.75122947333372</c:v>
                </c:pt>
                <c:pt idx="214">
                  <c:v>190.48197165708078</c:v>
                </c:pt>
                <c:pt idx="215">
                  <c:v>192.21964968776649</c:v>
                </c:pt>
                <c:pt idx="216">
                  <c:v>193.96424508610258</c:v>
                </c:pt>
                <c:pt idx="217">
                  <c:v>195.71573934396656</c:v>
                </c:pt>
                <c:pt idx="218">
                  <c:v>197.4741139246986</c:v>
                </c:pt>
                <c:pt idx="219">
                  <c:v>199.23935026339851</c:v>
                </c:pt>
                <c:pt idx="220">
                  <c:v>201.0114297672225</c:v>
                </c:pt>
                <c:pt idx="221">
                  <c:v>202.7903338156801</c:v>
                </c:pt>
                <c:pt idx="222">
                  <c:v>204.57604376093084</c:v>
                </c:pt>
                <c:pt idx="223">
                  <c:v>206.36854092808099</c:v>
                </c:pt>
                <c:pt idx="224">
                  <c:v>208.16780661548012</c:v>
                </c:pt>
                <c:pt idx="225">
                  <c:v>209.97382209501762</c:v>
                </c:pt>
                <c:pt idx="226">
                  <c:v>211.78656861241902</c:v>
                </c:pt>
                <c:pt idx="227">
                  <c:v>213.6060273875423</c:v>
                </c:pt>
                <c:pt idx="228">
                  <c:v>215.43217961467394</c:v>
                </c:pt>
                <c:pt idx="229">
                  <c:v>217.26500646282491</c:v>
                </c:pt>
                <c:pt idx="230">
                  <c:v>219.10448907602637</c:v>
                </c:pt>
                <c:pt idx="231">
                  <c:v>220.95060857362526</c:v>
                </c:pt>
                <c:pt idx="232">
                  <c:v>222.80334605057973</c:v>
                </c:pt>
                <c:pt idx="233">
                  <c:v>224.66268257775425</c:v>
                </c:pt>
                <c:pt idx="234">
                  <c:v>226.52859920221459</c:v>
                </c:pt>
                <c:pt idx="235">
                  <c:v>228.40107694752251</c:v>
                </c:pt>
                <c:pt idx="236">
                  <c:v>230.28009681403012</c:v>
                </c:pt>
                <c:pt idx="237">
                  <c:v>232.1656397791742</c:v>
                </c:pt>
                <c:pt idx="238">
                  <c:v>234.05768679776997</c:v>
                </c:pt>
                <c:pt idx="239">
                  <c:v>235.95621880230479</c:v>
                </c:pt>
                <c:pt idx="240">
                  <c:v>237.86121670323132</c:v>
                </c:pt>
                <c:pt idx="241">
                  <c:v>239.77266138926066</c:v>
                </c:pt>
                <c:pt idx="242">
                  <c:v>241.69053218186937</c:v>
                </c:pt>
                <c:pt idx="243">
                  <c:v>243.614805289185</c:v>
                </c:pt>
                <c:pt idx="244">
                  <c:v>245.54545535217216</c:v>
                </c:pt>
                <c:pt idx="245">
                  <c:v>247.48245699149339</c:v>
                </c:pt>
                <c:pt idx="246">
                  <c:v>249.42578480790837</c:v>
                </c:pt>
                <c:pt idx="247">
                  <c:v>251.37541338267218</c:v>
                </c:pt>
                <c:pt idx="248">
                  <c:v>253.33131727793264</c:v>
                </c:pt>
                <c:pt idx="249">
                  <c:v>255.29347103712661</c:v>
                </c:pt>
                <c:pt idx="250">
                  <c:v>257.26184918537524</c:v>
                </c:pt>
                <c:pt idx="251">
                  <c:v>259.23642622987842</c:v>
                </c:pt>
                <c:pt idx="252">
                  <c:v>261.21717666030787</c:v>
                </c:pt>
                <c:pt idx="253">
                  <c:v>263.20407494919942</c:v>
                </c:pt>
                <c:pt idx="254">
                  <c:v>265.19709555234425</c:v>
                </c:pt>
                <c:pt idx="255">
                  <c:v>267.19621290917883</c:v>
                </c:pt>
                <c:pt idx="256">
                  <c:v>269.20140144317384</c:v>
                </c:pt>
                <c:pt idx="257">
                  <c:v>271.21263556222209</c:v>
                </c:pt>
                <c:pt idx="258">
                  <c:v>273.22988965902528</c:v>
                </c:pt>
                <c:pt idx="259">
                  <c:v>275.25313811147947</c:v>
                </c:pt>
                <c:pt idx="260">
                  <c:v>277.28235528305947</c:v>
                </c:pt>
                <c:pt idx="261">
                  <c:v>279.31751552320202</c:v>
                </c:pt>
                <c:pt idx="262">
                  <c:v>281.35859316768796</c:v>
                </c:pt>
                <c:pt idx="263">
                  <c:v>283.40556253902292</c:v>
                </c:pt>
                <c:pt idx="264">
                  <c:v>285.45839794681694</c:v>
                </c:pt>
                <c:pt idx="265">
                  <c:v>287.51707368816284</c:v>
                </c:pt>
                <c:pt idx="266">
                  <c:v>289.58156404801326</c:v>
                </c:pt>
                <c:pt idx="267">
                  <c:v>291.65184329955656</c:v>
                </c:pt>
                <c:pt idx="268">
                  <c:v>293.7278857045913</c:v>
                </c:pt>
                <c:pt idx="269">
                  <c:v>295.80966551389957</c:v>
                </c:pt>
                <c:pt idx="270">
                  <c:v>297.89715696761886</c:v>
                </c:pt>
                <c:pt idx="271">
                  <c:v>299.99033429561274</c:v>
                </c:pt>
                <c:pt idx="272">
                  <c:v>302.08917171784014</c:v>
                </c:pt>
                <c:pt idx="273">
                  <c:v>304.19364344472331</c:v>
                </c:pt>
                <c:pt idx="274">
                  <c:v>306.30372367751431</c:v>
                </c:pt>
                <c:pt idx="275">
                  <c:v>308.41938660866032</c:v>
                </c:pt>
                <c:pt idx="276">
                  <c:v>310.54060642216734</c:v>
                </c:pt>
                <c:pt idx="277">
                  <c:v>312.66735729396277</c:v>
                </c:pt>
                <c:pt idx="278">
                  <c:v>314.79961339225622</c:v>
                </c:pt>
                <c:pt idx="279">
                  <c:v>316.9373488778993</c:v>
                </c:pt>
                <c:pt idx="280">
                  <c:v>319.08053790474361</c:v>
                </c:pt>
                <c:pt idx="281">
                  <c:v>321.22915461999747</c:v>
                </c:pt>
                <c:pt idx="282">
                  <c:v>323.38317316458125</c:v>
                </c:pt>
                <c:pt idx="283">
                  <c:v>325.54256767348102</c:v>
                </c:pt>
                <c:pt idx="284">
                  <c:v>327.70731409559357</c:v>
                </c:pt>
                <c:pt idx="285">
                  <c:v>329.87739201368942</c:v>
                </c:pt>
                <c:pt idx="286">
                  <c:v>332.05278282405664</c:v>
                </c:pt>
                <c:pt idx="287">
                  <c:v>334.23346791596867</c:v>
                </c:pt>
                <c:pt idx="288">
                  <c:v>336.41942867192046</c:v>
                </c:pt>
                <c:pt idx="289">
                  <c:v>338.61064646786394</c:v>
                </c:pt>
                <c:pt idx="290">
                  <c:v>340.8071026734425</c:v>
                </c:pt>
                <c:pt idx="291">
                  <c:v>343.00877865222498</c:v>
                </c:pt>
                <c:pt idx="292">
                  <c:v>345.21565576193865</c:v>
                </c:pt>
                <c:pt idx="293">
                  <c:v>347.42771535470143</c:v>
                </c:pt>
                <c:pt idx="294">
                  <c:v>349.64493877725334</c:v>
                </c:pt>
                <c:pt idx="295">
                  <c:v>351.86730737118722</c:v>
                </c:pt>
                <c:pt idx="296">
                  <c:v>354.09480247317839</c:v>
                </c:pt>
                <c:pt idx="297">
                  <c:v>356.32740541521378</c:v>
                </c:pt>
                <c:pt idx="298">
                  <c:v>358.56509752481992</c:v>
                </c:pt>
                <c:pt idx="299">
                  <c:v>360.80786012529046</c:v>
                </c:pt>
                <c:pt idx="300">
                  <c:v>363.05567453591249</c:v>
                </c:pt>
                <c:pt idx="301">
                  <c:v>365.3085220721922</c:v>
                </c:pt>
                <c:pt idx="302">
                  <c:v>367.56638404607969</c:v>
                </c:pt>
                <c:pt idx="303">
                  <c:v>369.82924176619287</c:v>
                </c:pt>
                <c:pt idx="304">
                  <c:v>372.09707653804043</c:v>
                </c:pt>
                <c:pt idx="305">
                  <c:v>374.36986966424411</c:v>
                </c:pt>
                <c:pt idx="306">
                  <c:v>376.64760244475997</c:v>
                </c:pt>
                <c:pt idx="307">
                  <c:v>378.93025617709873</c:v>
                </c:pt>
                <c:pt idx="308">
                  <c:v>381.21781215654545</c:v>
                </c:pt>
                <c:pt idx="309">
                  <c:v>383.51025167637795</c:v>
                </c:pt>
                <c:pt idx="310">
                  <c:v>385.80755602808472</c:v>
                </c:pt>
                <c:pt idx="311">
                  <c:v>388.10970650158168</c:v>
                </c:pt>
                <c:pt idx="312">
                  <c:v>390.41668438542808</c:v>
                </c:pt>
                <c:pt idx="313">
                  <c:v>392.72847096704157</c:v>
                </c:pt>
                <c:pt idx="314">
                  <c:v>395.04504753291218</c:v>
                </c:pt>
                <c:pt idx="315">
                  <c:v>397.36639536881552</c:v>
                </c:pt>
                <c:pt idx="316">
                  <c:v>399.69249576002517</c:v>
                </c:pt>
                <c:pt idx="317">
                  <c:v>402.02332999152372</c:v>
                </c:pt>
                <c:pt idx="318">
                  <c:v>404.35887934821341</c:v>
                </c:pt>
                <c:pt idx="319">
                  <c:v>406.69912511512524</c:v>
                </c:pt>
                <c:pt idx="320">
                  <c:v>409.04404857762779</c:v>
                </c:pt>
                <c:pt idx="321">
                  <c:v>411.39363102163452</c:v>
                </c:pt>
                <c:pt idx="322">
                  <c:v>413.74785373381036</c:v>
                </c:pt>
                <c:pt idx="323">
                  <c:v>416.10669800177743</c:v>
                </c:pt>
                <c:pt idx="324">
                  <c:v>418.47014511431968</c:v>
                </c:pt>
                <c:pt idx="325">
                  <c:v>420.83817636158648</c:v>
                </c:pt>
                <c:pt idx="326">
                  <c:v>423.21077314732901</c:v>
                </c:pt>
                <c:pt idx="327">
                  <c:v>425.58791710111495</c:v>
                </c:pt>
                <c:pt idx="328">
                  <c:v>427.96958996636937</c:v>
                </c:pt>
                <c:pt idx="329">
                  <c:v>430.35577348843356</c:v>
                </c:pt>
                <c:pt idx="330">
                  <c:v>432.74644941475805</c:v>
                </c:pt>
                <c:pt idx="331">
                  <c:v>435.14159949509531</c:v>
                </c:pt>
                <c:pt idx="332">
                  <c:v>437.54120548169107</c:v>
                </c:pt>
                <c:pt idx="333">
                  <c:v>439.94524912947475</c:v>
                </c:pt>
                <c:pt idx="334">
                  <c:v>442.35371219624915</c:v>
                </c:pt>
                <c:pt idx="335">
                  <c:v>444.766576442879</c:v>
                </c:pt>
                <c:pt idx="336">
                  <c:v>447.18382363347854</c:v>
                </c:pt>
                <c:pt idx="337">
                  <c:v>449.60543553559825</c:v>
                </c:pt>
                <c:pt idx="338">
                  <c:v>452.03139392041049</c:v>
                </c:pt>
                <c:pt idx="339">
                  <c:v>454.46168056289434</c:v>
                </c:pt>
                <c:pt idx="340">
                  <c:v>456.89627724201915</c:v>
                </c:pt>
                <c:pt idx="341">
                  <c:v>459.33516574092761</c:v>
                </c:pt>
                <c:pt idx="342">
                  <c:v>461.77832784711728</c:v>
                </c:pt>
                <c:pt idx="343">
                  <c:v>464.22574535262163</c:v>
                </c:pt>
                <c:pt idx="344">
                  <c:v>466.67740005418972</c:v>
                </c:pt>
                <c:pt idx="345">
                  <c:v>469.13327375346523</c:v>
                </c:pt>
                <c:pt idx="346">
                  <c:v>471.59334825716422</c:v>
                </c:pt>
                <c:pt idx="347">
                  <c:v>474.057605377252</c:v>
                </c:pt>
                <c:pt idx="348">
                  <c:v>476.52602693111908</c:v>
                </c:pt>
                <c:pt idx="349">
                  <c:v>478.99859474175605</c:v>
                </c:pt>
                <c:pt idx="350">
                  <c:v>481.47529063792751</c:v>
                </c:pt>
                <c:pt idx="351">
                  <c:v>483.95609645434496</c:v>
                </c:pt>
                <c:pt idx="352">
                  <c:v>486.44099403183867</c:v>
                </c:pt>
                <c:pt idx="353">
                  <c:v>488.92996521752866</c:v>
                </c:pt>
                <c:pt idx="354">
                  <c:v>491.42299186499451</c:v>
                </c:pt>
                <c:pt idx="355">
                  <c:v>493.92005583444438</c:v>
                </c:pt>
                <c:pt idx="356">
                  <c:v>496.42113899288273</c:v>
                </c:pt>
                <c:pt idx="357">
                  <c:v>498.9262232142774</c:v>
                </c:pt>
                <c:pt idx="358">
                  <c:v>501.43529037972542</c:v>
                </c:pt>
                <c:pt idx="359">
                  <c:v>503.94832237761779</c:v>
                </c:pt>
                <c:pt idx="360">
                  <c:v>506.46530110380343</c:v>
                </c:pt>
                <c:pt idx="361">
                  <c:v>508.98620846175203</c:v>
                </c:pt>
                <c:pt idx="362">
                  <c:v>511.51102636271577</c:v>
                </c:pt>
                <c:pt idx="363">
                  <c:v>514.03973672589018</c:v>
                </c:pt>
                <c:pt idx="364">
                  <c:v>516.57232147857417</c:v>
                </c:pt>
                <c:pt idx="365">
                  <c:v>519.10876255632832</c:v>
                </c:pt>
                <c:pt idx="366">
                  <c:v>521.64904474905177</c:v>
                </c:pt>
                <c:pt idx="367">
                  <c:v>524.19315854590275</c:v>
                </c:pt>
                <c:pt idx="368">
                  <c:v>526.74109728523047</c:v>
                </c:pt>
                <c:pt idx="369">
                  <c:v>529.29285430561185</c:v>
                </c:pt>
                <c:pt idx="370">
                  <c:v>531.84842294590771</c:v>
                </c:pt>
                <c:pt idx="371">
                  <c:v>534.40779654531786</c:v>
                </c:pt>
                <c:pt idx="372">
                  <c:v>536.97096844343707</c:v>
                </c:pt>
                <c:pt idx="373">
                  <c:v>539.53793198030962</c:v>
                </c:pt>
                <c:pt idx="374">
                  <c:v>542.10868049648502</c:v>
                </c:pt>
                <c:pt idx="375">
                  <c:v>544.68320733307235</c:v>
                </c:pt>
                <c:pt idx="376">
                  <c:v>547.26150583179526</c:v>
                </c:pt>
                <c:pt idx="377">
                  <c:v>549.84356933504614</c:v>
                </c:pt>
                <c:pt idx="378">
                  <c:v>552.42939118594063</c:v>
                </c:pt>
                <c:pt idx="379">
                  <c:v>555.01896472837166</c:v>
                </c:pt>
                <c:pt idx="380">
                  <c:v>557.61228330706342</c:v>
                </c:pt>
                <c:pt idx="381">
                  <c:v>560.2093371937342</c:v>
                </c:pt>
                <c:pt idx="382">
                  <c:v>562.81011051464532</c:v>
                </c:pt>
                <c:pt idx="383">
                  <c:v>565.4145843294715</c:v>
                </c:pt>
                <c:pt idx="384">
                  <c:v>568.02273970883641</c:v>
                </c:pt>
                <c:pt idx="385">
                  <c:v>570.63455773446969</c:v>
                </c:pt>
                <c:pt idx="386">
                  <c:v>573.25001949936211</c:v>
                </c:pt>
                <c:pt idx="387">
                  <c:v>575.86910610791949</c:v>
                </c:pt>
                <c:pt idx="388">
                  <c:v>578.49179867611633</c:v>
                </c:pt>
                <c:pt idx="389">
                  <c:v>581.11807833164733</c:v>
                </c:pt>
                <c:pt idx="390">
                  <c:v>583.74792621407823</c:v>
                </c:pt>
                <c:pt idx="391">
                  <c:v>586.38132347499595</c:v>
                </c:pt>
                <c:pt idx="392">
                  <c:v>589.01825127815653</c:v>
                </c:pt>
                <c:pt idx="393">
                  <c:v>591.65869079963295</c:v>
                </c:pt>
                <c:pt idx="394">
                  <c:v>594.30262322796125</c:v>
                </c:pt>
                <c:pt idx="395">
                  <c:v>596.95002976428589</c:v>
                </c:pt>
                <c:pt idx="396">
                  <c:v>599.60089162250347</c:v>
                </c:pt>
                <c:pt idx="397">
                  <c:v>602.25519002940598</c:v>
                </c:pt>
                <c:pt idx="398">
                  <c:v>604.91290622482234</c:v>
                </c:pt>
                <c:pt idx="399">
                  <c:v>607.57402146175912</c:v>
                </c:pt>
                <c:pt idx="400">
                  <c:v>610.23851700654006</c:v>
                </c:pt>
                <c:pt idx="401">
                  <c:v>612.90637172400773</c:v>
                </c:pt>
                <c:pt idx="402">
                  <c:v>615.5775596640807</c:v>
                </c:pt>
                <c:pt idx="403">
                  <c:v>618.2520524811755</c:v>
                </c:pt>
                <c:pt idx="404">
                  <c:v>620.92982185232142</c:v>
                </c:pt>
                <c:pt idx="405">
                  <c:v>623.61083947739746</c:v>
                </c:pt>
                <c:pt idx="406">
                  <c:v>626.29507707936659</c:v>
                </c:pt>
                <c:pt idx="407">
                  <c:v>628.98250640450806</c:v>
                </c:pt>
                <c:pt idx="408">
                  <c:v>631.67309922264712</c:v>
                </c:pt>
                <c:pt idx="409">
                  <c:v>634.36682732738257</c:v>
                </c:pt>
                <c:pt idx="410">
                  <c:v>637.06366253631154</c:v>
                </c:pt>
                <c:pt idx="411">
                  <c:v>639.76356335697892</c:v>
                </c:pt>
                <c:pt idx="412">
                  <c:v>642.46646166144524</c:v>
                </c:pt>
                <c:pt idx="413">
                  <c:v>645.1722760468158</c:v>
                </c:pt>
                <c:pt idx="414">
                  <c:v>647.88092518766075</c:v>
                </c:pt>
                <c:pt idx="415">
                  <c:v>650.59232783725099</c:v>
                </c:pt>
                <c:pt idx="416">
                  <c:v>653.3064028287771</c:v>
                </c:pt>
                <c:pt idx="417">
                  <c:v>656.023069076551</c:v>
                </c:pt>
                <c:pt idx="418">
                  <c:v>658.74224557719106</c:v>
                </c:pt>
                <c:pt idx="419">
                  <c:v>661.4638514107902</c:v>
                </c:pt>
                <c:pt idx="420">
                  <c:v>664.18779816192296</c:v>
                </c:pt>
                <c:pt idx="421">
                  <c:v>666.91398234686756</c:v>
                </c:pt>
                <c:pt idx="422">
                  <c:v>669.64229301185446</c:v>
                </c:pt>
                <c:pt idx="423">
                  <c:v>672.37261932551746</c:v>
                </c:pt>
                <c:pt idx="424">
                  <c:v>675.10485058087602</c:v>
                </c:pt>
                <c:pt idx="425">
                  <c:v>677.83887619728694</c:v>
                </c:pt>
                <c:pt idx="426">
                  <c:v>680.57458572236442</c:v>
                </c:pt>
                <c:pt idx="427">
                  <c:v>683.31186883386931</c:v>
                </c:pt>
                <c:pt idx="428">
                  <c:v>686.05061534156766</c:v>
                </c:pt>
                <c:pt idx="429">
                  <c:v>688.79071518905801</c:v>
                </c:pt>
                <c:pt idx="430">
                  <c:v>691.53205845556806</c:v>
                </c:pt>
                <c:pt idx="431">
                  <c:v>694.27453535772065</c:v>
                </c:pt>
                <c:pt idx="432">
                  <c:v>697.01802404696218</c:v>
                </c:pt>
                <c:pt idx="433">
                  <c:v>699.7623784205523</c:v>
                </c:pt>
                <c:pt idx="434">
                  <c:v>702.50744036046444</c:v>
                </c:pt>
                <c:pt idx="435">
                  <c:v>705.25305195959697</c:v>
                </c:pt>
                <c:pt idx="436">
                  <c:v>707.99905552523455</c:v>
                </c:pt>
                <c:pt idx="437">
                  <c:v>710.74529358244638</c:v>
                </c:pt>
                <c:pt idx="438">
                  <c:v>713.49160887742107</c:v>
                </c:pt>
                <c:pt idx="439">
                  <c:v>716.23784438073869</c:v>
                </c:pt>
                <c:pt idx="440">
                  <c:v>718.98384329057956</c:v>
                </c:pt>
                <c:pt idx="441">
                  <c:v>721.72944903587063</c:v>
                </c:pt>
                <c:pt idx="442">
                  <c:v>724.47451268687644</c:v>
                </c:pt>
                <c:pt idx="443">
                  <c:v>727.21890035510876</c:v>
                </c:pt>
                <c:pt idx="444">
                  <c:v>729.96248576525772</c:v>
                </c:pt>
                <c:pt idx="445">
                  <c:v>732.70514283713146</c:v>
                </c:pt>
                <c:pt idx="446">
                  <c:v>735.4467456874072</c:v>
                </c:pt>
                <c:pt idx="447">
                  <c:v>738.18716863134216</c:v>
                </c:pt>
                <c:pt idx="448">
                  <c:v>740.92628618444496</c:v>
                </c:pt>
                <c:pt idx="449">
                  <c:v>743.66397306410681</c:v>
                </c:pt>
                <c:pt idx="450">
                  <c:v>746.40010419119403</c:v>
                </c:pt>
                <c:pt idx="451">
                  <c:v>749.13455469160044</c:v>
                </c:pt>
                <c:pt idx="452">
                  <c:v>751.86719989776157</c:v>
                </c:pt>
                <c:pt idx="453">
                  <c:v>754.59792595167778</c:v>
                </c:pt>
                <c:pt idx="454">
                  <c:v>757.32664039002009</c:v>
                </c:pt>
                <c:pt idx="455">
                  <c:v>760.05326150658777</c:v>
                </c:pt>
                <c:pt idx="456">
                  <c:v>762.77770773212467</c:v>
                </c:pt>
                <c:pt idx="457">
                  <c:v>765.49989763468864</c:v>
                </c:pt>
                <c:pt idx="458">
                  <c:v>768.21974992000605</c:v>
                </c:pt>
                <c:pt idx="459">
                  <c:v>770.93718343181092</c:v>
                </c:pt>
                <c:pt idx="460">
                  <c:v>773.65211715216822</c:v>
                </c:pt>
                <c:pt idx="461">
                  <c:v>776.36447973960242</c:v>
                </c:pt>
                <c:pt idx="462">
                  <c:v>779.07421905014326</c:v>
                </c:pt>
                <c:pt idx="463">
                  <c:v>781.78129256493651</c:v>
                </c:pt>
                <c:pt idx="464">
                  <c:v>784.48565783473327</c:v>
                </c:pt>
                <c:pt idx="465">
                  <c:v>787.18727247979427</c:v>
                </c:pt>
                <c:pt idx="466">
                  <c:v>789.88608617832358</c:v>
                </c:pt>
                <c:pt idx="467">
                  <c:v>792.58203266951068</c:v>
                </c:pt>
                <c:pt idx="468">
                  <c:v>795.2749485806055</c:v>
                </c:pt>
                <c:pt idx="469">
                  <c:v>797.96460158357081</c:v>
                </c:pt>
                <c:pt idx="470">
                  <c:v>800.65088891350365</c:v>
                </c:pt>
                <c:pt idx="471">
                  <c:v>803.33381716255894</c:v>
                </c:pt>
                <c:pt idx="472">
                  <c:v>806.01339289964346</c:v>
                </c:pt>
                <c:pt idx="473">
                  <c:v>808.68962267052541</c:v>
                </c:pt>
                <c:pt idx="474">
                  <c:v>811.3625129979431</c:v>
                </c:pt>
                <c:pt idx="475">
                  <c:v>814.0320703817132</c:v>
                </c:pt>
                <c:pt idx="476">
                  <c:v>816.69830129883837</c:v>
                </c:pt>
                <c:pt idx="477">
                  <c:v>819.36121220361417</c:v>
                </c:pt>
                <c:pt idx="478">
                  <c:v>822.02080952773531</c:v>
                </c:pt>
                <c:pt idx="479">
                  <c:v>824.67709968040117</c:v>
                </c:pt>
                <c:pt idx="480">
                  <c:v>827.33008904842109</c:v>
                </c:pt>
                <c:pt idx="481">
                  <c:v>829.97978399631859</c:v>
                </c:pt>
                <c:pt idx="482">
                  <c:v>832.62619086643519</c:v>
                </c:pt>
                <c:pt idx="483">
                  <c:v>835.26931597903388</c:v>
                </c:pt>
                <c:pt idx="484">
                  <c:v>837.90916563240137</c:v>
                </c:pt>
                <c:pt idx="485">
                  <c:v>840.54574610295015</c:v>
                </c:pt>
                <c:pt idx="486">
                  <c:v>843.17906364531996</c:v>
                </c:pt>
                <c:pt idx="487">
                  <c:v>845.80912449247853</c:v>
                </c:pt>
                <c:pt idx="488">
                  <c:v>848.43593485582187</c:v>
                </c:pt>
                <c:pt idx="489">
                  <c:v>851.05950092527371</c:v>
                </c:pt>
                <c:pt idx="490">
                  <c:v>853.67982886938466</c:v>
                </c:pt>
                <c:pt idx="491">
                  <c:v>856.29692483543079</c:v>
                </c:pt>
                <c:pt idx="492">
                  <c:v>858.91079494951111</c:v>
                </c:pt>
                <c:pt idx="493">
                  <c:v>861.52144531664555</c:v>
                </c:pt>
                <c:pt idx="494">
                  <c:v>864.12888202087106</c:v>
                </c:pt>
                <c:pt idx="495">
                  <c:v>866.73311112533816</c:v>
                </c:pt>
                <c:pt idx="496">
                  <c:v>869.33413867240654</c:v>
                </c:pt>
                <c:pt idx="497">
                  <c:v>871.93197068374013</c:v>
                </c:pt>
                <c:pt idx="498">
                  <c:v>874.52661316040155</c:v>
                </c:pt>
                <c:pt idx="499">
                  <c:v>877.11807208294613</c:v>
                </c:pt>
                <c:pt idx="500">
                  <c:v>879.70635341151558</c:v>
                </c:pt>
                <c:pt idx="501">
                  <c:v>905.41485913659324</c:v>
                </c:pt>
                <c:pt idx="502">
                  <c:v>930.80942794625344</c:v>
                </c:pt>
                <c:pt idx="503">
                  <c:v>955.89582565768217</c:v>
                </c:pt>
                <c:pt idx="504">
                  <c:v>980.67962600729425</c:v>
                </c:pt>
                <c:pt idx="505">
                  <c:v>1005.166219106284</c:v>
                </c:pt>
                <c:pt idx="506">
                  <c:v>1029.3608194301369</c:v>
                </c:pt>
                <c:pt idx="507">
                  <c:v>1053.2684733727758</c:v>
                </c:pt>
                <c:pt idx="508">
                  <c:v>1076.8940663936735</c:v>
                </c:pt>
                <c:pt idx="509">
                  <c:v>1100.2423297841258</c:v>
                </c:pt>
                <c:pt idx="510">
                  <c:v>1123.3178470769235</c:v>
                </c:pt>
                <c:pt idx="511">
                  <c:v>1146.1250601218715</c:v>
                </c:pt>
                <c:pt idx="512">
                  <c:v>1168.6682748479654</c:v>
                </c:pt>
                <c:pt idx="513">
                  <c:v>1190.9516667315308</c:v>
                </c:pt>
                <c:pt idx="514">
                  <c:v>1212.9792859882482</c:v>
                </c:pt>
                <c:pt idx="515">
                  <c:v>1234.7550625057245</c:v>
                </c:pt>
                <c:pt idx="516">
                  <c:v>1256.2828105320978</c:v>
                </c:pt>
                <c:pt idx="517">
                  <c:v>1277.5662331350941</c:v>
                </c:pt>
                <c:pt idx="518">
                  <c:v>1298.6089264449627</c:v>
                </c:pt>
                <c:pt idx="519">
                  <c:v>1319.4143836938065</c:v>
                </c:pt>
                <c:pt idx="520">
                  <c:v>1339.9859990629805</c:v>
                </c:pt>
                <c:pt idx="521">
                  <c:v>1360.3270713494551</c:v>
                </c:pt>
                <c:pt idx="522">
                  <c:v>1380.4408074613225</c:v>
                </c:pt>
                <c:pt idx="523">
                  <c:v>1400.3303257519585</c:v>
                </c:pt>
                <c:pt idx="524">
                  <c:v>1419.9986592017376</c:v>
                </c:pt>
                <c:pt idx="525">
                  <c:v>1439.4487584556293</c:v>
                </c:pt>
                <c:pt idx="526">
                  <c:v>1458.6834947244754</c:v>
                </c:pt>
                <c:pt idx="527">
                  <c:v>1477.7056625572534</c:v>
                </c:pt>
                <c:pt idx="528">
                  <c:v>1496.5179824911829</c:v>
                </c:pt>
                <c:pt idx="529">
                  <c:v>1515.1231035861019</c:v>
                </c:pt>
                <c:pt idx="530">
                  <c:v>1533.5236058491505</c:v>
                </c:pt>
                <c:pt idx="531">
                  <c:v>1551.7220025554323</c:v>
                </c:pt>
                <c:pt idx="532">
                  <c:v>1569.7207424699809</c:v>
                </c:pt>
                <c:pt idx="533">
                  <c:v>1587.5222119760467</c:v>
                </c:pt>
                <c:pt idx="534">
                  <c:v>1605.1287371144158</c:v>
                </c:pt>
                <c:pt idx="535">
                  <c:v>1622.5425855382023</c:v>
                </c:pt>
                <c:pt idx="536">
                  <c:v>1639.7659683872967</c:v>
                </c:pt>
                <c:pt idx="537">
                  <c:v>1656.8010420864096</c:v>
                </c:pt>
                <c:pt idx="538">
                  <c:v>1673.649910070427</c:v>
                </c:pt>
                <c:pt idx="539">
                  <c:v>1690.3146244405834</c:v>
                </c:pt>
                <c:pt idx="540">
                  <c:v>1706.7971875547607</c:v>
                </c:pt>
                <c:pt idx="541">
                  <c:v>1723.0995535550385</c:v>
                </c:pt>
                <c:pt idx="542">
                  <c:v>1739.2236298354453</c:v>
                </c:pt>
                <c:pt idx="543">
                  <c:v>1755.1712784527042</c:v>
                </c:pt>
                <c:pt idx="544">
                  <c:v>1770.9443174826076</c:v>
                </c:pt>
                <c:pt idx="545">
                  <c:v>1786.5445223245208</c:v>
                </c:pt>
                <c:pt idx="546">
                  <c:v>1801.9736269563734</c:v>
                </c:pt>
                <c:pt idx="547">
                  <c:v>1817.2333251423788</c:v>
                </c:pt>
                <c:pt idx="548">
                  <c:v>1832.3252715955996</c:v>
                </c:pt>
                <c:pt idx="549">
                  <c:v>1847.251083097367</c:v>
                </c:pt>
                <c:pt idx="550">
                  <c:v>1862.0123395754586</c:v>
                </c:pt>
                <c:pt idx="551">
                  <c:v>1876.6105851428426</c:v>
                </c:pt>
                <c:pt idx="552">
                  <c:v>1891.0473290986997</c:v>
                </c:pt>
                <c:pt idx="553">
                  <c:v>1905.3240468933507</c:v>
                </c:pt>
                <c:pt idx="554">
                  <c:v>1919.4421810586357</c:v>
                </c:pt>
                <c:pt idx="555">
                  <c:v>1933.4031421052114</c:v>
                </c:pt>
                <c:pt idx="556">
                  <c:v>1947.208309388162</c:v>
                </c:pt>
                <c:pt idx="557">
                  <c:v>1960.859031942249</c:v>
                </c:pt>
                <c:pt idx="558">
                  <c:v>1974.3566292880639</c:v>
                </c:pt>
                <c:pt idx="559">
                  <c:v>1987.7023922102801</c:v>
                </c:pt>
                <c:pt idx="560">
                  <c:v>2000.8975835091485</c:v>
                </c:pt>
                <c:pt idx="561">
                  <c:v>2013.9434387263243</c:v>
                </c:pt>
                <c:pt idx="562">
                  <c:v>2026.8411668460594</c:v>
                </c:pt>
                <c:pt idx="563">
                  <c:v>2039.5919509727485</c:v>
                </c:pt>
                <c:pt idx="564">
                  <c:v>2052.1969489857684</c:v>
                </c:pt>
                <c:pt idx="565">
                  <c:v>2064.6572941725067</c:v>
                </c:pt>
                <c:pt idx="566">
                  <c:v>2076.9740958404386</c:v>
                </c:pt>
                <c:pt idx="567">
                  <c:v>2089.1484399090614</c:v>
                </c:pt>
                <c:pt idx="568">
                  <c:v>2101.1813894824709</c:v>
                </c:pt>
                <c:pt idx="569">
                  <c:v>2113.0739854033186</c:v>
                </c:pt>
                <c:pt idx="570">
                  <c:v>2124.8272467888651</c:v>
                </c:pt>
                <c:pt idx="571">
                  <c:v>2136.4421715497988</c:v>
                </c:pt>
                <c:pt idx="572">
                  <c:v>2147.9197368924774</c:v>
                </c:pt>
                <c:pt idx="573">
                  <c:v>2159.2608998052028</c:v>
                </c:pt>
                <c:pt idx="574">
                  <c:v>2170.4665975291277</c:v>
                </c:pt>
                <c:pt idx="575">
                  <c:v>2181.5377480143552</c:v>
                </c:pt>
                <c:pt idx="576">
                  <c:v>2192.475250361776</c:v>
                </c:pt>
                <c:pt idx="577">
                  <c:v>2203.2799852511585</c:v>
                </c:pt>
                <c:pt idx="578">
                  <c:v>2213.9528153559904</c:v>
                </c:pt>
                <c:pt idx="579">
                  <c:v>2224.4945857455455</c:v>
                </c:pt>
                <c:pt idx="580">
                  <c:v>2234.9061242746275</c:v>
                </c:pt>
                <c:pt idx="581">
                  <c:v>2245.1882419614312</c:v>
                </c:pt>
                <c:pt idx="582">
                  <c:v>2255.3417333539351</c:v>
                </c:pt>
                <c:pt idx="583">
                  <c:v>2265.3673768852241</c:v>
                </c:pt>
                <c:pt idx="584">
                  <c:v>2275.2659352181313</c:v>
                </c:pt>
                <c:pt idx="585">
                  <c:v>2285.038155579558</c:v>
                </c:pt>
                <c:pt idx="586">
                  <c:v>2294.6847700848321</c:v>
                </c:pt>
                <c:pt idx="587">
                  <c:v>2304.2064960524385</c:v>
                </c:pt>
                <c:pt idx="588">
                  <c:v>2313.6040363094485</c:v>
                </c:pt>
                <c:pt idx="589">
                  <c:v>2322.8780794879558</c:v>
                </c:pt>
                <c:pt idx="590">
                  <c:v>2332.0293003128254</c:v>
                </c:pt>
                <c:pt idx="591">
                  <c:v>2341.0583598810326</c:v>
                </c:pt>
                <c:pt idx="592">
                  <c:v>2349.9659059328783</c:v>
                </c:pt>
                <c:pt idx="593">
                  <c:v>2358.7525731153364</c:v>
                </c:pt>
                <c:pt idx="594">
                  <c:v>2367.4189832377942</c:v>
                </c:pt>
                <c:pt idx="595">
                  <c:v>2375.9657455204278</c:v>
                </c:pt>
                <c:pt idx="596">
                  <c:v>2384.393456835448</c:v>
                </c:pt>
                <c:pt idx="597">
                  <c:v>2392.7027019414427</c:v>
                </c:pt>
                <c:pt idx="598">
                  <c:v>2400.8940537110357</c:v>
                </c:pt>
                <c:pt idx="599">
                  <c:v>2408.9680733520663</c:v>
                </c:pt>
                <c:pt idx="600">
                  <c:v>2416.9253106224974</c:v>
                </c:pt>
                <c:pt idx="601">
                  <c:v>2424.7663040392408</c:v>
                </c:pt>
                <c:pt idx="602">
                  <c:v>2432.4915810810885</c:v>
                </c:pt>
                <c:pt idx="603">
                  <c:v>2440.1016583859314</c:v>
                </c:pt>
                <c:pt idx="604">
                  <c:v>2447.5970419424352</c:v>
                </c:pt>
                <c:pt idx="605">
                  <c:v>2454.9782272763432</c:v>
                </c:pt>
                <c:pt idx="606">
                  <c:v>2462.2456996315645</c:v>
                </c:pt>
                <c:pt idx="607">
                  <c:v>2469.3999341462063</c:v>
                </c:pt>
                <c:pt idx="608">
                  <c:v>2476.4413960236948</c:v>
                </c:pt>
                <c:pt idx="609">
                  <c:v>2483.3705406991344</c:v>
                </c:pt>
                <c:pt idx="610">
                  <c:v>2490.1878140010399</c:v>
                </c:pt>
                <c:pt idx="611">
                  <c:v>2496.8936523085804</c:v>
                </c:pt>
                <c:pt idx="612">
                  <c:v>2503.4884827044611</c:v>
                </c:pt>
                <c:pt idx="613">
                  <c:v>2509.9727231235706</c:v>
                </c:pt>
                <c:pt idx="614">
                  <c:v>2516.3467824975155</c:v>
                </c:pt>
                <c:pt idx="615">
                  <c:v>2522.6110608951585</c:v>
                </c:pt>
                <c:pt idx="616">
                  <c:v>2528.765949659276</c:v>
                </c:pt>
                <c:pt idx="617">
                  <c:v>2534.8118315394418</c:v>
                </c:pt>
                <c:pt idx="618">
                  <c:v>2540.7490808212488</c:v>
                </c:pt>
                <c:pt idx="619">
                  <c:v>2546.5780634519679</c:v>
                </c:pt>
                <c:pt idx="620">
                  <c:v>2552.2991371627481</c:v>
                </c:pt>
                <c:pt idx="621">
                  <c:v>2557.9126515874564</c:v>
                </c:pt>
                <c:pt idx="622">
                  <c:v>2563.4189483782502</c:v>
                </c:pt>
                <c:pt idx="623">
                  <c:v>2568.818361317979</c:v>
                </c:pt>
                <c:pt idx="624">
                  <c:v>2574.1112164295046</c:v>
                </c:pt>
                <c:pt idx="625">
                  <c:v>2579.297832082033</c:v>
                </c:pt>
                <c:pt idx="626">
                  <c:v>2584.3785190945405</c:v>
                </c:pt>
                <c:pt idx="627">
                  <c:v>2589.3535808363858</c:v>
                </c:pt>
                <c:pt idx="628">
                  <c:v>2594.223313325193</c:v>
                </c:pt>
                <c:pt idx="629">
                  <c:v>2598.9880053220886</c:v>
                </c:pt>
                <c:pt idx="630">
                  <c:v>2603.6479384243803</c:v>
                </c:pt>
                <c:pt idx="631">
                  <c:v>2608.2033871557592</c:v>
                </c:pt>
                <c:pt idx="632">
                  <c:v>2612.6546190541144</c:v>
                </c:pt>
                <c:pt idx="633">
                  <c:v>2617.0018947570452</c:v>
                </c:pt>
                <c:pt idx="634">
                  <c:v>2621.2454680851556</c:v>
                </c:pt>
                <c:pt idx="635">
                  <c:v>2625.3855861232259</c:v>
                </c:pt>
                <c:pt idx="636">
                  <c:v>2629.4224892993516</c:v>
                </c:pt>
                <c:pt idx="637">
                  <c:v>2633.3564114621449</c:v>
                </c:pt>
                <c:pt idx="638">
                  <c:v>2637.1875799561021</c:v>
                </c:pt>
                <c:pt idx="639">
                  <c:v>2640.9162156952402</c:v>
                </c:pt>
                <c:pt idx="640">
                  <c:v>2644.5425332351178</c:v>
                </c:pt>
                <c:pt idx="641">
                  <c:v>2648.0667408433587</c:v>
                </c:pt>
                <c:pt idx="642">
                  <c:v>2651.4890405688125</c:v>
                </c:pt>
                <c:pt idx="643">
                  <c:v>2654.8096283094892</c:v>
                </c:pt>
                <c:pt idx="644">
                  <c:v>2658.028693879427</c:v>
                </c:pt>
                <c:pt idx="645">
                  <c:v>2661.1464210746649</c:v>
                </c:pt>
                <c:pt idx="646">
                  <c:v>2664.1629877385076</c:v>
                </c:pt>
                <c:pt idx="647">
                  <c:v>2667.0785658263017</c:v>
                </c:pt>
                <c:pt idx="648">
                  <c:v>2669.8933214699578</c:v>
                </c:pt>
                <c:pt idx="649">
                  <c:v>2672.607415042492</c:v>
                </c:pt>
                <c:pt idx="650">
                  <c:v>2675.2210012228948</c:v>
                </c:pt>
                <c:pt idx="651">
                  <c:v>2677.7342290616766</c:v>
                </c:pt>
                <c:pt idx="652">
                  <c:v>2680.1472420474902</c:v>
                </c:pt>
                <c:pt idx="653">
                  <c:v>2682.4601781752872</c:v>
                </c:pt>
                <c:pt idx="654">
                  <c:v>2684.6731700165351</c:v>
                </c:pt>
                <c:pt idx="655">
                  <c:v>2686.7863447920968</c:v>
                </c:pt>
                <c:pt idx="656">
                  <c:v>2688.7998244484629</c:v>
                </c:pt>
                <c:pt idx="657">
                  <c:v>2690.7137257381282</c:v>
                </c:pt>
                <c:pt idx="658">
                  <c:v>2692.528160305023</c:v>
                </c:pt>
                <c:pt idx="659">
                  <c:v>2694.2432347760264</c:v>
                </c:pt>
                <c:pt idx="660">
                  <c:v>2695.8590508597376</c:v>
                </c:pt>
                <c:pt idx="661">
                  <c:v>2697.3757054538255</c:v>
                </c:pt>
                <c:pt idx="662">
                  <c:v>2698.7932907624336</c:v>
                </c:pt>
                <c:pt idx="663">
                  <c:v>2700.1118944252758</c:v>
                </c:pt>
                <c:pt idx="664">
                  <c:v>2701.3315996602023</c:v>
                </c:pt>
                <c:pt idx="665">
                  <c:v>2702.4524854211468</c:v>
                </c:pt>
                <c:pt idx="666">
                  <c:v>2703.4746265734448</c:v>
                </c:pt>
                <c:pt idx="667">
                  <c:v>2704.3980940885499</c:v>
                </c:pt>
                <c:pt idx="668">
                  <c:v>2705.2229552601057</c:v>
                </c:pt>
                <c:pt idx="669">
                  <c:v>2705.9492739431603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3B-6442-AFEC-07E56791BA28}"/>
            </c:ext>
          </c:extLst>
        </c:ser>
        <c:ser>
          <c:idx val="6"/>
          <c:order val="5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Trajecto!$D$155</c:f>
              <c:numCache>
                <c:formatCode>0</c:formatCode>
                <c:ptCount val="1"/>
                <c:pt idx="0">
                  <c:v>117.61212939926348</c:v>
                </c:pt>
              </c:numCache>
            </c:numRef>
          </c:xVal>
          <c:yVal>
            <c:numRef>
              <c:f>Trajecto!$C$155</c:f>
              <c:numCache>
                <c:formatCode>0</c:formatCode>
                <c:ptCount val="1"/>
                <c:pt idx="0">
                  <c:v>1353.2885554089967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3B-6442-AFEC-07E56791BA28}"/>
            </c:ext>
          </c:extLst>
        </c:ser>
        <c:ser>
          <c:idx val="7"/>
          <c:order val="6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808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Trajecto!$D$156</c:f>
              <c:numCache>
                <c:formatCode>0</c:formatCode>
                <c:ptCount val="1"/>
                <c:pt idx="0">
                  <c:v>725.53090024651692</c:v>
                </c:pt>
              </c:numCache>
            </c:numRef>
          </c:xVal>
          <c:yVal>
            <c:numRef>
              <c:f>Trajecto!$C$156</c:f>
              <c:numCache>
                <c:formatCode>0</c:formatCode>
                <c:ptCount val="1"/>
                <c:pt idx="0">
                  <c:v>1354.1205041303517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3B-6442-AFEC-07E56791BA28}"/>
            </c:ext>
          </c:extLst>
        </c:ser>
        <c:ser>
          <c:idx val="8"/>
          <c:order val="7"/>
          <c:tx>
            <c:strRef>
              <c:f>Trajecto!$D$158</c:f>
              <c:strCache>
                <c:ptCount val="1"/>
                <c:pt idx="0">
                  <c:v>Arc de triomphe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dLbls>
            <c:dLbl>
              <c:idx val="8"/>
              <c:tx>
                <c:strRef>
                  <c:f>Trajecto!$D$158</c:f>
                  <c:strCache>
                    <c:ptCount val="1"/>
                    <c:pt idx="0">
                      <c:v>Arc de triomphe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C0C0C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{A9B37405-7C86-483B-8EC3-9F2067AA4273}</c15:txfldGUID>
                      <c15:f>Trajecto!$D$158</c15:f>
                      <c15:dlblFieldTableCache>
                        <c:ptCount val="1"/>
                        <c:pt idx="0">
                          <c:v>Arc de triomphe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4B3B-6442-AFEC-07E56791BA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Trajecto!$D$159:$D$174</c:f>
              <c:numCache>
                <c:formatCode>0</c:formatCode>
                <c:ptCount val="16"/>
                <c:pt idx="0">
                  <c:v>479.4544914761434</c:v>
                </c:pt>
                <c:pt idx="1">
                  <c:v>502.4544914761434</c:v>
                </c:pt>
                <c:pt idx="2">
                  <c:v>502.4544914761434</c:v>
                </c:pt>
                <c:pt idx="3">
                  <c:v>479.4544914761434</c:v>
                </c:pt>
                <c:pt idx="4">
                  <c:v>502.4544914761434</c:v>
                </c:pt>
                <c:pt idx="5">
                  <c:v>502.4544914761434</c:v>
                </c:pt>
                <c:pt idx="6">
                  <c:v>487.4544914761434</c:v>
                </c:pt>
                <c:pt idx="7">
                  <c:v>487.4544914761434</c:v>
                </c:pt>
                <c:pt idx="8">
                  <c:v>502.4544914761434</c:v>
                </c:pt>
                <c:pt idx="9">
                  <c:v>487.4544914761434</c:v>
                </c:pt>
                <c:pt idx="10">
                  <c:v>487.05449147614343</c:v>
                </c:pt>
                <c:pt idx="11">
                  <c:v>486.25449147614341</c:v>
                </c:pt>
                <c:pt idx="12">
                  <c:v>485.4544914761434</c:v>
                </c:pt>
                <c:pt idx="13">
                  <c:v>484.4544914761434</c:v>
                </c:pt>
                <c:pt idx="14">
                  <c:v>483.25449147614341</c:v>
                </c:pt>
                <c:pt idx="15">
                  <c:v>479.4544914761434</c:v>
                </c:pt>
              </c:numCache>
            </c:numRef>
          </c:xVal>
          <c:yVal>
            <c:numRef>
              <c:f>Trajecto!$B$161:$B$176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3B-6442-AFEC-07E56791BA28}"/>
            </c:ext>
          </c:extLst>
        </c:ser>
        <c:ser>
          <c:idx val="9"/>
          <c:order val="8"/>
          <c:tx>
            <c:strRef>
              <c:f>Trajecto!$F$158</c:f>
              <c:strCache>
                <c:ptCount val="1"/>
                <c:pt idx="0">
                  <c:v>Arc de triomphe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Trajecto!$F$159:$F$174</c:f>
              <c:numCache>
                <c:formatCode>0</c:formatCode>
                <c:ptCount val="16"/>
                <c:pt idx="0">
                  <c:v>479.4544914761434</c:v>
                </c:pt>
                <c:pt idx="1">
                  <c:v>456.4544914761434</c:v>
                </c:pt>
                <c:pt idx="2">
                  <c:v>456.4544914761434</c:v>
                </c:pt>
                <c:pt idx="3">
                  <c:v>479.4544914761434</c:v>
                </c:pt>
                <c:pt idx="4">
                  <c:v>456.4544914761434</c:v>
                </c:pt>
                <c:pt idx="5">
                  <c:v>456.4544914761434</c:v>
                </c:pt>
                <c:pt idx="6">
                  <c:v>471.4544914761434</c:v>
                </c:pt>
                <c:pt idx="7">
                  <c:v>471.4544914761434</c:v>
                </c:pt>
                <c:pt idx="8">
                  <c:v>456.4544914761434</c:v>
                </c:pt>
                <c:pt idx="9">
                  <c:v>471.4544914761434</c:v>
                </c:pt>
                <c:pt idx="10">
                  <c:v>471.85449147614338</c:v>
                </c:pt>
                <c:pt idx="11">
                  <c:v>472.65449147614339</c:v>
                </c:pt>
                <c:pt idx="12">
                  <c:v>473.4544914761434</c:v>
                </c:pt>
                <c:pt idx="13">
                  <c:v>474.4544914761434</c:v>
                </c:pt>
                <c:pt idx="14">
                  <c:v>475.65449147614339</c:v>
                </c:pt>
                <c:pt idx="15">
                  <c:v>479.4544914761434</c:v>
                </c:pt>
              </c:numCache>
            </c:numRef>
          </c:xVal>
          <c:yVal>
            <c:numRef>
              <c:f>Trajecto!$B$161:$B$176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B3B-6442-AFEC-07E56791BA28}"/>
            </c:ext>
          </c:extLst>
        </c:ser>
        <c:ser>
          <c:idx val="10"/>
          <c:order val="9"/>
          <c:tx>
            <c:strRef>
              <c:f>Trajecto!$D$176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dLbls>
            <c:dLbl>
              <c:idx val="6"/>
              <c:tx>
                <c:strRef>
                  <c:f>Trajecto!$D$176</c:f>
                  <c:strCache>
                    <c:ptCount val="1"/>
                    <c:pt idx="0">
                      <c:v>Tour Eiffel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C0C0C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{76F8B358-B392-4552-8D3B-C0ECC77E6CEF}</c15:txfldGUID>
                      <c15:f>Trajecto!$D$176</c15:f>
                      <c15:dlblFieldTableCache>
                        <c:ptCount val="1"/>
                        <c:pt idx="0">
                          <c:v>Tour Eiffel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4B3B-6442-AFEC-07E56791BA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Trajecto!$D$177:$D$193</c:f>
              <c:numCache>
                <c:formatCode>0</c:formatCode>
                <c:ptCount val="17"/>
                <c:pt idx="0">
                  <c:v>479.4544914761434</c:v>
                </c:pt>
                <c:pt idx="1">
                  <c:v>479.4544914761434</c:v>
                </c:pt>
                <c:pt idx="2">
                  <c:v>489.4544914761434</c:v>
                </c:pt>
                <c:pt idx="3">
                  <c:v>479.4544914761434</c:v>
                </c:pt>
                <c:pt idx="4">
                  <c:v>489.4544914761434</c:v>
                </c:pt>
                <c:pt idx="5">
                  <c:v>492.4544914761434</c:v>
                </c:pt>
                <c:pt idx="6">
                  <c:v>496.4544914761434</c:v>
                </c:pt>
                <c:pt idx="7">
                  <c:v>499.4544914761434</c:v>
                </c:pt>
                <c:pt idx="8">
                  <c:v>504.4544914761434</c:v>
                </c:pt>
                <c:pt idx="9">
                  <c:v>509.4544914761434</c:v>
                </c:pt>
                <c:pt idx="10">
                  <c:v>515.4544914761434</c:v>
                </c:pt>
                <c:pt idx="11">
                  <c:v>527.4544914761434</c:v>
                </c:pt>
                <c:pt idx="12">
                  <c:v>541.4544914761434</c:v>
                </c:pt>
                <c:pt idx="13">
                  <c:v>516.4544914761434</c:v>
                </c:pt>
                <c:pt idx="14">
                  <c:v>509.4544914761434</c:v>
                </c:pt>
                <c:pt idx="15">
                  <c:v>494.4544914761434</c:v>
                </c:pt>
                <c:pt idx="16">
                  <c:v>479.4544914761434</c:v>
                </c:pt>
              </c:numCache>
            </c:numRef>
          </c:xVal>
          <c:yVal>
            <c:numRef>
              <c:f>Trajecto!$B$179:$B$195</c:f>
              <c:numCache>
                <c:formatCode>General</c:formatCode>
                <c:ptCount val="17"/>
                <c:pt idx="0">
                  <c:v>324</c:v>
                </c:pt>
                <c:pt idx="1">
                  <c:v>300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200</c:v>
                </c:pt>
                <c:pt idx="6">
                  <c:v>160</c:v>
                </c:pt>
                <c:pt idx="7">
                  <c:v>115</c:v>
                </c:pt>
                <c:pt idx="8">
                  <c:v>90</c:v>
                </c:pt>
                <c:pt idx="9">
                  <c:v>57</c:v>
                </c:pt>
                <c:pt idx="10">
                  <c:v>40</c:v>
                </c:pt>
                <c:pt idx="11">
                  <c:v>20</c:v>
                </c:pt>
                <c:pt idx="12">
                  <c:v>0.5</c:v>
                </c:pt>
                <c:pt idx="13">
                  <c:v>0.5</c:v>
                </c:pt>
                <c:pt idx="14">
                  <c:v>15</c:v>
                </c:pt>
                <c:pt idx="15">
                  <c:v>30</c:v>
                </c:pt>
                <c:pt idx="1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B3B-6442-AFEC-07E56791BA28}"/>
            </c:ext>
          </c:extLst>
        </c:ser>
        <c:ser>
          <c:idx val="11"/>
          <c:order val="10"/>
          <c:tx>
            <c:strRef>
              <c:f>Trajecto!$F$176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Trajecto!$F$177:$F$193</c:f>
              <c:numCache>
                <c:formatCode>0</c:formatCode>
                <c:ptCount val="17"/>
                <c:pt idx="0">
                  <c:v>479.4544914761434</c:v>
                </c:pt>
                <c:pt idx="1">
                  <c:v>479.4544914761434</c:v>
                </c:pt>
                <c:pt idx="2">
                  <c:v>469.4544914761434</c:v>
                </c:pt>
                <c:pt idx="3">
                  <c:v>479.4544914761434</c:v>
                </c:pt>
                <c:pt idx="4">
                  <c:v>469.4544914761434</c:v>
                </c:pt>
                <c:pt idx="5">
                  <c:v>466.4544914761434</c:v>
                </c:pt>
                <c:pt idx="6">
                  <c:v>462.4544914761434</c:v>
                </c:pt>
                <c:pt idx="7">
                  <c:v>459.4544914761434</c:v>
                </c:pt>
                <c:pt idx="8">
                  <c:v>454.4544914761434</c:v>
                </c:pt>
                <c:pt idx="9">
                  <c:v>449.4544914761434</c:v>
                </c:pt>
                <c:pt idx="10">
                  <c:v>443.4544914761434</c:v>
                </c:pt>
                <c:pt idx="11">
                  <c:v>431.4544914761434</c:v>
                </c:pt>
                <c:pt idx="12">
                  <c:v>417.4544914761434</c:v>
                </c:pt>
                <c:pt idx="13">
                  <c:v>442.4544914761434</c:v>
                </c:pt>
                <c:pt idx="14">
                  <c:v>449.4544914761434</c:v>
                </c:pt>
                <c:pt idx="15">
                  <c:v>464.4544914761434</c:v>
                </c:pt>
                <c:pt idx="16">
                  <c:v>479.4544914761434</c:v>
                </c:pt>
              </c:numCache>
            </c:numRef>
          </c:xVal>
          <c:yVal>
            <c:numRef>
              <c:f>Trajecto!$B$179:$B$195</c:f>
              <c:numCache>
                <c:formatCode>General</c:formatCode>
                <c:ptCount val="17"/>
                <c:pt idx="0">
                  <c:v>324</c:v>
                </c:pt>
                <c:pt idx="1">
                  <c:v>300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200</c:v>
                </c:pt>
                <c:pt idx="6">
                  <c:v>160</c:v>
                </c:pt>
                <c:pt idx="7">
                  <c:v>115</c:v>
                </c:pt>
                <c:pt idx="8">
                  <c:v>90</c:v>
                </c:pt>
                <c:pt idx="9">
                  <c:v>57</c:v>
                </c:pt>
                <c:pt idx="10">
                  <c:v>40</c:v>
                </c:pt>
                <c:pt idx="11">
                  <c:v>20</c:v>
                </c:pt>
                <c:pt idx="12">
                  <c:v>0.5</c:v>
                </c:pt>
                <c:pt idx="13">
                  <c:v>0.5</c:v>
                </c:pt>
                <c:pt idx="14">
                  <c:v>15</c:v>
                </c:pt>
                <c:pt idx="15">
                  <c:v>30</c:v>
                </c:pt>
                <c:pt idx="1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B3B-6442-AFEC-07E56791BA28}"/>
            </c:ext>
          </c:extLst>
        </c:ser>
        <c:ser>
          <c:idx val="12"/>
          <c:order val="11"/>
          <c:tx>
            <c:strRef>
              <c:f>Trajecto!$D$176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Trajecto!$D$194:$D$197</c:f>
              <c:numCache>
                <c:formatCode>0</c:formatCode>
                <c:ptCount val="4"/>
                <c:pt idx="0">
                  <c:v>479.4544914761434</c:v>
                </c:pt>
                <c:pt idx="1">
                  <c:v>496.4544914761434</c:v>
                </c:pt>
                <c:pt idx="2">
                  <c:v>490.4544914761434</c:v>
                </c:pt>
                <c:pt idx="3">
                  <c:v>479.4544914761434</c:v>
                </c:pt>
              </c:numCache>
            </c:numRef>
          </c:xVal>
          <c:yVal>
            <c:numRef>
              <c:f>Trajecto!$B$196:$B$199</c:f>
              <c:numCache>
                <c:formatCode>General</c:formatCode>
                <c:ptCount val="4"/>
                <c:pt idx="0">
                  <c:v>67</c:v>
                </c:pt>
                <c:pt idx="1">
                  <c:v>67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B3B-6442-AFEC-07E56791BA28}"/>
            </c:ext>
          </c:extLst>
        </c:ser>
        <c:ser>
          <c:idx val="13"/>
          <c:order val="12"/>
          <c:tx>
            <c:strRef>
              <c:f>Trajecto!$F$176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Trajecto!$F$194:$F$197</c:f>
              <c:numCache>
                <c:formatCode>0</c:formatCode>
                <c:ptCount val="4"/>
                <c:pt idx="0">
                  <c:v>479.4544914761434</c:v>
                </c:pt>
                <c:pt idx="1">
                  <c:v>462.4544914761434</c:v>
                </c:pt>
                <c:pt idx="2">
                  <c:v>468.4544914761434</c:v>
                </c:pt>
                <c:pt idx="3">
                  <c:v>479.4544914761434</c:v>
                </c:pt>
              </c:numCache>
            </c:numRef>
          </c:xVal>
          <c:yVal>
            <c:numRef>
              <c:f>Trajecto!$B$196:$B$199</c:f>
              <c:numCache>
                <c:formatCode>General</c:formatCode>
                <c:ptCount val="4"/>
                <c:pt idx="0">
                  <c:v>67</c:v>
                </c:pt>
                <c:pt idx="1">
                  <c:v>67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B3B-6442-AFEC-07E56791BA28}"/>
            </c:ext>
          </c:extLst>
        </c:ser>
        <c:ser>
          <c:idx val="3"/>
          <c:order val="13"/>
          <c:tx>
            <c:strRef>
              <c:f>Trajecto!$B$108</c:f>
              <c:strCache>
                <c:ptCount val="1"/>
                <c:pt idx="0">
                  <c:v>Fusée sous parachute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dLbls>
            <c:dLbl>
              <c:idx val="1"/>
              <c:tx>
                <c:strRef>
                  <c:f>Trajecto!$B$108</c:f>
                  <c:strCache>
                    <c:ptCount val="1"/>
                    <c:pt idx="0">
                      <c:v>Fusée sous parachute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{8B07AEBE-EDA7-4E78-9084-B50B7E2C3301}</c15:txfldGUID>
                      <c15:f>Trajecto!$B$108</c15:f>
                      <c15:dlblFieldTableCache>
                        <c:ptCount val="1"/>
                        <c:pt idx="0">
                          <c:v>Fusée sous parachute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4B3B-6442-AFEC-07E56791BA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Trajecto!$B$123:$B$129</c:f>
              <c:numCache>
                <c:formatCode>0</c:formatCode>
                <c:ptCount val="7"/>
                <c:pt idx="0">
                  <c:v>470.44851759705392</c:v>
                </c:pt>
                <c:pt idx="1">
                  <c:v>470.44851759705392</c:v>
                </c:pt>
                <c:pt idx="2">
                  <c:v>470.44851759705392</c:v>
                </c:pt>
                <c:pt idx="3">
                  <c:v>538.1129453675037</c:v>
                </c:pt>
                <c:pt idx="4">
                  <c:v>470.44851759705392</c:v>
                </c:pt>
                <c:pt idx="5">
                  <c:v>402.78408982660409</c:v>
                </c:pt>
                <c:pt idx="6">
                  <c:v>470.44851759705392</c:v>
                </c:pt>
              </c:numCache>
            </c:numRef>
          </c:xVal>
          <c:yVal>
            <c:numRef>
              <c:f>Trajecto!$C$121:$C$127</c:f>
              <c:numCache>
                <c:formatCode>0</c:formatCode>
                <c:ptCount val="7"/>
                <c:pt idx="0">
                  <c:v>2706.5771108179933</c:v>
                </c:pt>
                <c:pt idx="1">
                  <c:v>1353.2885554089967</c:v>
                </c:pt>
                <c:pt idx="2">
                  <c:v>0</c:v>
                </c:pt>
                <c:pt idx="3">
                  <c:v>135.32885554089967</c:v>
                </c:pt>
                <c:pt idx="4">
                  <c:v>0</c:v>
                </c:pt>
                <c:pt idx="5">
                  <c:v>135.32885554089967</c:v>
                </c:pt>
                <c:pt idx="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B3B-6442-AFEC-07E56791B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365328"/>
        <c:axId val="1"/>
      </c:scatterChart>
      <c:valAx>
        <c:axId val="18063653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Trajecto!$B$111</c:f>
              <c:strCache>
                <c:ptCount val="1"/>
                <c:pt idx="0">
                  <c:v>Portée x [m]</c:v>
                </c:pt>
              </c:strCache>
            </c:strRef>
          </c:tx>
          <c:layout>
            <c:manualLayout>
              <c:xMode val="edge"/>
              <c:yMode val="edge"/>
              <c:x val="0.56464627732344275"/>
              <c:y val="0.84829693458129052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800" b="1" i="0" u="none" strike="noStrike" baseline="0">
                  <a:solidFill>
                    <a:srgbClr val="0000FF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Altitude z [m]</a:t>
                </a:r>
              </a:p>
            </c:rich>
          </c:tx>
          <c:layout>
            <c:manualLayout>
              <c:xMode val="edge"/>
              <c:yMode val="edge"/>
              <c:x val="8.1818320007296386E-2"/>
              <c:y val="6.8111391736410301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6365328"/>
        <c:crosses val="autoZero"/>
        <c:crossBetween val="midCat"/>
      </c:valAx>
      <c:spPr>
        <a:gradFill rotWithShape="0">
          <a:gsLst>
            <a:gs pos="0">
              <a:srgbClr val="99CC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paperSize="9" firstPageNumber="0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Trajecto!$B$113</c:f>
          <c:strCache>
            <c:ptCount val="1"/>
            <c:pt idx="0">
              <c:v>Altitude z  /  Temps</c:v>
            </c:pt>
          </c:strCache>
        </c:strRef>
      </c:tx>
      <c:layout>
        <c:manualLayout>
          <c:xMode val="edge"/>
          <c:yMode val="edge"/>
          <c:x val="0.57666688909649"/>
          <c:y val="3.71518182868650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6666916233451413E-2"/>
          <c:y val="3.5608360198500402E-2"/>
          <c:w val="0.89333624132890865"/>
          <c:h val="0.89614373166225958"/>
        </c:manualLayout>
      </c:layout>
      <c:scatterChart>
        <c:scatterStyle val="lineMarker"/>
        <c:varyColors val="0"/>
        <c:ser>
          <c:idx val="4"/>
          <c:order val="0"/>
          <c:tx>
            <c:v>Point invisible pour mise à l'echelle</c:v>
          </c:tx>
          <c:spPr>
            <a:ln w="28575">
              <a:noFill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Trajecto!$B$120</c:f>
              <c:numCache>
                <c:formatCode>0</c:formatCode>
                <c:ptCount val="1"/>
                <c:pt idx="0">
                  <c:v>2708.2410082607034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C-E84B-8A2E-77A3E8DE6A60}"/>
            </c:ext>
          </c:extLst>
        </c:ser>
        <c:ser>
          <c:idx val="0"/>
          <c:order val="1"/>
          <c:tx>
            <c:v>1 point par seconde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Calculs!$AC$4:$AC$1004</c:f>
              <c:numCache>
                <c:formatCode>0</c:formatCode>
                <c:ptCount val="100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1.0000000000000007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2.0000000000000013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2.99999999999998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3.9999999999999587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4.9999999999999378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5.9999999999999343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6.9999999999999307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7.9999999999999272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8.9999999999999236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9.9999999999999201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10.999999999999917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11.999999999999913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12.999999999999909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13.999999999999906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14.999999999999902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15.999999999999899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16.999999999999911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17.999999999999925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18.99999999999994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19.999999999999954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20.999999999999968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21.999999999999982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22.999999999999996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24.000000000000011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25.000000000000025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26.000000000000039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27.000000000000053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28.000000000000068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29.000000000000082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30.000000000000096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31.00000000000011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32.000000000000121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33.000000000000135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34.000000000000149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35.000000000000163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36.000000000000178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37.000000000000192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38.000000000000206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39.00000000000022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40.000000000000234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41.000000000000249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42.000000000000263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43.000000000000277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44.000000000000291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45.000000000000306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46.00000000000032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47.000000000000334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48.000000000000348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49.000000000000362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4.8454537426533613E-4</c:v>
                </c:pt>
                <c:pt idx="2">
                  <c:v>3.0098523531846906E-3</c:v>
                </c:pt>
                <c:pt idx="3">
                  <c:v>9.0924669372744408E-3</c:v>
                </c:pt>
                <c:pt idx="4">
                  <c:v>1.9622488329450273E-2</c:v>
                </c:pt>
                <c:pt idx="5">
                  <c:v>3.5490770437777167E-2</c:v>
                </c:pt>
                <c:pt idx="6">
                  <c:v>5.7589035102754378E-2</c:v>
                </c:pt>
                <c:pt idx="7">
                  <c:v>8.6809984293011788E-2</c:v>
                </c:pt>
                <c:pt idx="8">
                  <c:v>0.12404741131150263</c:v>
                </c:pt>
                <c:pt idx="9">
                  <c:v>0.17019631105286553</c:v>
                </c:pt>
                <c:pt idx="10">
                  <c:v>0.22615298935126302</c:v>
                </c:pt>
                <c:pt idx="11">
                  <c:v>0.29255910031611482</c:v>
                </c:pt>
                <c:pt idx="12">
                  <c:v>0.36954504731527471</c:v>
                </c:pt>
                <c:pt idx="13">
                  <c:v>0.45698322648663359</c:v>
                </c:pt>
                <c:pt idx="14">
                  <c:v>0.55474185008536059</c:v>
                </c:pt>
                <c:pt idx="15">
                  <c:v>0.66268689479262965</c:v>
                </c:pt>
                <c:pt idx="16">
                  <c:v>0.78068405450253586</c:v>
                </c:pt>
                <c:pt idx="17">
                  <c:v>0.90859874514596273</c:v>
                </c:pt>
                <c:pt idx="18">
                  <c:v>1.0462961095112582</c:v>
                </c:pt>
                <c:pt idx="19">
                  <c:v>1.1936410220609734</c:v>
                </c:pt>
                <c:pt idx="20">
                  <c:v>1.3504980937439244</c:v>
                </c:pt>
                <c:pt idx="21">
                  <c:v>1.5167316768018404</c:v>
                </c:pt>
                <c:pt idx="22">
                  <c:v>1.6922058695698703</c:v>
                </c:pt>
                <c:pt idx="23">
                  <c:v>1.8767845212702179</c:v>
                </c:pt>
                <c:pt idx="24">
                  <c:v>2.070331236798189</c:v>
                </c:pt>
                <c:pt idx="25">
                  <c:v>2.2727093814999333</c:v>
                </c:pt>
                <c:pt idx="26">
                  <c:v>2.4837820859411726</c:v>
                </c:pt>
                <c:pt idx="27">
                  <c:v>2.7034466785245099</c:v>
                </c:pt>
                <c:pt idx="28">
                  <c:v>2.9316691784966009</c:v>
                </c:pt>
                <c:pt idx="29">
                  <c:v>3.1684499594633553</c:v>
                </c:pt>
                <c:pt idx="30">
                  <c:v>3.4137893501040186</c:v>
                </c:pt>
                <c:pt idx="31">
                  <c:v>3.6676876341132512</c:v>
                </c:pt>
                <c:pt idx="32">
                  <c:v>3.9301450501442883</c:v>
                </c:pt>
                <c:pt idx="33">
                  <c:v>4.2011617917531918</c:v>
                </c:pt>
                <c:pt idx="34">
                  <c:v>4.4807342796552891</c:v>
                </c:pt>
                <c:pt idx="35">
                  <c:v>4.7688587659544588</c:v>
                </c:pt>
                <c:pt idx="36">
                  <c:v>5.0655350626862239</c:v>
                </c:pt>
                <c:pt idx="37">
                  <c:v>5.37076294017763</c:v>
                </c:pt>
                <c:pt idx="38">
                  <c:v>5.684542128653665</c:v>
                </c:pt>
                <c:pt idx="39">
                  <c:v>6.0068723179364136</c:v>
                </c:pt>
                <c:pt idx="40">
                  <c:v>6.3377531571639567</c:v>
                </c:pt>
                <c:pt idx="41">
                  <c:v>6.6771842545272015</c:v>
                </c:pt>
                <c:pt idx="42">
                  <c:v>7.0251651770230428</c:v>
                </c:pt>
                <c:pt idx="43">
                  <c:v>7.3816954502224439</c:v>
                </c:pt>
                <c:pt idx="44">
                  <c:v>7.7467745580521896</c:v>
                </c:pt>
                <c:pt idx="45">
                  <c:v>8.1204019425892007</c:v>
                </c:pt>
                <c:pt idx="46">
                  <c:v>8.5025770038664259</c:v>
                </c:pt>
                <c:pt idx="47">
                  <c:v>8.8932990996894254</c:v>
                </c:pt>
                <c:pt idx="48">
                  <c:v>9.2925675454628678</c:v>
                </c:pt>
                <c:pt idx="49">
                  <c:v>9.7003816140262167</c:v>
                </c:pt>
                <c:pt idx="50">
                  <c:v>10.116740535497987</c:v>
                </c:pt>
                <c:pt idx="51">
                  <c:v>10.541643497127991</c:v>
                </c:pt>
                <c:pt idx="52">
                  <c:v>10.975089643157048</c:v>
                </c:pt>
                <c:pt idx="53">
                  <c:v>11.417078074683706</c:v>
                </c:pt>
                <c:pt idx="54">
                  <c:v>11.867607849537535</c:v>
                </c:pt>
                <c:pt idx="55">
                  <c:v>12.326677982158607</c:v>
                </c:pt>
                <c:pt idx="56">
                  <c:v>12.794287443482824</c:v>
                </c:pt>
                <c:pt idx="57">
                  <c:v>13.270435160832752</c:v>
                </c:pt>
                <c:pt idx="58">
                  <c:v>13.755120017813685</c:v>
                </c:pt>
                <c:pt idx="59">
                  <c:v>14.248340854214662</c:v>
                </c:pt>
                <c:pt idx="60">
                  <c:v>14.750096465914199</c:v>
                </c:pt>
                <c:pt idx="61">
                  <c:v>15.260385604790489</c:v>
                </c:pt>
                <c:pt idx="62">
                  <c:v>15.779206978635896</c:v>
                </c:pt>
                <c:pt idx="63">
                  <c:v>16.30655925107552</c:v>
                </c:pt>
                <c:pt idx="64">
                  <c:v>16.842441041489678</c:v>
                </c:pt>
                <c:pt idx="65">
                  <c:v>17.38685092494012</c:v>
                </c:pt>
                <c:pt idx="66">
                  <c:v>17.939787432099855</c:v>
                </c:pt>
                <c:pt idx="67">
                  <c:v>18.50124904918642</c:v>
                </c:pt>
                <c:pt idx="68">
                  <c:v>19.071234217898471</c:v>
                </c:pt>
                <c:pt idx="69">
                  <c:v>19.649741335355603</c:v>
                </c:pt>
                <c:pt idx="70">
                  <c:v>20.236768754041247</c:v>
                </c:pt>
                <c:pt idx="71">
                  <c:v>20.832314781748551</c:v>
                </c:pt>
                <c:pt idx="72">
                  <c:v>21.436377287415919</c:v>
                </c:pt>
                <c:pt idx="73">
                  <c:v>22.048953306369146</c:v>
                </c:pt>
                <c:pt idx="74">
                  <c:v>22.670039433573695</c:v>
                </c:pt>
                <c:pt idx="75">
                  <c:v>23.299632217497475</c:v>
                </c:pt>
                <c:pt idx="76">
                  <c:v>23.937728160093723</c:v>
                </c:pt>
                <c:pt idx="77">
                  <c:v>24.584323716786518</c:v>
                </c:pt>
                <c:pt idx="78">
                  <c:v>25.239415296458819</c:v>
                </c:pt>
                <c:pt idx="79">
                  <c:v>25.902999261443011</c:v>
                </c:pt>
                <c:pt idx="80">
                  <c:v>26.57507192751385</c:v>
                </c:pt>
                <c:pt idx="81">
                  <c:v>27.25562956388379</c:v>
                </c:pt>
                <c:pt idx="82">
                  <c:v>27.944668393200619</c:v>
                </c:pt>
                <c:pt idx="83">
                  <c:v>28.642184591547345</c:v>
                </c:pt>
                <c:pt idx="84">
                  <c:v>29.348174288444326</c:v>
                </c:pt>
                <c:pt idx="85">
                  <c:v>30.062633566853549</c:v>
                </c:pt>
                <c:pt idx="86">
                  <c:v>30.785558463185041</c:v>
                </c:pt>
                <c:pt idx="87">
                  <c:v>31.516944967305385</c:v>
                </c:pt>
                <c:pt idx="88">
                  <c:v>32.256789022548269</c:v>
                </c:pt>
                <c:pt idx="89">
                  <c:v>33.005086525727073</c:v>
                </c:pt>
                <c:pt idx="90">
                  <c:v>33.761833327149418</c:v>
                </c:pt>
                <c:pt idx="91">
                  <c:v>34.527025230633676</c:v>
                </c:pt>
                <c:pt idx="92">
                  <c:v>35.300657993527402</c:v>
                </c:pt>
                <c:pt idx="93">
                  <c:v>36.082727326727664</c:v>
                </c:pt>
                <c:pt idx="94">
                  <c:v>36.87322889470321</c:v>
                </c:pt>
                <c:pt idx="95">
                  <c:v>37.672158315518516</c:v>
                </c:pt>
                <c:pt idx="96">
                  <c:v>38.479511160859595</c:v>
                </c:pt>
                <c:pt idx="97">
                  <c:v>39.295282956061627</c:v>
                </c:pt>
                <c:pt idx="98">
                  <c:v>40.119469180138367</c:v>
                </c:pt>
                <c:pt idx="99">
                  <c:v>40.952065265813246</c:v>
                </c:pt>
                <c:pt idx="100">
                  <c:v>41.793066599552247</c:v>
                </c:pt>
                <c:pt idx="101">
                  <c:v>42.64246852159846</c:v>
                </c:pt>
                <c:pt idx="102">
                  <c:v>43.500266326008301</c:v>
                </c:pt>
                <c:pt idx="103">
                  <c:v>44.366455260689435</c:v>
                </c:pt>
                <c:pt idx="104">
                  <c:v>45.241030527440309</c:v>
                </c:pt>
                <c:pt idx="105">
                  <c:v>46.12398728199134</c:v>
                </c:pt>
                <c:pt idx="106">
                  <c:v>47.015320634047697</c:v>
                </c:pt>
                <c:pt idx="107">
                  <c:v>47.915025647333692</c:v>
                </c:pt>
                <c:pt idx="108">
                  <c:v>48.823097339638743</c:v>
                </c:pt>
                <c:pt idx="109">
                  <c:v>49.739530682864903</c:v>
                </c:pt>
                <c:pt idx="110">
                  <c:v>50.66432060307595</c:v>
                </c:pt>
                <c:pt idx="111">
                  <c:v>51.597461980548005</c:v>
                </c:pt>
                <c:pt idx="112">
                  <c:v>52.53894964982166</c:v>
                </c:pt>
                <c:pt idx="113">
                  <c:v>53.488778399755667</c:v>
                </c:pt>
                <c:pt idx="114">
                  <c:v>54.446942973582054</c:v>
                </c:pt>
                <c:pt idx="115">
                  <c:v>55.413438068962783</c:v>
                </c:pt>
                <c:pt idx="116">
                  <c:v>56.388258338047869</c:v>
                </c:pt>
                <c:pt idx="117">
                  <c:v>57.371398387534924</c:v>
                </c:pt>
                <c:pt idx="118">
                  <c:v>58.362852778730208</c:v>
                </c:pt>
                <c:pt idx="119">
                  <c:v>59.362616027611068</c:v>
                </c:pt>
                <c:pt idx="120">
                  <c:v>60.370682604889844</c:v>
                </c:pt>
                <c:pt idx="121">
                  <c:v>61.387046936079166</c:v>
                </c:pt>
                <c:pt idx="122">
                  <c:v>62.411703401558675</c:v>
                </c:pt>
                <c:pt idx="123">
                  <c:v>63.444646336643125</c:v>
                </c:pt>
                <c:pt idx="124">
                  <c:v>64.485870031651871</c:v>
                </c:pt>
                <c:pt idx="125">
                  <c:v>65.535368731979773</c:v>
                </c:pt>
                <c:pt idx="126">
                  <c:v>66.593136638169398</c:v>
                </c:pt>
                <c:pt idx="127">
                  <c:v>67.659167905984631</c:v>
                </c:pt>
                <c:pt idx="128">
                  <c:v>68.733456646485635</c:v>
                </c:pt>
                <c:pt idx="129">
                  <c:v>69.815995104083711</c:v>
                </c:pt>
                <c:pt idx="130">
                  <c:v>70.906771832403919</c:v>
                </c:pt>
                <c:pt idx="131">
                  <c:v>72.005773513763401</c:v>
                </c:pt>
                <c:pt idx="132">
                  <c:v>73.112986780907136</c:v>
                </c:pt>
                <c:pt idx="133">
                  <c:v>74.228398217214703</c:v>
                </c:pt>
                <c:pt idx="134">
                  <c:v>75.351994356908321</c:v>
                </c:pt>
                <c:pt idx="135">
                  <c:v>76.483761685262238</c:v>
                </c:pt>
                <c:pt idx="136">
                  <c:v>77.623686638813453</c:v>
                </c:pt>
                <c:pt idx="137">
                  <c:v>78.771755605573759</c:v>
                </c:pt>
                <c:pt idx="138">
                  <c:v>79.927954925243043</c:v>
                </c:pt>
                <c:pt idx="139">
                  <c:v>81.092270889423858</c:v>
                </c:pt>
                <c:pt idx="140">
                  <c:v>82.264689741837287</c:v>
                </c:pt>
                <c:pt idx="141">
                  <c:v>83.445197678539955</c:v>
                </c:pt>
                <c:pt idx="142">
                  <c:v>84.633780848142365</c:v>
                </c:pt>
                <c:pt idx="143">
                  <c:v>85.830425352028371</c:v>
                </c:pt>
                <c:pt idx="144">
                  <c:v>87.035117244575844</c:v>
                </c:pt>
                <c:pt idx="145">
                  <c:v>88.247842533378517</c:v>
                </c:pt>
                <c:pt idx="146">
                  <c:v>89.468587179469012</c:v>
                </c:pt>
                <c:pt idx="147">
                  <c:v>90.697337097542928</c:v>
                </c:pt>
                <c:pt idx="148">
                  <c:v>91.934078156184114</c:v>
                </c:pt>
                <c:pt idx="149">
                  <c:v>93.178796178091048</c:v>
                </c:pt>
                <c:pt idx="150">
                  <c:v>94.431476940304236</c:v>
                </c:pt>
                <c:pt idx="151">
                  <c:v>95.692106174434784</c:v>
                </c:pt>
                <c:pt idx="152">
                  <c:v>96.960669566893927</c:v>
                </c:pt>
                <c:pt idx="153">
                  <c:v>98.237152759123688</c:v>
                </c:pt>
                <c:pt idx="154">
                  <c:v>99.521541347828489</c:v>
                </c:pt>
                <c:pt idx="155">
                  <c:v>100.81382088520783</c:v>
                </c:pt>
                <c:pt idx="156">
                  <c:v>102.11397687918991</c:v>
                </c:pt>
                <c:pt idx="157">
                  <c:v>103.42199479366624</c:v>
                </c:pt>
                <c:pt idx="158">
                  <c:v>104.7378600487273</c:v>
                </c:pt>
                <c:pt idx="159">
                  <c:v>106.06155802089899</c:v>
                </c:pt>
                <c:pt idx="160">
                  <c:v>107.39307404338014</c:v>
                </c:pt>
                <c:pt idx="161">
                  <c:v>108.73239340628091</c:v>
                </c:pt>
                <c:pt idx="162">
                  <c:v>110.07950135686204</c:v>
                </c:pt>
                <c:pt idx="163">
                  <c:v>111.43438309977505</c:v>
                </c:pt>
                <c:pt idx="164">
                  <c:v>112.79702379730327</c:v>
                </c:pt>
                <c:pt idx="165">
                  <c:v>114.16740856960375</c:v>
                </c:pt>
                <c:pt idx="166">
                  <c:v>115.54552249494999</c:v>
                </c:pt>
                <c:pt idx="167">
                  <c:v>116.93135060997554</c:v>
                </c:pt>
                <c:pt idx="168">
                  <c:v>118.32487790991833</c:v>
                </c:pt>
                <c:pt idx="169">
                  <c:v>119.72608934886588</c:v>
                </c:pt>
                <c:pt idx="170">
                  <c:v>121.13496984000126</c:v>
                </c:pt>
                <c:pt idx="171">
                  <c:v>122.55150425584981</c:v>
                </c:pt>
                <c:pt idx="172">
                  <c:v>123.97567742852658</c:v>
                </c:pt>
                <c:pt idx="173">
                  <c:v>125.40747414998459</c:v>
                </c:pt>
                <c:pt idx="174">
                  <c:v>126.84687917226375</c:v>
                </c:pt>
                <c:pt idx="175">
                  <c:v>128.29387720774048</c:v>
                </c:pt>
                <c:pt idx="176">
                  <c:v>129.74845292937806</c:v>
                </c:pt>
                <c:pt idx="177">
                  <c:v>131.21059097097768</c:v>
                </c:pt>
                <c:pt idx="178">
                  <c:v>132.68027592743002</c:v>
                </c:pt>
                <c:pt idx="179">
                  <c:v>134.15749235496764</c:v>
                </c:pt>
                <c:pt idx="180">
                  <c:v>135.642224771418</c:v>
                </c:pt>
                <c:pt idx="181">
                  <c:v>137.13445765645687</c:v>
                </c:pt>
                <c:pt idx="182">
                  <c:v>138.63417545186266</c:v>
                </c:pt>
                <c:pt idx="183">
                  <c:v>140.14136256177113</c:v>
                </c:pt>
                <c:pt idx="184">
                  <c:v>141.65600335293078</c:v>
                </c:pt>
                <c:pt idx="185">
                  <c:v>143.1780821549587</c:v>
                </c:pt>
                <c:pt idx="186">
                  <c:v>144.70758326059709</c:v>
                </c:pt>
                <c:pt idx="187">
                  <c:v>146.24449092597021</c:v>
                </c:pt>
                <c:pt idx="188">
                  <c:v>147.7887893708419</c:v>
                </c:pt>
                <c:pt idx="189">
                  <c:v>149.34046277887364</c:v>
                </c:pt>
                <c:pt idx="190">
                  <c:v>150.89949529788302</c:v>
                </c:pt>
                <c:pt idx="191">
                  <c:v>152.46587104010274</c:v>
                </c:pt>
                <c:pt idx="192">
                  <c:v>154.03957408244</c:v>
                </c:pt>
                <c:pt idx="193">
                  <c:v>155.62058846673645</c:v>
                </c:pt>
                <c:pt idx="194">
                  <c:v>157.20889820002856</c:v>
                </c:pt>
                <c:pt idx="195">
                  <c:v>158.80448725480827</c:v>
                </c:pt>
                <c:pt idx="196">
                  <c:v>160.40733956928423</c:v>
                </c:pt>
                <c:pt idx="197">
                  <c:v>162.01743904764328</c:v>
                </c:pt>
                <c:pt idx="198">
                  <c:v>163.63476956031244</c:v>
                </c:pt>
                <c:pt idx="199">
                  <c:v>165.25931494422113</c:v>
                </c:pt>
                <c:pt idx="200">
                  <c:v>166.8910590030639</c:v>
                </c:pt>
                <c:pt idx="201">
                  <c:v>168.52998550756334</c:v>
                </c:pt>
                <c:pt idx="202">
                  <c:v>170.1760781957334</c:v>
                </c:pt>
                <c:pt idx="203">
                  <c:v>171.82932077314302</c:v>
                </c:pt>
                <c:pt idx="204">
                  <c:v>173.48969691318004</c:v>
                </c:pt>
                <c:pt idx="205">
                  <c:v>175.15719025731531</c:v>
                </c:pt>
                <c:pt idx="206">
                  <c:v>176.83178396925146</c:v>
                </c:pt>
                <c:pt idx="207">
                  <c:v>178.51346028877683</c:v>
                </c:pt>
                <c:pt idx="208">
                  <c:v>180.20220097796303</c:v>
                </c:pt>
                <c:pt idx="209">
                  <c:v>181.8979877676733</c:v>
                </c:pt>
                <c:pt idx="210">
                  <c:v>183.60080235785898</c:v>
                </c:pt>
                <c:pt idx="211">
                  <c:v>185.31062641785618</c:v>
                </c:pt>
                <c:pt idx="212">
                  <c:v>187.0274415866825</c:v>
                </c:pt>
                <c:pt idx="213">
                  <c:v>188.75122947333372</c:v>
                </c:pt>
                <c:pt idx="214">
                  <c:v>190.48197165708078</c:v>
                </c:pt>
                <c:pt idx="215">
                  <c:v>192.21964968776649</c:v>
                </c:pt>
                <c:pt idx="216">
                  <c:v>193.96424508610258</c:v>
                </c:pt>
                <c:pt idx="217">
                  <c:v>195.71573934396656</c:v>
                </c:pt>
                <c:pt idx="218">
                  <c:v>197.4741139246986</c:v>
                </c:pt>
                <c:pt idx="219">
                  <c:v>199.23935026339851</c:v>
                </c:pt>
                <c:pt idx="220">
                  <c:v>201.0114297672225</c:v>
                </c:pt>
                <c:pt idx="221">
                  <c:v>202.7903338156801</c:v>
                </c:pt>
                <c:pt idx="222">
                  <c:v>204.57604376093084</c:v>
                </c:pt>
                <c:pt idx="223">
                  <c:v>206.36854092808099</c:v>
                </c:pt>
                <c:pt idx="224">
                  <c:v>208.16780661548012</c:v>
                </c:pt>
                <c:pt idx="225">
                  <c:v>209.97382209501762</c:v>
                </c:pt>
                <c:pt idx="226">
                  <c:v>211.78656861241902</c:v>
                </c:pt>
                <c:pt idx="227">
                  <c:v>213.6060273875423</c:v>
                </c:pt>
                <c:pt idx="228">
                  <c:v>215.43217961467394</c:v>
                </c:pt>
                <c:pt idx="229">
                  <c:v>217.26500646282491</c:v>
                </c:pt>
                <c:pt idx="230">
                  <c:v>219.10448907602637</c:v>
                </c:pt>
                <c:pt idx="231">
                  <c:v>220.95060857362526</c:v>
                </c:pt>
                <c:pt idx="232">
                  <c:v>222.80334605057973</c:v>
                </c:pt>
                <c:pt idx="233">
                  <c:v>224.66268257775425</c:v>
                </c:pt>
                <c:pt idx="234">
                  <c:v>226.52859920221459</c:v>
                </c:pt>
                <c:pt idx="235">
                  <c:v>228.40107694752251</c:v>
                </c:pt>
                <c:pt idx="236">
                  <c:v>230.28009681403012</c:v>
                </c:pt>
                <c:pt idx="237">
                  <c:v>232.1656397791742</c:v>
                </c:pt>
                <c:pt idx="238">
                  <c:v>234.05768679776997</c:v>
                </c:pt>
                <c:pt idx="239">
                  <c:v>235.95621880230479</c:v>
                </c:pt>
                <c:pt idx="240">
                  <c:v>237.86121670323132</c:v>
                </c:pt>
                <c:pt idx="241">
                  <c:v>239.77266138926066</c:v>
                </c:pt>
                <c:pt idx="242">
                  <c:v>241.69053218186937</c:v>
                </c:pt>
                <c:pt idx="243">
                  <c:v>243.614805289185</c:v>
                </c:pt>
                <c:pt idx="244">
                  <c:v>245.54545535217216</c:v>
                </c:pt>
                <c:pt idx="245">
                  <c:v>247.48245699149339</c:v>
                </c:pt>
                <c:pt idx="246">
                  <c:v>249.42578480790837</c:v>
                </c:pt>
                <c:pt idx="247">
                  <c:v>251.37541338267218</c:v>
                </c:pt>
                <c:pt idx="248">
                  <c:v>253.33131727793264</c:v>
                </c:pt>
                <c:pt idx="249">
                  <c:v>255.29347103712661</c:v>
                </c:pt>
                <c:pt idx="250">
                  <c:v>257.26184918537524</c:v>
                </c:pt>
                <c:pt idx="251">
                  <c:v>259.23642622987842</c:v>
                </c:pt>
                <c:pt idx="252">
                  <c:v>261.21717666030787</c:v>
                </c:pt>
                <c:pt idx="253">
                  <c:v>263.20407494919942</c:v>
                </c:pt>
                <c:pt idx="254">
                  <c:v>265.19709555234425</c:v>
                </c:pt>
                <c:pt idx="255">
                  <c:v>267.19621290917883</c:v>
                </c:pt>
                <c:pt idx="256">
                  <c:v>269.20140144317384</c:v>
                </c:pt>
                <c:pt idx="257">
                  <c:v>271.21263556222209</c:v>
                </c:pt>
                <c:pt idx="258">
                  <c:v>273.22988965902528</c:v>
                </c:pt>
                <c:pt idx="259">
                  <c:v>275.25313811147947</c:v>
                </c:pt>
                <c:pt idx="260">
                  <c:v>277.28235528305947</c:v>
                </c:pt>
                <c:pt idx="261">
                  <c:v>279.31751552320202</c:v>
                </c:pt>
                <c:pt idx="262">
                  <c:v>281.35859316768796</c:v>
                </c:pt>
                <c:pt idx="263">
                  <c:v>283.40556253902292</c:v>
                </c:pt>
                <c:pt idx="264">
                  <c:v>285.45839794681694</c:v>
                </c:pt>
                <c:pt idx="265">
                  <c:v>287.51707368816284</c:v>
                </c:pt>
                <c:pt idx="266">
                  <c:v>289.58156404801326</c:v>
                </c:pt>
                <c:pt idx="267">
                  <c:v>291.65184329955656</c:v>
                </c:pt>
                <c:pt idx="268">
                  <c:v>293.7278857045913</c:v>
                </c:pt>
                <c:pt idx="269">
                  <c:v>295.80966551389957</c:v>
                </c:pt>
                <c:pt idx="270">
                  <c:v>297.89715696761886</c:v>
                </c:pt>
                <c:pt idx="271">
                  <c:v>299.99033429561274</c:v>
                </c:pt>
                <c:pt idx="272">
                  <c:v>302.08917171784014</c:v>
                </c:pt>
                <c:pt idx="273">
                  <c:v>304.19364344472331</c:v>
                </c:pt>
                <c:pt idx="274">
                  <c:v>306.30372367751431</c:v>
                </c:pt>
                <c:pt idx="275">
                  <c:v>308.41938660866032</c:v>
                </c:pt>
                <c:pt idx="276">
                  <c:v>310.54060642216734</c:v>
                </c:pt>
                <c:pt idx="277">
                  <c:v>312.66735729396277</c:v>
                </c:pt>
                <c:pt idx="278">
                  <c:v>314.79961339225622</c:v>
                </c:pt>
                <c:pt idx="279">
                  <c:v>316.9373488778993</c:v>
                </c:pt>
                <c:pt idx="280">
                  <c:v>319.08053790474361</c:v>
                </c:pt>
                <c:pt idx="281">
                  <c:v>321.22915461999747</c:v>
                </c:pt>
                <c:pt idx="282">
                  <c:v>323.38317316458125</c:v>
                </c:pt>
                <c:pt idx="283">
                  <c:v>325.54256767348102</c:v>
                </c:pt>
                <c:pt idx="284">
                  <c:v>327.70731409559357</c:v>
                </c:pt>
                <c:pt idx="285">
                  <c:v>329.87739201368942</c:v>
                </c:pt>
                <c:pt idx="286">
                  <c:v>332.05278282405664</c:v>
                </c:pt>
                <c:pt idx="287">
                  <c:v>334.23346791596867</c:v>
                </c:pt>
                <c:pt idx="288">
                  <c:v>336.41942867192046</c:v>
                </c:pt>
                <c:pt idx="289">
                  <c:v>338.61064646786394</c:v>
                </c:pt>
                <c:pt idx="290">
                  <c:v>340.8071026734425</c:v>
                </c:pt>
                <c:pt idx="291">
                  <c:v>343.00877865222498</c:v>
                </c:pt>
                <c:pt idx="292">
                  <c:v>345.21565576193865</c:v>
                </c:pt>
                <c:pt idx="293">
                  <c:v>347.42771535470143</c:v>
                </c:pt>
                <c:pt idx="294">
                  <c:v>349.64493877725334</c:v>
                </c:pt>
                <c:pt idx="295">
                  <c:v>351.86730737118722</c:v>
                </c:pt>
                <c:pt idx="296">
                  <c:v>354.09480247317839</c:v>
                </c:pt>
                <c:pt idx="297">
                  <c:v>356.32740541521378</c:v>
                </c:pt>
                <c:pt idx="298">
                  <c:v>358.56509752481992</c:v>
                </c:pt>
                <c:pt idx="299">
                  <c:v>360.80786012529046</c:v>
                </c:pt>
                <c:pt idx="300">
                  <c:v>363.05567453591249</c:v>
                </c:pt>
                <c:pt idx="301">
                  <c:v>365.3085220721922</c:v>
                </c:pt>
                <c:pt idx="302">
                  <c:v>367.56638404607969</c:v>
                </c:pt>
                <c:pt idx="303">
                  <c:v>369.82924176619287</c:v>
                </c:pt>
                <c:pt idx="304">
                  <c:v>372.09707653804043</c:v>
                </c:pt>
                <c:pt idx="305">
                  <c:v>374.36986966424411</c:v>
                </c:pt>
                <c:pt idx="306">
                  <c:v>376.64760244475997</c:v>
                </c:pt>
                <c:pt idx="307">
                  <c:v>378.93025617709873</c:v>
                </c:pt>
                <c:pt idx="308">
                  <c:v>381.21781215654545</c:v>
                </c:pt>
                <c:pt idx="309">
                  <c:v>383.51025167637795</c:v>
                </c:pt>
                <c:pt idx="310">
                  <c:v>385.80755602808472</c:v>
                </c:pt>
                <c:pt idx="311">
                  <c:v>388.10970650158168</c:v>
                </c:pt>
                <c:pt idx="312">
                  <c:v>390.41668438542808</c:v>
                </c:pt>
                <c:pt idx="313">
                  <c:v>392.72847096704157</c:v>
                </c:pt>
                <c:pt idx="314">
                  <c:v>395.04504753291218</c:v>
                </c:pt>
                <c:pt idx="315">
                  <c:v>397.36639536881552</c:v>
                </c:pt>
                <c:pt idx="316">
                  <c:v>399.69249576002517</c:v>
                </c:pt>
                <c:pt idx="317">
                  <c:v>402.02332999152372</c:v>
                </c:pt>
                <c:pt idx="318">
                  <c:v>404.35887934821341</c:v>
                </c:pt>
                <c:pt idx="319">
                  <c:v>406.69912511512524</c:v>
                </c:pt>
                <c:pt idx="320">
                  <c:v>409.04404857762779</c:v>
                </c:pt>
                <c:pt idx="321">
                  <c:v>411.39363102163452</c:v>
                </c:pt>
                <c:pt idx="322">
                  <c:v>413.74785373381036</c:v>
                </c:pt>
                <c:pt idx="323">
                  <c:v>416.10669800177743</c:v>
                </c:pt>
                <c:pt idx="324">
                  <c:v>418.47014511431968</c:v>
                </c:pt>
                <c:pt idx="325">
                  <c:v>420.83817636158648</c:v>
                </c:pt>
                <c:pt idx="326">
                  <c:v>423.21077314732901</c:v>
                </c:pt>
                <c:pt idx="327">
                  <c:v>425.58791710111495</c:v>
                </c:pt>
                <c:pt idx="328">
                  <c:v>427.96958996636937</c:v>
                </c:pt>
                <c:pt idx="329">
                  <c:v>430.35577348843356</c:v>
                </c:pt>
                <c:pt idx="330">
                  <c:v>432.74644941475805</c:v>
                </c:pt>
                <c:pt idx="331">
                  <c:v>435.14159949509531</c:v>
                </c:pt>
                <c:pt idx="332">
                  <c:v>437.54120548169107</c:v>
                </c:pt>
                <c:pt idx="333">
                  <c:v>439.94524912947475</c:v>
                </c:pt>
                <c:pt idx="334">
                  <c:v>442.35371219624915</c:v>
                </c:pt>
                <c:pt idx="335">
                  <c:v>444.766576442879</c:v>
                </c:pt>
                <c:pt idx="336">
                  <c:v>447.18382363347854</c:v>
                </c:pt>
                <c:pt idx="337">
                  <c:v>449.60543553559825</c:v>
                </c:pt>
                <c:pt idx="338">
                  <c:v>452.03139392041049</c:v>
                </c:pt>
                <c:pt idx="339">
                  <c:v>454.46168056289434</c:v>
                </c:pt>
                <c:pt idx="340">
                  <c:v>456.89627724201915</c:v>
                </c:pt>
                <c:pt idx="341">
                  <c:v>459.33516574092761</c:v>
                </c:pt>
                <c:pt idx="342">
                  <c:v>461.77832784711728</c:v>
                </c:pt>
                <c:pt idx="343">
                  <c:v>464.22574535262163</c:v>
                </c:pt>
                <c:pt idx="344">
                  <c:v>466.67740005418972</c:v>
                </c:pt>
                <c:pt idx="345">
                  <c:v>469.13327375346523</c:v>
                </c:pt>
                <c:pt idx="346">
                  <c:v>471.59334825716422</c:v>
                </c:pt>
                <c:pt idx="347">
                  <c:v>474.057605377252</c:v>
                </c:pt>
                <c:pt idx="348">
                  <c:v>476.52602693111908</c:v>
                </c:pt>
                <c:pt idx="349">
                  <c:v>478.99859474175605</c:v>
                </c:pt>
                <c:pt idx="350">
                  <c:v>481.47529063792751</c:v>
                </c:pt>
                <c:pt idx="351">
                  <c:v>483.95609645434496</c:v>
                </c:pt>
                <c:pt idx="352">
                  <c:v>486.44099403183867</c:v>
                </c:pt>
                <c:pt idx="353">
                  <c:v>488.92996521752866</c:v>
                </c:pt>
                <c:pt idx="354">
                  <c:v>491.42299186499451</c:v>
                </c:pt>
                <c:pt idx="355">
                  <c:v>493.92005583444438</c:v>
                </c:pt>
                <c:pt idx="356">
                  <c:v>496.42113899288273</c:v>
                </c:pt>
                <c:pt idx="357">
                  <c:v>498.9262232142774</c:v>
                </c:pt>
                <c:pt idx="358">
                  <c:v>501.43529037972542</c:v>
                </c:pt>
                <c:pt idx="359">
                  <c:v>503.94832237761779</c:v>
                </c:pt>
                <c:pt idx="360">
                  <c:v>506.46530110380343</c:v>
                </c:pt>
                <c:pt idx="361">
                  <c:v>508.98620846175203</c:v>
                </c:pt>
                <c:pt idx="362">
                  <c:v>511.51102636271577</c:v>
                </c:pt>
                <c:pt idx="363">
                  <c:v>514.03973672589018</c:v>
                </c:pt>
                <c:pt idx="364">
                  <c:v>516.57232147857417</c:v>
                </c:pt>
                <c:pt idx="365">
                  <c:v>519.10876255632832</c:v>
                </c:pt>
                <c:pt idx="366">
                  <c:v>521.64904474905177</c:v>
                </c:pt>
                <c:pt idx="367">
                  <c:v>524.19315854590275</c:v>
                </c:pt>
                <c:pt idx="368">
                  <c:v>526.74109728523047</c:v>
                </c:pt>
                <c:pt idx="369">
                  <c:v>529.29285430561185</c:v>
                </c:pt>
                <c:pt idx="370">
                  <c:v>531.84842294590771</c:v>
                </c:pt>
                <c:pt idx="371">
                  <c:v>534.40779654531786</c:v>
                </c:pt>
                <c:pt idx="372">
                  <c:v>536.97096844343707</c:v>
                </c:pt>
                <c:pt idx="373">
                  <c:v>539.53793198030962</c:v>
                </c:pt>
                <c:pt idx="374">
                  <c:v>542.10868049648502</c:v>
                </c:pt>
                <c:pt idx="375">
                  <c:v>544.68320733307235</c:v>
                </c:pt>
                <c:pt idx="376">
                  <c:v>547.26150583179526</c:v>
                </c:pt>
                <c:pt idx="377">
                  <c:v>549.84356933504614</c:v>
                </c:pt>
                <c:pt idx="378">
                  <c:v>552.42939118594063</c:v>
                </c:pt>
                <c:pt idx="379">
                  <c:v>555.01896472837166</c:v>
                </c:pt>
                <c:pt idx="380">
                  <c:v>557.61228330706342</c:v>
                </c:pt>
                <c:pt idx="381">
                  <c:v>560.2093371937342</c:v>
                </c:pt>
                <c:pt idx="382">
                  <c:v>562.81011051464532</c:v>
                </c:pt>
                <c:pt idx="383">
                  <c:v>565.4145843294715</c:v>
                </c:pt>
                <c:pt idx="384">
                  <c:v>568.02273970883641</c:v>
                </c:pt>
                <c:pt idx="385">
                  <c:v>570.63455773446969</c:v>
                </c:pt>
                <c:pt idx="386">
                  <c:v>573.25001949936211</c:v>
                </c:pt>
                <c:pt idx="387">
                  <c:v>575.86910610791949</c:v>
                </c:pt>
                <c:pt idx="388">
                  <c:v>578.49179867611633</c:v>
                </c:pt>
                <c:pt idx="389">
                  <c:v>581.11807833164733</c:v>
                </c:pt>
                <c:pt idx="390">
                  <c:v>583.74792621407823</c:v>
                </c:pt>
                <c:pt idx="391">
                  <c:v>586.38132347499595</c:v>
                </c:pt>
                <c:pt idx="392">
                  <c:v>589.01825127815653</c:v>
                </c:pt>
                <c:pt idx="393">
                  <c:v>591.65869079963295</c:v>
                </c:pt>
                <c:pt idx="394">
                  <c:v>594.30262322796125</c:v>
                </c:pt>
                <c:pt idx="395">
                  <c:v>596.95002976428589</c:v>
                </c:pt>
                <c:pt idx="396">
                  <c:v>599.60089162250347</c:v>
                </c:pt>
                <c:pt idx="397">
                  <c:v>602.25519002940598</c:v>
                </c:pt>
                <c:pt idx="398">
                  <c:v>604.91290622482234</c:v>
                </c:pt>
                <c:pt idx="399">
                  <c:v>607.57402146175912</c:v>
                </c:pt>
                <c:pt idx="400">
                  <c:v>610.23851700654006</c:v>
                </c:pt>
                <c:pt idx="401">
                  <c:v>612.90637172400773</c:v>
                </c:pt>
                <c:pt idx="402">
                  <c:v>615.5775596640807</c:v>
                </c:pt>
                <c:pt idx="403">
                  <c:v>618.2520524811755</c:v>
                </c:pt>
                <c:pt idx="404">
                  <c:v>620.92982185232142</c:v>
                </c:pt>
                <c:pt idx="405">
                  <c:v>623.61083947739746</c:v>
                </c:pt>
                <c:pt idx="406">
                  <c:v>626.29507707936659</c:v>
                </c:pt>
                <c:pt idx="407">
                  <c:v>628.98250640450806</c:v>
                </c:pt>
                <c:pt idx="408">
                  <c:v>631.67309922264712</c:v>
                </c:pt>
                <c:pt idx="409">
                  <c:v>634.36682732738257</c:v>
                </c:pt>
                <c:pt idx="410">
                  <c:v>637.06366253631154</c:v>
                </c:pt>
                <c:pt idx="411">
                  <c:v>639.76356335697892</c:v>
                </c:pt>
                <c:pt idx="412">
                  <c:v>642.46646166144524</c:v>
                </c:pt>
                <c:pt idx="413">
                  <c:v>645.1722760468158</c:v>
                </c:pt>
                <c:pt idx="414">
                  <c:v>647.88092518766075</c:v>
                </c:pt>
                <c:pt idx="415">
                  <c:v>650.59232783725099</c:v>
                </c:pt>
                <c:pt idx="416">
                  <c:v>653.3064028287771</c:v>
                </c:pt>
                <c:pt idx="417">
                  <c:v>656.023069076551</c:v>
                </c:pt>
                <c:pt idx="418">
                  <c:v>658.74224557719106</c:v>
                </c:pt>
                <c:pt idx="419">
                  <c:v>661.4638514107902</c:v>
                </c:pt>
                <c:pt idx="420">
                  <c:v>664.18779816192296</c:v>
                </c:pt>
                <c:pt idx="421">
                  <c:v>666.91398234686756</c:v>
                </c:pt>
                <c:pt idx="422">
                  <c:v>669.64229301185446</c:v>
                </c:pt>
                <c:pt idx="423">
                  <c:v>672.37261932551746</c:v>
                </c:pt>
                <c:pt idx="424">
                  <c:v>675.10485058087602</c:v>
                </c:pt>
                <c:pt idx="425">
                  <c:v>677.83887619728694</c:v>
                </c:pt>
                <c:pt idx="426">
                  <c:v>680.57458572236442</c:v>
                </c:pt>
                <c:pt idx="427">
                  <c:v>683.31186883386931</c:v>
                </c:pt>
                <c:pt idx="428">
                  <c:v>686.05061534156766</c:v>
                </c:pt>
                <c:pt idx="429">
                  <c:v>688.79071518905801</c:v>
                </c:pt>
                <c:pt idx="430">
                  <c:v>691.53205845556806</c:v>
                </c:pt>
                <c:pt idx="431">
                  <c:v>694.27453535772065</c:v>
                </c:pt>
                <c:pt idx="432">
                  <c:v>697.01802404696218</c:v>
                </c:pt>
                <c:pt idx="433">
                  <c:v>699.7623784205523</c:v>
                </c:pt>
                <c:pt idx="434">
                  <c:v>702.50744036046444</c:v>
                </c:pt>
                <c:pt idx="435">
                  <c:v>705.25305195959697</c:v>
                </c:pt>
                <c:pt idx="436">
                  <c:v>707.99905552523455</c:v>
                </c:pt>
                <c:pt idx="437">
                  <c:v>710.74529358244638</c:v>
                </c:pt>
                <c:pt idx="438">
                  <c:v>713.49160887742107</c:v>
                </c:pt>
                <c:pt idx="439">
                  <c:v>716.23784438073869</c:v>
                </c:pt>
                <c:pt idx="440">
                  <c:v>718.98384329057956</c:v>
                </c:pt>
                <c:pt idx="441">
                  <c:v>721.72944903587063</c:v>
                </c:pt>
                <c:pt idx="442">
                  <c:v>724.47451268687644</c:v>
                </c:pt>
                <c:pt idx="443">
                  <c:v>727.21890035510876</c:v>
                </c:pt>
                <c:pt idx="444">
                  <c:v>729.96248576525772</c:v>
                </c:pt>
                <c:pt idx="445">
                  <c:v>732.70514283713146</c:v>
                </c:pt>
                <c:pt idx="446">
                  <c:v>735.4467456874072</c:v>
                </c:pt>
                <c:pt idx="447">
                  <c:v>738.18716863134216</c:v>
                </c:pt>
                <c:pt idx="448">
                  <c:v>740.92628618444496</c:v>
                </c:pt>
                <c:pt idx="449">
                  <c:v>743.66397306410681</c:v>
                </c:pt>
                <c:pt idx="450">
                  <c:v>746.40010419119403</c:v>
                </c:pt>
                <c:pt idx="451">
                  <c:v>749.13455469160044</c:v>
                </c:pt>
                <c:pt idx="452">
                  <c:v>751.86719989776157</c:v>
                </c:pt>
                <c:pt idx="453">
                  <c:v>754.59792595167778</c:v>
                </c:pt>
                <c:pt idx="454">
                  <c:v>757.32664039002009</c:v>
                </c:pt>
                <c:pt idx="455">
                  <c:v>760.05326150658777</c:v>
                </c:pt>
                <c:pt idx="456">
                  <c:v>762.77770773212467</c:v>
                </c:pt>
                <c:pt idx="457">
                  <c:v>765.49989763468864</c:v>
                </c:pt>
                <c:pt idx="458">
                  <c:v>768.21974992000605</c:v>
                </c:pt>
                <c:pt idx="459">
                  <c:v>770.93718343181092</c:v>
                </c:pt>
                <c:pt idx="460">
                  <c:v>773.65211715216822</c:v>
                </c:pt>
                <c:pt idx="461">
                  <c:v>776.36447973960242</c:v>
                </c:pt>
                <c:pt idx="462">
                  <c:v>779.07421905014326</c:v>
                </c:pt>
                <c:pt idx="463">
                  <c:v>781.78129256493651</c:v>
                </c:pt>
                <c:pt idx="464">
                  <c:v>784.48565783473327</c:v>
                </c:pt>
                <c:pt idx="465">
                  <c:v>787.18727247979427</c:v>
                </c:pt>
                <c:pt idx="466">
                  <c:v>789.88608617832358</c:v>
                </c:pt>
                <c:pt idx="467">
                  <c:v>792.58203266951068</c:v>
                </c:pt>
                <c:pt idx="468">
                  <c:v>795.2749485806055</c:v>
                </c:pt>
                <c:pt idx="469">
                  <c:v>797.96460158357081</c:v>
                </c:pt>
                <c:pt idx="470">
                  <c:v>800.65088891350365</c:v>
                </c:pt>
                <c:pt idx="471">
                  <c:v>803.33381716255894</c:v>
                </c:pt>
                <c:pt idx="472">
                  <c:v>806.01339289964346</c:v>
                </c:pt>
                <c:pt idx="473">
                  <c:v>808.68962267052541</c:v>
                </c:pt>
                <c:pt idx="474">
                  <c:v>811.3625129979431</c:v>
                </c:pt>
                <c:pt idx="475">
                  <c:v>814.0320703817132</c:v>
                </c:pt>
                <c:pt idx="476">
                  <c:v>816.69830129883837</c:v>
                </c:pt>
                <c:pt idx="477">
                  <c:v>819.36121220361417</c:v>
                </c:pt>
                <c:pt idx="478">
                  <c:v>822.02080952773531</c:v>
                </c:pt>
                <c:pt idx="479">
                  <c:v>824.67709968040117</c:v>
                </c:pt>
                <c:pt idx="480">
                  <c:v>827.33008904842109</c:v>
                </c:pt>
                <c:pt idx="481">
                  <c:v>829.97978399631859</c:v>
                </c:pt>
                <c:pt idx="482">
                  <c:v>832.62619086643519</c:v>
                </c:pt>
                <c:pt idx="483">
                  <c:v>835.26931597903388</c:v>
                </c:pt>
                <c:pt idx="484">
                  <c:v>837.90916563240137</c:v>
                </c:pt>
                <c:pt idx="485">
                  <c:v>840.54574610295015</c:v>
                </c:pt>
                <c:pt idx="486">
                  <c:v>843.17906364531996</c:v>
                </c:pt>
                <c:pt idx="487">
                  <c:v>845.80912449247853</c:v>
                </c:pt>
                <c:pt idx="488">
                  <c:v>848.43593485582187</c:v>
                </c:pt>
                <c:pt idx="489">
                  <c:v>851.05950092527371</c:v>
                </c:pt>
                <c:pt idx="490">
                  <c:v>853.67982886938466</c:v>
                </c:pt>
                <c:pt idx="491">
                  <c:v>856.29692483543079</c:v>
                </c:pt>
                <c:pt idx="492">
                  <c:v>858.91079494951111</c:v>
                </c:pt>
                <c:pt idx="493">
                  <c:v>861.52144531664555</c:v>
                </c:pt>
                <c:pt idx="494">
                  <c:v>864.12888202087106</c:v>
                </c:pt>
                <c:pt idx="495">
                  <c:v>866.73311112533816</c:v>
                </c:pt>
                <c:pt idx="496">
                  <c:v>869.33413867240654</c:v>
                </c:pt>
                <c:pt idx="497">
                  <c:v>871.93197068374013</c:v>
                </c:pt>
                <c:pt idx="498">
                  <c:v>874.52661316040155</c:v>
                </c:pt>
                <c:pt idx="499">
                  <c:v>877.11807208294613</c:v>
                </c:pt>
                <c:pt idx="500">
                  <c:v>879.70635341151558</c:v>
                </c:pt>
                <c:pt idx="501">
                  <c:v>905.41485913659324</c:v>
                </c:pt>
                <c:pt idx="502">
                  <c:v>930.80942794625344</c:v>
                </c:pt>
                <c:pt idx="503">
                  <c:v>955.89582565768217</c:v>
                </c:pt>
                <c:pt idx="504">
                  <c:v>980.67962600729425</c:v>
                </c:pt>
                <c:pt idx="505">
                  <c:v>1005.166219106284</c:v>
                </c:pt>
                <c:pt idx="506">
                  <c:v>1029.3608194301369</c:v>
                </c:pt>
                <c:pt idx="507">
                  <c:v>1053.2684733727758</c:v>
                </c:pt>
                <c:pt idx="508">
                  <c:v>1076.8940663936735</c:v>
                </c:pt>
                <c:pt idx="509">
                  <c:v>1100.2423297841258</c:v>
                </c:pt>
                <c:pt idx="510">
                  <c:v>1123.3178470769235</c:v>
                </c:pt>
                <c:pt idx="511">
                  <c:v>1146.1250601218715</c:v>
                </c:pt>
                <c:pt idx="512">
                  <c:v>1168.6682748479654</c:v>
                </c:pt>
                <c:pt idx="513">
                  <c:v>1190.9516667315308</c:v>
                </c:pt>
                <c:pt idx="514">
                  <c:v>1212.9792859882482</c:v>
                </c:pt>
                <c:pt idx="515">
                  <c:v>1234.7550625057245</c:v>
                </c:pt>
                <c:pt idx="516">
                  <c:v>1256.2828105320978</c:v>
                </c:pt>
                <c:pt idx="517">
                  <c:v>1277.5662331350941</c:v>
                </c:pt>
                <c:pt idx="518">
                  <c:v>1298.6089264449627</c:v>
                </c:pt>
                <c:pt idx="519">
                  <c:v>1319.4143836938065</c:v>
                </c:pt>
                <c:pt idx="520">
                  <c:v>1339.9859990629805</c:v>
                </c:pt>
                <c:pt idx="521">
                  <c:v>1360.3270713494551</c:v>
                </c:pt>
                <c:pt idx="522">
                  <c:v>1380.4408074613225</c:v>
                </c:pt>
                <c:pt idx="523">
                  <c:v>1400.3303257519585</c:v>
                </c:pt>
                <c:pt idx="524">
                  <c:v>1419.9986592017376</c:v>
                </c:pt>
                <c:pt idx="525">
                  <c:v>1439.4487584556293</c:v>
                </c:pt>
                <c:pt idx="526">
                  <c:v>1458.6834947244754</c:v>
                </c:pt>
                <c:pt idx="527">
                  <c:v>1477.7056625572534</c:v>
                </c:pt>
                <c:pt idx="528">
                  <c:v>1496.5179824911829</c:v>
                </c:pt>
                <c:pt idx="529">
                  <c:v>1515.1231035861019</c:v>
                </c:pt>
                <c:pt idx="530">
                  <c:v>1533.5236058491505</c:v>
                </c:pt>
                <c:pt idx="531">
                  <c:v>1551.7220025554323</c:v>
                </c:pt>
                <c:pt idx="532">
                  <c:v>1569.7207424699809</c:v>
                </c:pt>
                <c:pt idx="533">
                  <c:v>1587.5222119760467</c:v>
                </c:pt>
                <c:pt idx="534">
                  <c:v>1605.1287371144158</c:v>
                </c:pt>
                <c:pt idx="535">
                  <c:v>1622.5425855382023</c:v>
                </c:pt>
                <c:pt idx="536">
                  <c:v>1639.7659683872967</c:v>
                </c:pt>
                <c:pt idx="537">
                  <c:v>1656.8010420864096</c:v>
                </c:pt>
                <c:pt idx="538">
                  <c:v>1673.649910070427</c:v>
                </c:pt>
                <c:pt idx="539">
                  <c:v>1690.3146244405834</c:v>
                </c:pt>
                <c:pt idx="540">
                  <c:v>1706.7971875547607</c:v>
                </c:pt>
                <c:pt idx="541">
                  <c:v>1723.0995535550385</c:v>
                </c:pt>
                <c:pt idx="542">
                  <c:v>1739.2236298354453</c:v>
                </c:pt>
                <c:pt idx="543">
                  <c:v>1755.1712784527042</c:v>
                </c:pt>
                <c:pt idx="544">
                  <c:v>1770.9443174826076</c:v>
                </c:pt>
                <c:pt idx="545">
                  <c:v>1786.5445223245208</c:v>
                </c:pt>
                <c:pt idx="546">
                  <c:v>1801.9736269563734</c:v>
                </c:pt>
                <c:pt idx="547">
                  <c:v>1817.2333251423788</c:v>
                </c:pt>
                <c:pt idx="548">
                  <c:v>1832.3252715955996</c:v>
                </c:pt>
                <c:pt idx="549">
                  <c:v>1847.251083097367</c:v>
                </c:pt>
                <c:pt idx="550">
                  <c:v>1862.0123395754586</c:v>
                </c:pt>
                <c:pt idx="551">
                  <c:v>1876.6105851428426</c:v>
                </c:pt>
                <c:pt idx="552">
                  <c:v>1891.0473290986997</c:v>
                </c:pt>
                <c:pt idx="553">
                  <c:v>1905.3240468933507</c:v>
                </c:pt>
                <c:pt idx="554">
                  <c:v>1919.4421810586357</c:v>
                </c:pt>
                <c:pt idx="555">
                  <c:v>1933.4031421052114</c:v>
                </c:pt>
                <c:pt idx="556">
                  <c:v>1947.208309388162</c:v>
                </c:pt>
                <c:pt idx="557">
                  <c:v>1960.859031942249</c:v>
                </c:pt>
                <c:pt idx="558">
                  <c:v>1974.3566292880639</c:v>
                </c:pt>
                <c:pt idx="559">
                  <c:v>1987.7023922102801</c:v>
                </c:pt>
                <c:pt idx="560">
                  <c:v>2000.8975835091485</c:v>
                </c:pt>
                <c:pt idx="561">
                  <c:v>2013.9434387263243</c:v>
                </c:pt>
                <c:pt idx="562">
                  <c:v>2026.8411668460594</c:v>
                </c:pt>
                <c:pt idx="563">
                  <c:v>2039.5919509727485</c:v>
                </c:pt>
                <c:pt idx="564">
                  <c:v>2052.1969489857684</c:v>
                </c:pt>
                <c:pt idx="565">
                  <c:v>2064.6572941725067</c:v>
                </c:pt>
                <c:pt idx="566">
                  <c:v>2076.9740958404386</c:v>
                </c:pt>
                <c:pt idx="567">
                  <c:v>2089.1484399090614</c:v>
                </c:pt>
                <c:pt idx="568">
                  <c:v>2101.1813894824709</c:v>
                </c:pt>
                <c:pt idx="569">
                  <c:v>2113.0739854033186</c:v>
                </c:pt>
                <c:pt idx="570">
                  <c:v>2124.8272467888651</c:v>
                </c:pt>
                <c:pt idx="571">
                  <c:v>2136.4421715497988</c:v>
                </c:pt>
                <c:pt idx="572">
                  <c:v>2147.9197368924774</c:v>
                </c:pt>
                <c:pt idx="573">
                  <c:v>2159.2608998052028</c:v>
                </c:pt>
                <c:pt idx="574">
                  <c:v>2170.4665975291277</c:v>
                </c:pt>
                <c:pt idx="575">
                  <c:v>2181.5377480143552</c:v>
                </c:pt>
                <c:pt idx="576">
                  <c:v>2192.475250361776</c:v>
                </c:pt>
                <c:pt idx="577">
                  <c:v>2203.2799852511585</c:v>
                </c:pt>
                <c:pt idx="578">
                  <c:v>2213.9528153559904</c:v>
                </c:pt>
                <c:pt idx="579">
                  <c:v>2224.4945857455455</c:v>
                </c:pt>
                <c:pt idx="580">
                  <c:v>2234.9061242746275</c:v>
                </c:pt>
                <c:pt idx="581">
                  <c:v>2245.1882419614312</c:v>
                </c:pt>
                <c:pt idx="582">
                  <c:v>2255.3417333539351</c:v>
                </c:pt>
                <c:pt idx="583">
                  <c:v>2265.3673768852241</c:v>
                </c:pt>
                <c:pt idx="584">
                  <c:v>2275.2659352181313</c:v>
                </c:pt>
                <c:pt idx="585">
                  <c:v>2285.038155579558</c:v>
                </c:pt>
                <c:pt idx="586">
                  <c:v>2294.6847700848321</c:v>
                </c:pt>
                <c:pt idx="587">
                  <c:v>2304.2064960524385</c:v>
                </c:pt>
                <c:pt idx="588">
                  <c:v>2313.6040363094485</c:v>
                </c:pt>
                <c:pt idx="589">
                  <c:v>2322.8780794879558</c:v>
                </c:pt>
                <c:pt idx="590">
                  <c:v>2332.0293003128254</c:v>
                </c:pt>
                <c:pt idx="591">
                  <c:v>2341.0583598810326</c:v>
                </c:pt>
                <c:pt idx="592">
                  <c:v>2349.9659059328783</c:v>
                </c:pt>
                <c:pt idx="593">
                  <c:v>2358.7525731153364</c:v>
                </c:pt>
                <c:pt idx="594">
                  <c:v>2367.4189832377942</c:v>
                </c:pt>
                <c:pt idx="595">
                  <c:v>2375.9657455204278</c:v>
                </c:pt>
                <c:pt idx="596">
                  <c:v>2384.393456835448</c:v>
                </c:pt>
                <c:pt idx="597">
                  <c:v>2392.7027019414427</c:v>
                </c:pt>
                <c:pt idx="598">
                  <c:v>2400.8940537110357</c:v>
                </c:pt>
                <c:pt idx="599">
                  <c:v>2408.9680733520663</c:v>
                </c:pt>
                <c:pt idx="600">
                  <c:v>2416.9253106224974</c:v>
                </c:pt>
                <c:pt idx="601">
                  <c:v>2424.7663040392408</c:v>
                </c:pt>
                <c:pt idx="602">
                  <c:v>2432.4915810810885</c:v>
                </c:pt>
                <c:pt idx="603">
                  <c:v>2440.1016583859314</c:v>
                </c:pt>
                <c:pt idx="604">
                  <c:v>2447.5970419424352</c:v>
                </c:pt>
                <c:pt idx="605">
                  <c:v>2454.9782272763432</c:v>
                </c:pt>
                <c:pt idx="606">
                  <c:v>2462.2456996315645</c:v>
                </c:pt>
                <c:pt idx="607">
                  <c:v>2469.3999341462063</c:v>
                </c:pt>
                <c:pt idx="608">
                  <c:v>2476.4413960236948</c:v>
                </c:pt>
                <c:pt idx="609">
                  <c:v>2483.3705406991344</c:v>
                </c:pt>
                <c:pt idx="610">
                  <c:v>2490.1878140010399</c:v>
                </c:pt>
                <c:pt idx="611">
                  <c:v>2496.8936523085804</c:v>
                </c:pt>
                <c:pt idx="612">
                  <c:v>2503.4884827044611</c:v>
                </c:pt>
                <c:pt idx="613">
                  <c:v>2509.9727231235706</c:v>
                </c:pt>
                <c:pt idx="614">
                  <c:v>2516.3467824975155</c:v>
                </c:pt>
                <c:pt idx="615">
                  <c:v>2522.6110608951585</c:v>
                </c:pt>
                <c:pt idx="616">
                  <c:v>2528.765949659276</c:v>
                </c:pt>
                <c:pt idx="617">
                  <c:v>2534.8118315394418</c:v>
                </c:pt>
                <c:pt idx="618">
                  <c:v>2540.7490808212488</c:v>
                </c:pt>
                <c:pt idx="619">
                  <c:v>2546.5780634519679</c:v>
                </c:pt>
                <c:pt idx="620">
                  <c:v>2552.2991371627481</c:v>
                </c:pt>
                <c:pt idx="621">
                  <c:v>2557.9126515874564</c:v>
                </c:pt>
                <c:pt idx="622">
                  <c:v>2563.4189483782502</c:v>
                </c:pt>
                <c:pt idx="623">
                  <c:v>2568.818361317979</c:v>
                </c:pt>
                <c:pt idx="624">
                  <c:v>2574.1112164295046</c:v>
                </c:pt>
                <c:pt idx="625">
                  <c:v>2579.297832082033</c:v>
                </c:pt>
                <c:pt idx="626">
                  <c:v>2584.3785190945405</c:v>
                </c:pt>
                <c:pt idx="627">
                  <c:v>2589.3535808363858</c:v>
                </c:pt>
                <c:pt idx="628">
                  <c:v>2594.223313325193</c:v>
                </c:pt>
                <c:pt idx="629">
                  <c:v>2598.9880053220886</c:v>
                </c:pt>
                <c:pt idx="630">
                  <c:v>2603.6479384243803</c:v>
                </c:pt>
                <c:pt idx="631">
                  <c:v>2608.2033871557592</c:v>
                </c:pt>
                <c:pt idx="632">
                  <c:v>2612.6546190541144</c:v>
                </c:pt>
                <c:pt idx="633">
                  <c:v>2617.0018947570452</c:v>
                </c:pt>
                <c:pt idx="634">
                  <c:v>2621.2454680851556</c:v>
                </c:pt>
                <c:pt idx="635">
                  <c:v>2625.3855861232259</c:v>
                </c:pt>
                <c:pt idx="636">
                  <c:v>2629.4224892993516</c:v>
                </c:pt>
                <c:pt idx="637">
                  <c:v>2633.3564114621449</c:v>
                </c:pt>
                <c:pt idx="638">
                  <c:v>2637.1875799561021</c:v>
                </c:pt>
                <c:pt idx="639">
                  <c:v>2640.9162156952402</c:v>
                </c:pt>
                <c:pt idx="640">
                  <c:v>2644.5425332351178</c:v>
                </c:pt>
                <c:pt idx="641">
                  <c:v>2648.0667408433587</c:v>
                </c:pt>
                <c:pt idx="642">
                  <c:v>2651.4890405688125</c:v>
                </c:pt>
                <c:pt idx="643">
                  <c:v>2654.8096283094892</c:v>
                </c:pt>
                <c:pt idx="644">
                  <c:v>2658.028693879427</c:v>
                </c:pt>
                <c:pt idx="645">
                  <c:v>2661.1464210746649</c:v>
                </c:pt>
                <c:pt idx="646">
                  <c:v>2664.1629877385076</c:v>
                </c:pt>
                <c:pt idx="647">
                  <c:v>2667.0785658263017</c:v>
                </c:pt>
                <c:pt idx="648">
                  <c:v>2669.8933214699578</c:v>
                </c:pt>
                <c:pt idx="649">
                  <c:v>2672.607415042492</c:v>
                </c:pt>
                <c:pt idx="650">
                  <c:v>2675.2210012228948</c:v>
                </c:pt>
                <c:pt idx="651">
                  <c:v>2677.7342290616766</c:v>
                </c:pt>
                <c:pt idx="652">
                  <c:v>2680.1472420474902</c:v>
                </c:pt>
                <c:pt idx="653">
                  <c:v>2682.4601781752872</c:v>
                </c:pt>
                <c:pt idx="654">
                  <c:v>2684.6731700165351</c:v>
                </c:pt>
                <c:pt idx="655">
                  <c:v>2686.7863447920968</c:v>
                </c:pt>
                <c:pt idx="656">
                  <c:v>2688.7998244484629</c:v>
                </c:pt>
                <c:pt idx="657">
                  <c:v>2690.7137257381282</c:v>
                </c:pt>
                <c:pt idx="658">
                  <c:v>2692.528160305023</c:v>
                </c:pt>
                <c:pt idx="659">
                  <c:v>2694.2432347760264</c:v>
                </c:pt>
                <c:pt idx="660">
                  <c:v>2695.8590508597376</c:v>
                </c:pt>
                <c:pt idx="661">
                  <c:v>2697.3757054538255</c:v>
                </c:pt>
                <c:pt idx="662">
                  <c:v>2698.7932907624336</c:v>
                </c:pt>
                <c:pt idx="663">
                  <c:v>2700.1118944252758</c:v>
                </c:pt>
                <c:pt idx="664">
                  <c:v>2701.3315996602023</c:v>
                </c:pt>
                <c:pt idx="665">
                  <c:v>2702.4524854211468</c:v>
                </c:pt>
                <c:pt idx="666">
                  <c:v>2703.4746265734448</c:v>
                </c:pt>
                <c:pt idx="667">
                  <c:v>2704.3980940885499</c:v>
                </c:pt>
                <c:pt idx="668">
                  <c:v>2705.2229552601057</c:v>
                </c:pt>
                <c:pt idx="669">
                  <c:v>2705.9492739431603</c:v>
                </c:pt>
                <c:pt idx="670">
                  <c:v>2706.5771108179933</c:v>
                </c:pt>
                <c:pt idx="671">
                  <c:v>2707.1065236795362</c:v>
                </c:pt>
                <c:pt idx="672">
                  <c:v>2707.5375677527045</c:v>
                </c:pt>
                <c:pt idx="673">
                  <c:v>2707.8702960331229</c:v>
                </c:pt>
                <c:pt idx="674">
                  <c:v>2708.1047596517337</c:v>
                </c:pt>
                <c:pt idx="675">
                  <c:v>2708.2410082607034</c:v>
                </c:pt>
                <c:pt idx="676">
                  <c:v>2708.2790904369535</c:v>
                </c:pt>
                <c:pt idx="677">
                  <c:v>2708.2190540986394</c:v>
                </c:pt>
                <c:pt idx="678">
                  <c:v>2708.0609469291044</c:v>
                </c:pt>
                <c:pt idx="679">
                  <c:v>2707.8048168023124</c:v>
                </c:pt>
                <c:pt idx="680">
                  <c:v>2707.4507122036071</c:v>
                </c:pt>
                <c:pt idx="681">
                  <c:v>2706.9986826398558</c:v>
                </c:pt>
                <c:pt idx="682">
                  <c:v>2706.4487790335907</c:v>
                </c:pt>
                <c:pt idx="683">
                  <c:v>2705.8010540966015</c:v>
                </c:pt>
                <c:pt idx="684">
                  <c:v>2705.0555626794503</c:v>
                </c:pt>
                <c:pt idx="685">
                  <c:v>2704.2123620944744</c:v>
                </c:pt>
                <c:pt idx="686">
                  <c:v>2703.2715124109191</c:v>
                </c:pt>
                <c:pt idx="687">
                  <c:v>2702.2330767218123</c:v>
                </c:pt>
                <c:pt idx="688">
                  <c:v>2701.0971213830121</c:v>
                </c:pt>
                <c:pt idx="689">
                  <c:v>2699.8637162255009</c:v>
                </c:pt>
                <c:pt idx="690">
                  <c:v>2698.5329347424563</c:v>
                </c:pt>
                <c:pt idx="691">
                  <c:v>2697.1048542529343</c:v>
                </c:pt>
                <c:pt idx="692">
                  <c:v>2695.5795560441456</c:v>
                </c:pt>
                <c:pt idx="693">
                  <c:v>2693.9571254943558</c:v>
                </c:pt>
                <c:pt idx="694">
                  <c:v>2692.2376521783995</c:v>
                </c:pt>
                <c:pt idx="695">
                  <c:v>2690.4212299577016</c:v>
                </c:pt>
                <c:pt idx="696">
                  <c:v>2688.5079570565654</c:v>
                </c:pt>
                <c:pt idx="697">
                  <c:v>2686.4979361263345</c:v>
                </c:pt>
                <c:pt idx="698">
                  <c:v>2684.391274298875</c:v>
                </c:pt>
                <c:pt idx="699">
                  <c:v>2682.1880832306701</c:v>
                </c:pt>
                <c:pt idx="700">
                  <c:v>2679.8884791386618</c:v>
                </c:pt>
                <c:pt idx="701">
                  <c:v>2677.4925828288442</c:v>
                </c:pt>
                <c:pt idx="702">
                  <c:v>2675.0005197184769</c:v>
                </c:pt>
                <c:pt idx="703">
                  <c:v>2672.412419852677</c:v>
                </c:pt>
                <c:pt idx="704">
                  <c:v>2669.7284179160515</c:v>
                </c:pt>
                <c:pt idx="705">
                  <c:v>2666.9486532399355</c:v>
                </c:pt>
                <c:pt idx="706">
                  <c:v>2664.07326980573</c:v>
                </c:pt>
                <c:pt idx="707">
                  <c:v>2661.1024162447629</c:v>
                </c:pt>
                <c:pt idx="708">
                  <c:v>2658.0362458350464</c:v>
                </c:pt>
                <c:pt idx="709">
                  <c:v>2654.8749164952396</c:v>
                </c:pt>
                <c:pt idx="710">
                  <c:v>2651.6185907760992</c:v>
                </c:pt>
                <c:pt idx="711">
                  <c:v>2648.267435849652</c:v>
                </c:pt>
                <c:pt idx="712">
                  <c:v>2644.8216234962974</c:v>
                </c:pt>
                <c:pt idx="713">
                  <c:v>2641.2813300900175</c:v>
                </c:pt>
                <c:pt idx="714">
                  <c:v>2637.6467365818548</c:v>
                </c:pt>
                <c:pt idx="715">
                  <c:v>2633.9180284817908</c:v>
                </c:pt>
                <c:pt idx="716">
                  <c:v>2630.0953958391447</c:v>
                </c:pt>
                <c:pt idx="717">
                  <c:v>2626.1790332216019</c:v>
                </c:pt>
                <c:pt idx="718">
                  <c:v>2622.1691396929573</c:v>
                </c:pt>
                <c:pt idx="719">
                  <c:v>2618.0659187896608</c:v>
                </c:pt>
                <c:pt idx="720">
                  <c:v>2613.8695784962365</c:v>
                </c:pt>
                <c:pt idx="721">
                  <c:v>2609.5803312196344</c:v>
                </c:pt>
                <c:pt idx="722">
                  <c:v>2605.1983937625814</c:v>
                </c:pt>
                <c:pt idx="723">
                  <c:v>2600.723987295974</c:v>
                </c:pt>
                <c:pt idx="724">
                  <c:v>2596.1573373303631</c:v>
                </c:pt>
                <c:pt idx="725">
                  <c:v>2591.4986736865758</c:v>
                </c:pt>
                <c:pt idx="726">
                  <c:v>2586.7482304655032</c:v>
                </c:pt>
                <c:pt idx="727">
                  <c:v>2581.9062460170994</c:v>
                </c:pt>
                <c:pt idx="728">
                  <c:v>2576.972962908615</c:v>
                </c:pt>
                <c:pt idx="729">
                  <c:v>2571.9486278920999</c:v>
                </c:pt>
                <c:pt idx="730">
                  <c:v>2566.833491871198</c:v>
                </c:pt>
                <c:pt idx="731">
                  <c:v>2561.6278098672637</c:v>
                </c:pt>
                <c:pt idx="732">
                  <c:v>2556.331840984818</c:v>
                </c:pt>
                <c:pt idx="733">
                  <c:v>2550.9458483763706</c:v>
                </c:pt>
                <c:pt idx="734">
                  <c:v>2545.4700992066287</c:v>
                </c:pt>
                <c:pt idx="735">
                  <c:v>2539.9048646161064</c:v>
                </c:pt>
                <c:pt idx="736">
                  <c:v>2534.2504196841624</c:v>
                </c:pt>
                <c:pt idx="737">
                  <c:v>2528.5070433914748</c:v>
                </c:pt>
                <c:pt idx="738">
                  <c:v>2522.6750185819765</c:v>
                </c:pt>
                <c:pt idx="739">
                  <c:v>2516.7546319242633</c:v>
                </c:pt>
                <c:pt idx="740">
                  <c:v>2510.7461738724937</c:v>
                </c:pt>
                <c:pt idx="741">
                  <c:v>2504.6499386267942</c:v>
                </c:pt>
                <c:pt idx="742">
                  <c:v>2498.4662240931825</c:v>
                </c:pt>
                <c:pt idx="743">
                  <c:v>2492.1953318430292</c:v>
                </c:pt>
                <c:pt idx="744">
                  <c:v>2485.8375670720648</c:v>
                </c:pt>
                <c:pt idx="745">
                  <c:v>2479.3932385589519</c:v>
                </c:pt>
                <c:pt idx="746">
                  <c:v>2472.8626586234318</c:v>
                </c:pt>
                <c:pt idx="747">
                  <c:v>2466.2461430840617</c:v>
                </c:pt>
                <c:pt idx="748">
                  <c:v>2459.5440112155547</c:v>
                </c:pt>
                <c:pt idx="749">
                  <c:v>2452.7565857057325</c:v>
                </c:pt>
                <c:pt idx="750">
                  <c:v>2445.8841926121099</c:v>
                </c:pt>
                <c:pt idx="751">
                  <c:v>2438.9271613181177</c:v>
                </c:pt>
                <c:pt idx="752">
                  <c:v>2431.8858244889793</c:v>
                </c:pt>
                <c:pt idx="753">
                  <c:v>2424.7605180272526</c:v>
                </c:pt>
                <c:pt idx="754">
                  <c:v>2417.5515810280494</c:v>
                </c:pt>
                <c:pt idx="755">
                  <c:v>2410.259355733946</c:v>
                </c:pt>
                <c:pt idx="756">
                  <c:v>2402.8841874895938</c:v>
                </c:pt>
                <c:pt idx="757">
                  <c:v>2395.4264246960447</c:v>
                </c:pt>
                <c:pt idx="758">
                  <c:v>2387.8864187648028</c:v>
                </c:pt>
                <c:pt idx="759">
                  <c:v>2380.264524071612</c:v>
                </c:pt>
                <c:pt idx="760">
                  <c:v>2372.5610979099938</c:v>
                </c:pt>
                <c:pt idx="761">
                  <c:v>2364.7765004445473</c:v>
                </c:pt>
                <c:pt idx="762">
                  <c:v>2356.9110946640199</c:v>
                </c:pt>
                <c:pt idx="763">
                  <c:v>2348.9652463341627</c:v>
                </c:pt>
                <c:pt idx="764">
                  <c:v>2340.9393239503829</c:v>
                </c:pt>
                <c:pt idx="765">
                  <c:v>2332.8336986902027</c:v>
                </c:pt>
                <c:pt idx="766">
                  <c:v>2324.648744365536</c:v>
                </c:pt>
                <c:pt idx="767">
                  <c:v>2316.3848373747965</c:v>
                </c:pt>
                <c:pt idx="768">
                  <c:v>2308.0423566548466</c:v>
                </c:pt>
                <c:pt idx="769">
                  <c:v>2299.6216836327994</c:v>
                </c:pt>
                <c:pt idx="770">
                  <c:v>2291.123202177685</c:v>
                </c:pt>
                <c:pt idx="771">
                  <c:v>2282.54729855199</c:v>
                </c:pt>
                <c:pt idx="772">
                  <c:v>2273.8943613630854</c:v>
                </c:pt>
                <c:pt idx="773">
                  <c:v>2265.1647815145516</c:v>
                </c:pt>
                <c:pt idx="774">
                  <c:v>2256.3589521574099</c:v>
                </c:pt>
                <c:pt idx="775">
                  <c:v>2247.4772686412762</c:v>
                </c:pt>
                <c:pt idx="776">
                  <c:v>2238.5201284654418</c:v>
                </c:pt>
                <c:pt idx="777">
                  <c:v>2229.4879312298967</c:v>
                </c:pt>
                <c:pt idx="778">
                  <c:v>2220.381078586307</c:v>
                </c:pt>
                <c:pt idx="779">
                  <c:v>2211.1999741889495</c:v>
                </c:pt>
                <c:pt idx="780">
                  <c:v>2201.9450236456246</c:v>
                </c:pt>
                <c:pt idx="781">
                  <c:v>2192.6166344685498</c:v>
                </c:pt>
                <c:pt idx="782">
                  <c:v>2183.2152160252499</c:v>
                </c:pt>
                <c:pt idx="783">
                  <c:v>2173.7411794894492</c:v>
                </c:pt>
                <c:pt idx="784">
                  <c:v>2164.19493779198</c:v>
                </c:pt>
                <c:pt idx="785">
                  <c:v>2154.5769055717174</c:v>
                </c:pt>
                <c:pt idx="786">
                  <c:v>2144.8874991265475</c:v>
                </c:pt>
                <c:pt idx="787">
                  <c:v>2135.1271363643832</c:v>
                </c:pt>
                <c:pt idx="788">
                  <c:v>2125.2962367542341</c:v>
                </c:pt>
                <c:pt idx="789">
                  <c:v>2115.395221277342</c:v>
                </c:pt>
                <c:pt idx="790">
                  <c:v>2105.4245123783944</c:v>
                </c:pt>
                <c:pt idx="791">
                  <c:v>2095.3845339168183</c:v>
                </c:pt>
                <c:pt idx="792">
                  <c:v>2085.2757111181736</c:v>
                </c:pt>
                <c:pt idx="793">
                  <c:v>2075.0984705256483</c:v>
                </c:pt>
                <c:pt idx="794">
                  <c:v>2064.8532399516675</c:v>
                </c:pt>
                <c:pt idx="795">
                  <c:v>2054.5404484296268</c:v>
                </c:pt>
                <c:pt idx="796">
                  <c:v>2044.1605261657567</c:v>
                </c:pt>
                <c:pt idx="797">
                  <c:v>2033.7139044911301</c:v>
                </c:pt>
                <c:pt idx="798">
                  <c:v>2023.2010158138191</c:v>
                </c:pt>
                <c:pt idx="799">
                  <c:v>2012.6222935712124</c:v>
                </c:pt>
                <c:pt idx="800">
                  <c:v>2001.9781721824997</c:v>
                </c:pt>
                <c:pt idx="801">
                  <c:v>1991.269087001335</c:v>
                </c:pt>
                <c:pt idx="802">
                  <c:v>1980.4954742686837</c:v>
                </c:pt>
                <c:pt idx="803">
                  <c:v>1969.6577710658651</c:v>
                </c:pt>
                <c:pt idx="804">
                  <c:v>1958.7564152677969</c:v>
                </c:pt>
                <c:pt idx="805">
                  <c:v>1947.7918454964502</c:v>
                </c:pt>
                <c:pt idx="806">
                  <c:v>1936.7645010745239</c:v>
                </c:pt>
                <c:pt idx="807">
                  <c:v>1925.6748219793449</c:v>
                </c:pt>
                <c:pt idx="808">
                  <c:v>1914.523248797004</c:v>
                </c:pt>
                <c:pt idx="809">
                  <c:v>1903.3102226767335</c:v>
                </c:pt>
                <c:pt idx="810">
                  <c:v>1892.0361852855342</c:v>
                </c:pt>
                <c:pt idx="811">
                  <c:v>1880.7015787630612</c:v>
                </c:pt>
                <c:pt idx="812">
                  <c:v>1869.3068456767733</c:v>
                </c:pt>
                <c:pt idx="813">
                  <c:v>1857.8524289773545</c:v>
                </c:pt>
                <c:pt idx="814">
                  <c:v>1846.3387719544146</c:v>
                </c:pt>
                <c:pt idx="815">
                  <c:v>1834.7663181924754</c:v>
                </c:pt>
                <c:pt idx="816">
                  <c:v>1823.1355115272502</c:v>
                </c:pt>
                <c:pt idx="817">
                  <c:v>1811.4467960022214</c:v>
                </c:pt>
                <c:pt idx="818">
                  <c:v>1799.7006158255251</c:v>
                </c:pt>
                <c:pt idx="819">
                  <c:v>1787.8974153271472</c:v>
                </c:pt>
                <c:pt idx="820">
                  <c:v>1776.0376389164378</c:v>
                </c:pt>
                <c:pt idx="821">
                  <c:v>1764.1217310399502</c:v>
                </c:pt>
                <c:pt idx="822">
                  <c:v>1752.1501361396101</c:v>
                </c:pt>
                <c:pt idx="823">
                  <c:v>1740.1232986112213</c:v>
                </c:pt>
                <c:pt idx="824">
                  <c:v>1728.0416627633128</c:v>
                </c:pt>
                <c:pt idx="825">
                  <c:v>1715.9056727763332</c:v>
                </c:pt>
                <c:pt idx="826">
                  <c:v>1703.7157726621972</c:v>
                </c:pt>
                <c:pt idx="827">
                  <c:v>1691.4724062241917</c:v>
                </c:pt>
                <c:pt idx="828">
                  <c:v>1679.1760170172424</c:v>
                </c:pt>
                <c:pt idx="829">
                  <c:v>1666.8270483085498</c:v>
                </c:pt>
                <c:pt idx="830">
                  <c:v>1654.4259430385973</c:v>
                </c:pt>
                <c:pt idx="831">
                  <c:v>1641.9731437825355</c:v>
                </c:pt>
                <c:pt idx="832">
                  <c:v>1629.4690927119502</c:v>
                </c:pt>
                <c:pt idx="833">
                  <c:v>1616.9142315570139</c:v>
                </c:pt>
                <c:pt idx="834">
                  <c:v>1604.3090015690286</c:v>
                </c:pt>
                <c:pt idx="835">
                  <c:v>1591.6538434833635</c:v>
                </c:pt>
                <c:pt idx="836">
                  <c:v>1578.9491974827886</c:v>
                </c:pt>
                <c:pt idx="837">
                  <c:v>1566.1955031612115</c:v>
                </c:pt>
                <c:pt idx="838">
                  <c:v>1553.3931994878194</c:v>
                </c:pt>
                <c:pt idx="839">
                  <c:v>1540.5427247716289</c:v>
                </c:pt>
                <c:pt idx="840">
                  <c:v>1527.6445166264484</c:v>
                </c:pt>
                <c:pt idx="841">
                  <c:v>1514.6990119362558</c:v>
                </c:pt>
                <c:pt idx="842">
                  <c:v>1501.7066468209935</c:v>
                </c:pt>
                <c:pt idx="843">
                  <c:v>1488.6678566027852</c:v>
                </c:pt>
                <c:pt idx="844">
                  <c:v>1475.5830757725755</c:v>
                </c:pt>
                <c:pt idx="845">
                  <c:v>1462.4527379571969</c:v>
                </c:pt>
                <c:pt idx="846">
                  <c:v>1449.2772758868634</c:v>
                </c:pt>
                <c:pt idx="847">
                  <c:v>1436.0571213630976</c:v>
                </c:pt>
                <c:pt idx="848">
                  <c:v>1422.7927052270882</c:v>
                </c:pt>
                <c:pt idx="849">
                  <c:v>1409.4844573284843</c:v>
                </c:pt>
                <c:pt idx="850">
                  <c:v>1396.1328064946258</c:v>
                </c:pt>
                <c:pt idx="851">
                  <c:v>1382.7381805002126</c:v>
                </c:pt>
                <c:pt idx="852">
                  <c:v>1369.3010060374133</c:v>
                </c:pt>
                <c:pt idx="853">
                  <c:v>1355.8217086864167</c:v>
                </c:pt>
                <c:pt idx="854">
                  <c:v>1342.3007128864249</c:v>
                </c:pt>
                <c:pt idx="855">
                  <c:v>1328.7384419070909</c:v>
                </c:pt>
                <c:pt idx="856">
                  <c:v>1315.1353178204015</c:v>
                </c:pt>
                <c:pt idx="857">
                  <c:v>1301.4917614730061</c:v>
                </c:pt>
                <c:pt idx="858">
                  <c:v>1287.8081924589917</c:v>
                </c:pt>
                <c:pt idx="859">
                  <c:v>1274.085029093106</c:v>
                </c:pt>
                <c:pt idx="860">
                  <c:v>1260.3226883844277</c:v>
                </c:pt>
                <c:pt idx="861">
                  <c:v>1246.5215860104861</c:v>
                </c:pt>
                <c:pt idx="862">
                  <c:v>1232.6821362918274</c:v>
                </c:pt>
                <c:pt idx="863">
                  <c:v>1218.8047521670321</c:v>
                </c:pt>
                <c:pt idx="864">
                  <c:v>1204.8898451681791</c:v>
                </c:pt>
                <c:pt idx="865">
                  <c:v>1190.9378253967591</c:v>
                </c:pt>
                <c:pt idx="866">
                  <c:v>1176.9491015000365</c:v>
                </c:pt>
                <c:pt idx="867">
                  <c:v>1162.9240806478595</c:v>
                </c:pt>
                <c:pt idx="868">
                  <c:v>1148.8631685099169</c:v>
                </c:pt>
                <c:pt idx="869">
                  <c:v>1134.766769233443</c:v>
                </c:pt>
                <c:pt idx="870">
                  <c:v>1120.6352854213678</c:v>
                </c:pt>
                <c:pt idx="871">
                  <c:v>1106.469118110914</c:v>
                </c:pt>
                <c:pt idx="872">
                  <c:v>1092.2686667526366</c:v>
                </c:pt>
                <c:pt idx="873">
                  <c:v>1078.0343291899087</c:v>
                </c:pt>
                <c:pt idx="874">
                  <c:v>1063.7665016388476</c:v>
                </c:pt>
                <c:pt idx="875">
                  <c:v>1049.4655786686831</c:v>
                </c:pt>
                <c:pt idx="876">
                  <c:v>1035.1319531825661</c:v>
                </c:pt>
                <c:pt idx="877">
                  <c:v>1020.7660163988155</c:v>
                </c:pt>
                <c:pt idx="878">
                  <c:v>1006.3681578326011</c:v>
                </c:pt>
                <c:pt idx="879">
                  <c:v>991.9387652780639</c:v>
                </c:pt>
                <c:pt idx="880">
                  <c:v>977.47822479086813</c:v>
                </c:pt>
                <c:pt idx="881">
                  <c:v>962.98692067118679</c:v>
                </c:pt>
                <c:pt idx="882">
                  <c:v>948.46523544711613</c:v>
                </c:pt>
                <c:pt idx="883">
                  <c:v>933.91354985851888</c:v>
                </c:pt>
                <c:pt idx="884">
                  <c:v>919.3322428412929</c:v>
                </c:pt>
                <c:pt idx="885">
                  <c:v>904.72169151206401</c:v>
                </c:pt>
                <c:pt idx="886">
                  <c:v>890.08227115330044</c:v>
                </c:pt>
                <c:pt idx="887">
                  <c:v>875.41435519884647</c:v>
                </c:pt>
                <c:pt idx="888">
                  <c:v>860.71831521987292</c:v>
                </c:pt>
                <c:pt idx="889">
                  <c:v>845.99452091124215</c:v>
                </c:pt>
                <c:pt idx="890">
                  <c:v>831.24334007828497</c:v>
                </c:pt>
                <c:pt idx="891">
                  <c:v>816.46513862398695</c:v>
                </c:pt>
                <c:pt idx="892">
                  <c:v>801.6602805365809</c:v>
                </c:pt>
                <c:pt idx="893">
                  <c:v>786.82912787754367</c:v>
                </c:pt>
                <c:pt idx="894">
                  <c:v>771.97204076999367</c:v>
                </c:pt>
                <c:pt idx="895">
                  <c:v>757.08937738748682</c:v>
                </c:pt>
                <c:pt idx="896">
                  <c:v>742.18149394320722</c:v>
                </c:pt>
                <c:pt idx="897">
                  <c:v>727.24874467955033</c:v>
                </c:pt>
                <c:pt idx="898">
                  <c:v>712.29148185809527</c:v>
                </c:pt>
                <c:pt idx="899">
                  <c:v>697.31005574996288</c:v>
                </c:pt>
                <c:pt idx="900">
                  <c:v>682.30481462655666</c:v>
                </c:pt>
                <c:pt idx="901">
                  <c:v>667.27610475068332</c:v>
                </c:pt>
                <c:pt idx="902">
                  <c:v>652.22427036804947</c:v>
                </c:pt>
                <c:pt idx="903">
                  <c:v>637.1496536991317</c:v>
                </c:pt>
                <c:pt idx="904">
                  <c:v>622.05259493141534</c:v>
                </c:pt>
                <c:pt idx="905">
                  <c:v>606.93343221199996</c:v>
                </c:pt>
                <c:pt idx="906">
                  <c:v>591.79250164056759</c:v>
                </c:pt>
                <c:pt idx="907">
                  <c:v>576.63013726270958</c:v>
                </c:pt>
                <c:pt idx="908">
                  <c:v>561.44667106360953</c:v>
                </c:pt>
                <c:pt idx="909">
                  <c:v>546.24243296207783</c:v>
                </c:pt>
                <c:pt idx="910">
                  <c:v>531.01775080493462</c:v>
                </c:pt>
                <c:pt idx="911">
                  <c:v>515.77295036173746</c:v>
                </c:pt>
                <c:pt idx="912">
                  <c:v>500.50835531985018</c:v>
                </c:pt>
                <c:pt idx="913">
                  <c:v>485.22428727984862</c:v>
                </c:pt>
                <c:pt idx="914">
                  <c:v>469.92106575126002</c:v>
                </c:pt>
                <c:pt idx="915">
                  <c:v>454.59900814863209</c:v>
                </c:pt>
                <c:pt idx="916">
                  <c:v>439.25842978792804</c:v>
                </c:pt>
                <c:pt idx="917">
                  <c:v>423.89964388324353</c:v>
                </c:pt>
                <c:pt idx="918">
                  <c:v>408.52296154384186</c:v>
                </c:pt>
                <c:pt idx="919">
                  <c:v>393.1286917715035</c:v>
                </c:pt>
                <c:pt idx="920">
                  <c:v>377.71714145818578</c:v>
                </c:pt>
                <c:pt idx="921">
                  <c:v>362.28861538398957</c:v>
                </c:pt>
                <c:pt idx="922">
                  <c:v>346.84341621542785</c:v>
                </c:pt>
                <c:pt idx="923">
                  <c:v>331.38184450399336</c:v>
                </c:pt>
                <c:pt idx="924">
                  <c:v>315.90419868502067</c:v>
                </c:pt>
                <c:pt idx="925">
                  <c:v>300.410775076839</c:v>
                </c:pt>
                <c:pt idx="926">
                  <c:v>284.90186788021157</c:v>
                </c:pt>
                <c:pt idx="927">
                  <c:v>269.37776917805775</c:v>
                </c:pt>
                <c:pt idx="928">
                  <c:v>253.83876893545366</c:v>
                </c:pt>
                <c:pt idx="929">
                  <c:v>238.28515499990777</c:v>
                </c:pt>
                <c:pt idx="930">
                  <c:v>222.71721310190696</c:v>
                </c:pt>
                <c:pt idx="931">
                  <c:v>207.13522685572906</c:v>
                </c:pt>
                <c:pt idx="932">
                  <c:v>191.53947776051825</c:v>
                </c:pt>
                <c:pt idx="933">
                  <c:v>175.93024520161896</c:v>
                </c:pt>
                <c:pt idx="934">
                  <c:v>160.30780645216433</c:v>
                </c:pt>
                <c:pt idx="935">
                  <c:v>144.67243667491525</c:v>
                </c:pt>
                <c:pt idx="936">
                  <c:v>129.02440892434592</c:v>
                </c:pt>
                <c:pt idx="937">
                  <c:v>113.36399414897203</c:v>
                </c:pt>
                <c:pt idx="938">
                  <c:v>97.691461193917377</c:v>
                </c:pt>
                <c:pt idx="939">
                  <c:v>82.007076803715151</c:v>
                </c:pt>
                <c:pt idx="940">
                  <c:v>66.311105625339664</c:v>
                </c:pt>
                <c:pt idx="941">
                  <c:v>50.603810211464726</c:v>
                </c:pt>
                <c:pt idx="942">
                  <c:v>34.885451023944647</c:v>
                </c:pt>
                <c:pt idx="943">
                  <c:v>19.15628643751387</c:v>
                </c:pt>
                <c:pt idx="944">
                  <c:v>3.4165727437013285</c:v>
                </c:pt>
                <c:pt idx="945">
                  <c:v>-12.33343584504439</c:v>
                </c:pt>
                <c:pt idx="946">
                  <c:v>-12.349190942745714</c:v>
                </c:pt>
                <c:pt idx="947">
                  <c:v>-12.364946050364122</c:v>
                </c:pt>
                <c:pt idx="948">
                  <c:v>-12.380701167899362</c:v>
                </c:pt>
                <c:pt idx="949">
                  <c:v>-12.396456295351188</c:v>
                </c:pt>
                <c:pt idx="950">
                  <c:v>-12.412211432719349</c:v>
                </c:pt>
                <c:pt idx="951">
                  <c:v>-12.427966580003599</c:v>
                </c:pt>
                <c:pt idx="952">
                  <c:v>-12.443721737203687</c:v>
                </c:pt>
                <c:pt idx="953">
                  <c:v>-12.459476904319365</c:v>
                </c:pt>
                <c:pt idx="954">
                  <c:v>-12.475232081350384</c:v>
                </c:pt>
                <c:pt idx="955">
                  <c:v>-12.490987268296497</c:v>
                </c:pt>
                <c:pt idx="956">
                  <c:v>-12.506742465157453</c:v>
                </c:pt>
                <c:pt idx="957">
                  <c:v>-12.522497671933005</c:v>
                </c:pt>
                <c:pt idx="958">
                  <c:v>-12.538252888622903</c:v>
                </c:pt>
                <c:pt idx="959">
                  <c:v>-12.5540081152269</c:v>
                </c:pt>
                <c:pt idx="960">
                  <c:v>-12.569763351744745</c:v>
                </c:pt>
                <c:pt idx="961">
                  <c:v>-12.585518598176193</c:v>
                </c:pt>
                <c:pt idx="962">
                  <c:v>-12.601273854520993</c:v>
                </c:pt>
                <c:pt idx="963">
                  <c:v>-12.617029120778897</c:v>
                </c:pt>
                <c:pt idx="964">
                  <c:v>-12.632784396949656</c:v>
                </c:pt>
                <c:pt idx="965">
                  <c:v>-12.648539683033022</c:v>
                </c:pt>
                <c:pt idx="966">
                  <c:v>-12.664294979028744</c:v>
                </c:pt>
                <c:pt idx="967">
                  <c:v>-12.680050284936577</c:v>
                </c:pt>
                <c:pt idx="968">
                  <c:v>-12.69580560075627</c:v>
                </c:pt>
                <c:pt idx="969">
                  <c:v>-12.711560926487575</c:v>
                </c:pt>
                <c:pt idx="970">
                  <c:v>-12.727316262130243</c:v>
                </c:pt>
                <c:pt idx="971">
                  <c:v>-12.743071607684026</c:v>
                </c:pt>
                <c:pt idx="972">
                  <c:v>-12.758826963148675</c:v>
                </c:pt>
                <c:pt idx="973">
                  <c:v>-12.774582328523941</c:v>
                </c:pt>
                <c:pt idx="974">
                  <c:v>-12.790337703809577</c:v>
                </c:pt>
                <c:pt idx="975">
                  <c:v>-12.806093089005332</c:v>
                </c:pt>
                <c:pt idx="976">
                  <c:v>-12.821848484110959</c:v>
                </c:pt>
                <c:pt idx="977">
                  <c:v>-12.837603889126209</c:v>
                </c:pt>
                <c:pt idx="978">
                  <c:v>-12.853359304050834</c:v>
                </c:pt>
                <c:pt idx="979">
                  <c:v>-12.869114728884584</c:v>
                </c:pt>
                <c:pt idx="980">
                  <c:v>-12.884870163627212</c:v>
                </c:pt>
                <c:pt idx="981">
                  <c:v>-12.900625608278469</c:v>
                </c:pt>
                <c:pt idx="982">
                  <c:v>-12.916381062838106</c:v>
                </c:pt>
                <c:pt idx="983">
                  <c:v>-12.932136527305873</c:v>
                </c:pt>
                <c:pt idx="984">
                  <c:v>-12.947892001681524</c:v>
                </c:pt>
                <c:pt idx="985">
                  <c:v>-12.963647485964808</c:v>
                </c:pt>
                <c:pt idx="986">
                  <c:v>-12.979402980155479</c:v>
                </c:pt>
                <c:pt idx="987">
                  <c:v>-12.995158484253286</c:v>
                </c:pt>
                <c:pt idx="988">
                  <c:v>-13.010913998257982</c:v>
                </c:pt>
                <c:pt idx="989">
                  <c:v>-13.026669522169318</c:v>
                </c:pt>
                <c:pt idx="990">
                  <c:v>-13.042425055987044</c:v>
                </c:pt>
                <c:pt idx="991">
                  <c:v>-13.058180599710914</c:v>
                </c:pt>
                <c:pt idx="992">
                  <c:v>-13.073936153340679</c:v>
                </c:pt>
                <c:pt idx="993">
                  <c:v>-13.089691716876088</c:v>
                </c:pt>
                <c:pt idx="994">
                  <c:v>-13.105447290316894</c:v>
                </c:pt>
                <c:pt idx="995">
                  <c:v>-13.121202873662849</c:v>
                </c:pt>
                <c:pt idx="996">
                  <c:v>-13.136958466913704</c:v>
                </c:pt>
                <c:pt idx="997">
                  <c:v>-13.15271407006921</c:v>
                </c:pt>
                <c:pt idx="998">
                  <c:v>-13.168469683129119</c:v>
                </c:pt>
                <c:pt idx="999">
                  <c:v>-13.184225306093182</c:v>
                </c:pt>
                <c:pt idx="1000">
                  <c:v>-13.199980938961151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BC-E84B-8A2E-77A3E8DE6A60}"/>
            </c:ext>
          </c:extLst>
        </c:ser>
        <c:ser>
          <c:idx val="1"/>
          <c:order val="2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5.0999999999999375</c:v>
                </c:pt>
                <c:pt idx="502">
                  <c:v>5.1999999999999371</c:v>
                </c:pt>
                <c:pt idx="503">
                  <c:v>5.2999999999999368</c:v>
                </c:pt>
                <c:pt idx="504">
                  <c:v>5.3999999999999364</c:v>
                </c:pt>
                <c:pt idx="505">
                  <c:v>5.4999999999999361</c:v>
                </c:pt>
                <c:pt idx="506">
                  <c:v>5.5999999999999357</c:v>
                </c:pt>
                <c:pt idx="507">
                  <c:v>5.6999999999999353</c:v>
                </c:pt>
                <c:pt idx="508">
                  <c:v>5.799999999999935</c:v>
                </c:pt>
                <c:pt idx="509">
                  <c:v>5.8999999999999346</c:v>
                </c:pt>
                <c:pt idx="510">
                  <c:v>5.9999999999999343</c:v>
                </c:pt>
                <c:pt idx="511">
                  <c:v>6.0999999999999339</c:v>
                </c:pt>
                <c:pt idx="512">
                  <c:v>6.1999999999999336</c:v>
                </c:pt>
                <c:pt idx="513">
                  <c:v>6.2999999999999332</c:v>
                </c:pt>
                <c:pt idx="514">
                  <c:v>6.3999999999999329</c:v>
                </c:pt>
                <c:pt idx="515">
                  <c:v>6.4999999999999325</c:v>
                </c:pt>
                <c:pt idx="516">
                  <c:v>6.5999999999999321</c:v>
                </c:pt>
                <c:pt idx="517">
                  <c:v>6.6999999999999318</c:v>
                </c:pt>
                <c:pt idx="518">
                  <c:v>6.7999999999999314</c:v>
                </c:pt>
                <c:pt idx="519">
                  <c:v>6.8999999999999311</c:v>
                </c:pt>
                <c:pt idx="520">
                  <c:v>6.9999999999999307</c:v>
                </c:pt>
                <c:pt idx="521">
                  <c:v>7.0999999999999304</c:v>
                </c:pt>
                <c:pt idx="522">
                  <c:v>7.19999999999993</c:v>
                </c:pt>
                <c:pt idx="523">
                  <c:v>7.2999999999999297</c:v>
                </c:pt>
                <c:pt idx="524">
                  <c:v>7.3999999999999293</c:v>
                </c:pt>
                <c:pt idx="525">
                  <c:v>7.4999999999999289</c:v>
                </c:pt>
                <c:pt idx="526">
                  <c:v>7.5999999999999286</c:v>
                </c:pt>
                <c:pt idx="527">
                  <c:v>7.6999999999999282</c:v>
                </c:pt>
                <c:pt idx="528">
                  <c:v>7.7999999999999279</c:v>
                </c:pt>
                <c:pt idx="529">
                  <c:v>7.8999999999999275</c:v>
                </c:pt>
                <c:pt idx="530">
                  <c:v>7.9999999999999272</c:v>
                </c:pt>
                <c:pt idx="531">
                  <c:v>8.0999999999999268</c:v>
                </c:pt>
                <c:pt idx="532">
                  <c:v>8.1999999999999265</c:v>
                </c:pt>
                <c:pt idx="533">
                  <c:v>8.2999999999999261</c:v>
                </c:pt>
                <c:pt idx="534">
                  <c:v>8.3999999999999257</c:v>
                </c:pt>
                <c:pt idx="535">
                  <c:v>8.4999999999999254</c:v>
                </c:pt>
                <c:pt idx="536">
                  <c:v>8.599999999999925</c:v>
                </c:pt>
                <c:pt idx="537">
                  <c:v>8.6999999999999247</c:v>
                </c:pt>
                <c:pt idx="538">
                  <c:v>8.7999999999999243</c:v>
                </c:pt>
                <c:pt idx="539">
                  <c:v>8.899999999999924</c:v>
                </c:pt>
                <c:pt idx="540">
                  <c:v>8.9999999999999236</c:v>
                </c:pt>
                <c:pt idx="541">
                  <c:v>9.0999999999999233</c:v>
                </c:pt>
                <c:pt idx="542">
                  <c:v>9.1999999999999229</c:v>
                </c:pt>
                <c:pt idx="543">
                  <c:v>9.2999999999999226</c:v>
                </c:pt>
                <c:pt idx="544">
                  <c:v>9.3999999999999222</c:v>
                </c:pt>
                <c:pt idx="545">
                  <c:v>9.4999999999999218</c:v>
                </c:pt>
                <c:pt idx="546">
                  <c:v>9.5999999999999215</c:v>
                </c:pt>
                <c:pt idx="547">
                  <c:v>9.6999999999999211</c:v>
                </c:pt>
                <c:pt idx="548">
                  <c:v>9.7999999999999208</c:v>
                </c:pt>
                <c:pt idx="549">
                  <c:v>9.8999999999999204</c:v>
                </c:pt>
                <c:pt idx="550">
                  <c:v>9.9999999999999201</c:v>
                </c:pt>
                <c:pt idx="551">
                  <c:v>10.09999999999992</c:v>
                </c:pt>
                <c:pt idx="552">
                  <c:v>10.199999999999919</c:v>
                </c:pt>
                <c:pt idx="553">
                  <c:v>10.299999999999919</c:v>
                </c:pt>
                <c:pt idx="554">
                  <c:v>10.399999999999919</c:v>
                </c:pt>
                <c:pt idx="555">
                  <c:v>10.499999999999918</c:v>
                </c:pt>
                <c:pt idx="556">
                  <c:v>10.599999999999918</c:v>
                </c:pt>
                <c:pt idx="557">
                  <c:v>10.699999999999918</c:v>
                </c:pt>
                <c:pt idx="558">
                  <c:v>10.799999999999917</c:v>
                </c:pt>
                <c:pt idx="559">
                  <c:v>10.899999999999917</c:v>
                </c:pt>
                <c:pt idx="560">
                  <c:v>10.999999999999917</c:v>
                </c:pt>
                <c:pt idx="561">
                  <c:v>11.099999999999916</c:v>
                </c:pt>
                <c:pt idx="562">
                  <c:v>11.199999999999916</c:v>
                </c:pt>
                <c:pt idx="563">
                  <c:v>11.299999999999915</c:v>
                </c:pt>
                <c:pt idx="564">
                  <c:v>11.399999999999915</c:v>
                </c:pt>
                <c:pt idx="565">
                  <c:v>11.499999999999915</c:v>
                </c:pt>
                <c:pt idx="566">
                  <c:v>11.599999999999914</c:v>
                </c:pt>
                <c:pt idx="567">
                  <c:v>11.699999999999914</c:v>
                </c:pt>
                <c:pt idx="568">
                  <c:v>11.799999999999914</c:v>
                </c:pt>
                <c:pt idx="569">
                  <c:v>11.899999999999913</c:v>
                </c:pt>
                <c:pt idx="570">
                  <c:v>11.999999999999913</c:v>
                </c:pt>
                <c:pt idx="571">
                  <c:v>12.099999999999913</c:v>
                </c:pt>
                <c:pt idx="572">
                  <c:v>12.199999999999912</c:v>
                </c:pt>
                <c:pt idx="573">
                  <c:v>12.299999999999912</c:v>
                </c:pt>
                <c:pt idx="574">
                  <c:v>12.399999999999912</c:v>
                </c:pt>
                <c:pt idx="575">
                  <c:v>12.499999999999911</c:v>
                </c:pt>
                <c:pt idx="576">
                  <c:v>12.599999999999911</c:v>
                </c:pt>
                <c:pt idx="577">
                  <c:v>12.69999999999991</c:v>
                </c:pt>
                <c:pt idx="578">
                  <c:v>12.79999999999991</c:v>
                </c:pt>
                <c:pt idx="579">
                  <c:v>12.89999999999991</c:v>
                </c:pt>
                <c:pt idx="580">
                  <c:v>12.999999999999909</c:v>
                </c:pt>
                <c:pt idx="581">
                  <c:v>13.099999999999909</c:v>
                </c:pt>
                <c:pt idx="582">
                  <c:v>13.199999999999909</c:v>
                </c:pt>
                <c:pt idx="583">
                  <c:v>13.299999999999908</c:v>
                </c:pt>
                <c:pt idx="584">
                  <c:v>13.399999999999908</c:v>
                </c:pt>
                <c:pt idx="585">
                  <c:v>13.499999999999908</c:v>
                </c:pt>
                <c:pt idx="586">
                  <c:v>13.599999999999907</c:v>
                </c:pt>
                <c:pt idx="587">
                  <c:v>13.699999999999907</c:v>
                </c:pt>
                <c:pt idx="588">
                  <c:v>13.799999999999907</c:v>
                </c:pt>
                <c:pt idx="589">
                  <c:v>13.899999999999906</c:v>
                </c:pt>
                <c:pt idx="590">
                  <c:v>13.999999999999906</c:v>
                </c:pt>
                <c:pt idx="591">
                  <c:v>14.099999999999905</c:v>
                </c:pt>
                <c:pt idx="592">
                  <c:v>14.199999999999905</c:v>
                </c:pt>
                <c:pt idx="593">
                  <c:v>14.299999999999905</c:v>
                </c:pt>
                <c:pt idx="594">
                  <c:v>14.399999999999904</c:v>
                </c:pt>
                <c:pt idx="595">
                  <c:v>14.499999999999904</c:v>
                </c:pt>
                <c:pt idx="596">
                  <c:v>14.599999999999904</c:v>
                </c:pt>
                <c:pt idx="597">
                  <c:v>14.699999999999903</c:v>
                </c:pt>
                <c:pt idx="598">
                  <c:v>14.799999999999903</c:v>
                </c:pt>
                <c:pt idx="599">
                  <c:v>14.899999999999903</c:v>
                </c:pt>
                <c:pt idx="600">
                  <c:v>14.999999999999902</c:v>
                </c:pt>
                <c:pt idx="601">
                  <c:v>15.099999999999902</c:v>
                </c:pt>
                <c:pt idx="602">
                  <c:v>15.199999999999902</c:v>
                </c:pt>
                <c:pt idx="603">
                  <c:v>15.299999999999901</c:v>
                </c:pt>
                <c:pt idx="604">
                  <c:v>15.399999999999901</c:v>
                </c:pt>
                <c:pt idx="605">
                  <c:v>15.499999999999901</c:v>
                </c:pt>
                <c:pt idx="606">
                  <c:v>15.5999999999999</c:v>
                </c:pt>
                <c:pt idx="607">
                  <c:v>15.6999999999999</c:v>
                </c:pt>
                <c:pt idx="608">
                  <c:v>15.799999999999899</c:v>
                </c:pt>
                <c:pt idx="609">
                  <c:v>15.899999999999899</c:v>
                </c:pt>
                <c:pt idx="610">
                  <c:v>15.999999999999899</c:v>
                </c:pt>
                <c:pt idx="611">
                  <c:v>16.099999999999898</c:v>
                </c:pt>
                <c:pt idx="612">
                  <c:v>16.1999999999999</c:v>
                </c:pt>
                <c:pt idx="613">
                  <c:v>16.299999999999901</c:v>
                </c:pt>
                <c:pt idx="614">
                  <c:v>16.399999999999903</c:v>
                </c:pt>
                <c:pt idx="615">
                  <c:v>16.499999999999904</c:v>
                </c:pt>
                <c:pt idx="616">
                  <c:v>16.599999999999905</c:v>
                </c:pt>
                <c:pt idx="617">
                  <c:v>16.699999999999907</c:v>
                </c:pt>
                <c:pt idx="618">
                  <c:v>16.799999999999908</c:v>
                </c:pt>
                <c:pt idx="619">
                  <c:v>16.89999999999991</c:v>
                </c:pt>
                <c:pt idx="620">
                  <c:v>16.999999999999911</c:v>
                </c:pt>
                <c:pt idx="621">
                  <c:v>17.099999999999913</c:v>
                </c:pt>
                <c:pt idx="622">
                  <c:v>17.199999999999914</c:v>
                </c:pt>
                <c:pt idx="623">
                  <c:v>17.299999999999915</c:v>
                </c:pt>
                <c:pt idx="624">
                  <c:v>17.399999999999917</c:v>
                </c:pt>
                <c:pt idx="625">
                  <c:v>17.499999999999918</c:v>
                </c:pt>
                <c:pt idx="626">
                  <c:v>17.59999999999992</c:v>
                </c:pt>
                <c:pt idx="627">
                  <c:v>17.699999999999921</c:v>
                </c:pt>
                <c:pt idx="628">
                  <c:v>17.799999999999923</c:v>
                </c:pt>
                <c:pt idx="629">
                  <c:v>17.899999999999924</c:v>
                </c:pt>
                <c:pt idx="630">
                  <c:v>17.999999999999925</c:v>
                </c:pt>
                <c:pt idx="631">
                  <c:v>18.099999999999927</c:v>
                </c:pt>
                <c:pt idx="632">
                  <c:v>18.199999999999928</c:v>
                </c:pt>
                <c:pt idx="633">
                  <c:v>18.29999999999993</c:v>
                </c:pt>
                <c:pt idx="634">
                  <c:v>18.399999999999931</c:v>
                </c:pt>
                <c:pt idx="635">
                  <c:v>18.499999999999932</c:v>
                </c:pt>
                <c:pt idx="636">
                  <c:v>18.599999999999934</c:v>
                </c:pt>
                <c:pt idx="637">
                  <c:v>18.699999999999935</c:v>
                </c:pt>
                <c:pt idx="638">
                  <c:v>18.799999999999937</c:v>
                </c:pt>
                <c:pt idx="639">
                  <c:v>18.899999999999938</c:v>
                </c:pt>
                <c:pt idx="640">
                  <c:v>18.99999999999994</c:v>
                </c:pt>
                <c:pt idx="641">
                  <c:v>19.099999999999941</c:v>
                </c:pt>
                <c:pt idx="642">
                  <c:v>19.199999999999942</c:v>
                </c:pt>
                <c:pt idx="643">
                  <c:v>19.299999999999944</c:v>
                </c:pt>
                <c:pt idx="644">
                  <c:v>19.399999999999945</c:v>
                </c:pt>
                <c:pt idx="645">
                  <c:v>19.499999999999947</c:v>
                </c:pt>
                <c:pt idx="646">
                  <c:v>19.599999999999948</c:v>
                </c:pt>
                <c:pt idx="647">
                  <c:v>19.69999999999995</c:v>
                </c:pt>
                <c:pt idx="648">
                  <c:v>19.799999999999951</c:v>
                </c:pt>
                <c:pt idx="649">
                  <c:v>19.899999999999952</c:v>
                </c:pt>
                <c:pt idx="650">
                  <c:v>19.999999999999954</c:v>
                </c:pt>
                <c:pt idx="651">
                  <c:v>20.099999999999955</c:v>
                </c:pt>
                <c:pt idx="652">
                  <c:v>20.199999999999957</c:v>
                </c:pt>
                <c:pt idx="653">
                  <c:v>20.299999999999958</c:v>
                </c:pt>
                <c:pt idx="654">
                  <c:v>20.399999999999959</c:v>
                </c:pt>
                <c:pt idx="655">
                  <c:v>20.499999999999961</c:v>
                </c:pt>
                <c:pt idx="656">
                  <c:v>20.599999999999962</c:v>
                </c:pt>
                <c:pt idx="657">
                  <c:v>20.699999999999964</c:v>
                </c:pt>
                <c:pt idx="658">
                  <c:v>20.799999999999965</c:v>
                </c:pt>
                <c:pt idx="659">
                  <c:v>20.899999999999967</c:v>
                </c:pt>
                <c:pt idx="660">
                  <c:v>20.999999999999968</c:v>
                </c:pt>
                <c:pt idx="661">
                  <c:v>21.099999999999969</c:v>
                </c:pt>
                <c:pt idx="662">
                  <c:v>21.199999999999971</c:v>
                </c:pt>
                <c:pt idx="663">
                  <c:v>21.299999999999972</c:v>
                </c:pt>
                <c:pt idx="664">
                  <c:v>21.399999999999974</c:v>
                </c:pt>
                <c:pt idx="665">
                  <c:v>21.499999999999975</c:v>
                </c:pt>
                <c:pt idx="666">
                  <c:v>21.599999999999977</c:v>
                </c:pt>
                <c:pt idx="667">
                  <c:v>21.699999999999978</c:v>
                </c:pt>
                <c:pt idx="668">
                  <c:v>21.799999999999979</c:v>
                </c:pt>
                <c:pt idx="669">
                  <c:v>21.899999999999981</c:v>
                </c:pt>
                <c:pt idx="670">
                  <c:v>21.999999999999982</c:v>
                </c:pt>
                <c:pt idx="671">
                  <c:v>22.099999999999984</c:v>
                </c:pt>
                <c:pt idx="672">
                  <c:v>22.199999999999985</c:v>
                </c:pt>
                <c:pt idx="673">
                  <c:v>22.299999999999986</c:v>
                </c:pt>
                <c:pt idx="674">
                  <c:v>22.399999999999988</c:v>
                </c:pt>
                <c:pt idx="675">
                  <c:v>22.499999999999989</c:v>
                </c:pt>
                <c:pt idx="676">
                  <c:v>22.599999999999991</c:v>
                </c:pt>
                <c:pt idx="677">
                  <c:v>22.699999999999992</c:v>
                </c:pt>
                <c:pt idx="678">
                  <c:v>22.799999999999994</c:v>
                </c:pt>
                <c:pt idx="679">
                  <c:v>22.899999999999995</c:v>
                </c:pt>
                <c:pt idx="680">
                  <c:v>22.999999999999996</c:v>
                </c:pt>
                <c:pt idx="681">
                  <c:v>23.099999999999998</c:v>
                </c:pt>
                <c:pt idx="682">
                  <c:v>23.2</c:v>
                </c:pt>
                <c:pt idx="683">
                  <c:v>23.3</c:v>
                </c:pt>
                <c:pt idx="684">
                  <c:v>23.400000000000002</c:v>
                </c:pt>
                <c:pt idx="685">
                  <c:v>23.500000000000004</c:v>
                </c:pt>
                <c:pt idx="686">
                  <c:v>23.600000000000005</c:v>
                </c:pt>
                <c:pt idx="687">
                  <c:v>23.700000000000006</c:v>
                </c:pt>
                <c:pt idx="688">
                  <c:v>23.800000000000008</c:v>
                </c:pt>
                <c:pt idx="689">
                  <c:v>23.900000000000009</c:v>
                </c:pt>
                <c:pt idx="690">
                  <c:v>24.000000000000011</c:v>
                </c:pt>
                <c:pt idx="691">
                  <c:v>24.100000000000012</c:v>
                </c:pt>
                <c:pt idx="692">
                  <c:v>24.200000000000014</c:v>
                </c:pt>
                <c:pt idx="693">
                  <c:v>24.300000000000015</c:v>
                </c:pt>
                <c:pt idx="694">
                  <c:v>24.400000000000016</c:v>
                </c:pt>
                <c:pt idx="695">
                  <c:v>24.500000000000018</c:v>
                </c:pt>
                <c:pt idx="696">
                  <c:v>24.600000000000019</c:v>
                </c:pt>
                <c:pt idx="697">
                  <c:v>24.700000000000021</c:v>
                </c:pt>
                <c:pt idx="698">
                  <c:v>24.800000000000022</c:v>
                </c:pt>
                <c:pt idx="699">
                  <c:v>24.900000000000023</c:v>
                </c:pt>
                <c:pt idx="700">
                  <c:v>25.000000000000025</c:v>
                </c:pt>
                <c:pt idx="701">
                  <c:v>25.100000000000026</c:v>
                </c:pt>
                <c:pt idx="702">
                  <c:v>25.200000000000028</c:v>
                </c:pt>
                <c:pt idx="703">
                  <c:v>25.300000000000029</c:v>
                </c:pt>
                <c:pt idx="704">
                  <c:v>25.400000000000031</c:v>
                </c:pt>
                <c:pt idx="705">
                  <c:v>25.500000000000032</c:v>
                </c:pt>
                <c:pt idx="706">
                  <c:v>25.600000000000033</c:v>
                </c:pt>
                <c:pt idx="707">
                  <c:v>25.700000000000035</c:v>
                </c:pt>
                <c:pt idx="708">
                  <c:v>25.800000000000036</c:v>
                </c:pt>
                <c:pt idx="709">
                  <c:v>25.900000000000038</c:v>
                </c:pt>
                <c:pt idx="710">
                  <c:v>26.000000000000039</c:v>
                </c:pt>
                <c:pt idx="711">
                  <c:v>26.100000000000041</c:v>
                </c:pt>
                <c:pt idx="712">
                  <c:v>26.200000000000042</c:v>
                </c:pt>
                <c:pt idx="713">
                  <c:v>26.300000000000043</c:v>
                </c:pt>
                <c:pt idx="714">
                  <c:v>26.400000000000045</c:v>
                </c:pt>
                <c:pt idx="715">
                  <c:v>26.500000000000046</c:v>
                </c:pt>
                <c:pt idx="716">
                  <c:v>26.600000000000048</c:v>
                </c:pt>
                <c:pt idx="717">
                  <c:v>26.700000000000049</c:v>
                </c:pt>
                <c:pt idx="718">
                  <c:v>26.80000000000005</c:v>
                </c:pt>
                <c:pt idx="719">
                  <c:v>26.900000000000052</c:v>
                </c:pt>
                <c:pt idx="720">
                  <c:v>27.000000000000053</c:v>
                </c:pt>
                <c:pt idx="721">
                  <c:v>27.100000000000055</c:v>
                </c:pt>
                <c:pt idx="722">
                  <c:v>27.200000000000056</c:v>
                </c:pt>
                <c:pt idx="723">
                  <c:v>27.300000000000058</c:v>
                </c:pt>
                <c:pt idx="724">
                  <c:v>27.400000000000059</c:v>
                </c:pt>
                <c:pt idx="725">
                  <c:v>27.50000000000006</c:v>
                </c:pt>
                <c:pt idx="726">
                  <c:v>27.600000000000062</c:v>
                </c:pt>
                <c:pt idx="727">
                  <c:v>27.700000000000063</c:v>
                </c:pt>
                <c:pt idx="728">
                  <c:v>27.800000000000065</c:v>
                </c:pt>
                <c:pt idx="729">
                  <c:v>27.900000000000066</c:v>
                </c:pt>
                <c:pt idx="730">
                  <c:v>28.000000000000068</c:v>
                </c:pt>
                <c:pt idx="731">
                  <c:v>28.100000000000069</c:v>
                </c:pt>
                <c:pt idx="732">
                  <c:v>28.20000000000007</c:v>
                </c:pt>
                <c:pt idx="733">
                  <c:v>28.300000000000072</c:v>
                </c:pt>
                <c:pt idx="734">
                  <c:v>28.400000000000073</c:v>
                </c:pt>
                <c:pt idx="735">
                  <c:v>28.500000000000075</c:v>
                </c:pt>
                <c:pt idx="736">
                  <c:v>28.600000000000076</c:v>
                </c:pt>
                <c:pt idx="737">
                  <c:v>28.700000000000077</c:v>
                </c:pt>
                <c:pt idx="738">
                  <c:v>28.800000000000079</c:v>
                </c:pt>
                <c:pt idx="739">
                  <c:v>28.90000000000008</c:v>
                </c:pt>
                <c:pt idx="740">
                  <c:v>29.000000000000082</c:v>
                </c:pt>
                <c:pt idx="741">
                  <c:v>29.100000000000083</c:v>
                </c:pt>
                <c:pt idx="742">
                  <c:v>29.200000000000085</c:v>
                </c:pt>
                <c:pt idx="743">
                  <c:v>29.300000000000086</c:v>
                </c:pt>
                <c:pt idx="744">
                  <c:v>29.400000000000087</c:v>
                </c:pt>
                <c:pt idx="745">
                  <c:v>29.500000000000089</c:v>
                </c:pt>
                <c:pt idx="746">
                  <c:v>29.60000000000009</c:v>
                </c:pt>
                <c:pt idx="747">
                  <c:v>29.700000000000092</c:v>
                </c:pt>
                <c:pt idx="748">
                  <c:v>29.800000000000093</c:v>
                </c:pt>
                <c:pt idx="749">
                  <c:v>29.900000000000095</c:v>
                </c:pt>
                <c:pt idx="750">
                  <c:v>30.000000000000096</c:v>
                </c:pt>
                <c:pt idx="751">
                  <c:v>30.100000000000097</c:v>
                </c:pt>
                <c:pt idx="752">
                  <c:v>30.200000000000099</c:v>
                </c:pt>
                <c:pt idx="753">
                  <c:v>30.3000000000001</c:v>
                </c:pt>
                <c:pt idx="754">
                  <c:v>30.400000000000102</c:v>
                </c:pt>
                <c:pt idx="755">
                  <c:v>30.500000000000103</c:v>
                </c:pt>
                <c:pt idx="756">
                  <c:v>30.600000000000104</c:v>
                </c:pt>
                <c:pt idx="757">
                  <c:v>30.700000000000106</c:v>
                </c:pt>
                <c:pt idx="758">
                  <c:v>30.800000000000107</c:v>
                </c:pt>
                <c:pt idx="759">
                  <c:v>30.900000000000109</c:v>
                </c:pt>
                <c:pt idx="760">
                  <c:v>31.00000000000011</c:v>
                </c:pt>
                <c:pt idx="761">
                  <c:v>31.100000000000112</c:v>
                </c:pt>
                <c:pt idx="762">
                  <c:v>31.200000000000113</c:v>
                </c:pt>
                <c:pt idx="763">
                  <c:v>31.300000000000114</c:v>
                </c:pt>
                <c:pt idx="764">
                  <c:v>31.400000000000116</c:v>
                </c:pt>
                <c:pt idx="765">
                  <c:v>31.500000000000117</c:v>
                </c:pt>
                <c:pt idx="766">
                  <c:v>31.600000000000119</c:v>
                </c:pt>
                <c:pt idx="767">
                  <c:v>31.70000000000012</c:v>
                </c:pt>
                <c:pt idx="768">
                  <c:v>31.800000000000122</c:v>
                </c:pt>
                <c:pt idx="769">
                  <c:v>31.900000000000123</c:v>
                </c:pt>
                <c:pt idx="770">
                  <c:v>32.000000000000121</c:v>
                </c:pt>
                <c:pt idx="771">
                  <c:v>32.100000000000122</c:v>
                </c:pt>
                <c:pt idx="772">
                  <c:v>32.200000000000124</c:v>
                </c:pt>
                <c:pt idx="773">
                  <c:v>32.300000000000125</c:v>
                </c:pt>
                <c:pt idx="774">
                  <c:v>32.400000000000126</c:v>
                </c:pt>
                <c:pt idx="775">
                  <c:v>32.500000000000128</c:v>
                </c:pt>
                <c:pt idx="776">
                  <c:v>32.600000000000129</c:v>
                </c:pt>
                <c:pt idx="777">
                  <c:v>32.700000000000131</c:v>
                </c:pt>
                <c:pt idx="778">
                  <c:v>32.800000000000132</c:v>
                </c:pt>
                <c:pt idx="779">
                  <c:v>32.900000000000134</c:v>
                </c:pt>
                <c:pt idx="780">
                  <c:v>33.000000000000135</c:v>
                </c:pt>
                <c:pt idx="781">
                  <c:v>33.100000000000136</c:v>
                </c:pt>
                <c:pt idx="782">
                  <c:v>33.200000000000138</c:v>
                </c:pt>
                <c:pt idx="783">
                  <c:v>33.300000000000139</c:v>
                </c:pt>
                <c:pt idx="784">
                  <c:v>33.400000000000141</c:v>
                </c:pt>
                <c:pt idx="785">
                  <c:v>33.500000000000142</c:v>
                </c:pt>
                <c:pt idx="786">
                  <c:v>33.600000000000144</c:v>
                </c:pt>
                <c:pt idx="787">
                  <c:v>33.700000000000145</c:v>
                </c:pt>
                <c:pt idx="788">
                  <c:v>33.800000000000146</c:v>
                </c:pt>
                <c:pt idx="789">
                  <c:v>33.900000000000148</c:v>
                </c:pt>
                <c:pt idx="790">
                  <c:v>34.000000000000149</c:v>
                </c:pt>
                <c:pt idx="791">
                  <c:v>34.100000000000151</c:v>
                </c:pt>
                <c:pt idx="792">
                  <c:v>34.200000000000152</c:v>
                </c:pt>
                <c:pt idx="793">
                  <c:v>34.300000000000153</c:v>
                </c:pt>
                <c:pt idx="794">
                  <c:v>34.400000000000155</c:v>
                </c:pt>
                <c:pt idx="795">
                  <c:v>34.500000000000156</c:v>
                </c:pt>
                <c:pt idx="796">
                  <c:v>34.600000000000158</c:v>
                </c:pt>
                <c:pt idx="797">
                  <c:v>34.700000000000159</c:v>
                </c:pt>
                <c:pt idx="798">
                  <c:v>34.800000000000161</c:v>
                </c:pt>
                <c:pt idx="799">
                  <c:v>34.900000000000162</c:v>
                </c:pt>
                <c:pt idx="800">
                  <c:v>35.000000000000163</c:v>
                </c:pt>
                <c:pt idx="801">
                  <c:v>35.100000000000165</c:v>
                </c:pt>
                <c:pt idx="802">
                  <c:v>35.200000000000166</c:v>
                </c:pt>
                <c:pt idx="803">
                  <c:v>35.300000000000168</c:v>
                </c:pt>
                <c:pt idx="804">
                  <c:v>35.400000000000169</c:v>
                </c:pt>
                <c:pt idx="805">
                  <c:v>35.500000000000171</c:v>
                </c:pt>
                <c:pt idx="806">
                  <c:v>35.600000000000172</c:v>
                </c:pt>
                <c:pt idx="807">
                  <c:v>35.700000000000173</c:v>
                </c:pt>
                <c:pt idx="808">
                  <c:v>35.800000000000175</c:v>
                </c:pt>
                <c:pt idx="809">
                  <c:v>35.900000000000176</c:v>
                </c:pt>
                <c:pt idx="810">
                  <c:v>36.000000000000178</c:v>
                </c:pt>
                <c:pt idx="811">
                  <c:v>36.100000000000179</c:v>
                </c:pt>
                <c:pt idx="812">
                  <c:v>36.20000000000018</c:v>
                </c:pt>
                <c:pt idx="813">
                  <c:v>36.300000000000182</c:v>
                </c:pt>
                <c:pt idx="814">
                  <c:v>36.400000000000183</c:v>
                </c:pt>
                <c:pt idx="815">
                  <c:v>36.500000000000185</c:v>
                </c:pt>
                <c:pt idx="816">
                  <c:v>36.600000000000186</c:v>
                </c:pt>
                <c:pt idx="817">
                  <c:v>36.700000000000188</c:v>
                </c:pt>
                <c:pt idx="818">
                  <c:v>36.800000000000189</c:v>
                </c:pt>
                <c:pt idx="819">
                  <c:v>36.90000000000019</c:v>
                </c:pt>
                <c:pt idx="820">
                  <c:v>37.000000000000192</c:v>
                </c:pt>
                <c:pt idx="821">
                  <c:v>37.100000000000193</c:v>
                </c:pt>
                <c:pt idx="822">
                  <c:v>37.200000000000195</c:v>
                </c:pt>
                <c:pt idx="823">
                  <c:v>37.300000000000196</c:v>
                </c:pt>
                <c:pt idx="824">
                  <c:v>37.400000000000198</c:v>
                </c:pt>
                <c:pt idx="825">
                  <c:v>37.500000000000199</c:v>
                </c:pt>
                <c:pt idx="826">
                  <c:v>37.6000000000002</c:v>
                </c:pt>
                <c:pt idx="827">
                  <c:v>37.700000000000202</c:v>
                </c:pt>
                <c:pt idx="828">
                  <c:v>37.800000000000203</c:v>
                </c:pt>
                <c:pt idx="829">
                  <c:v>37.900000000000205</c:v>
                </c:pt>
                <c:pt idx="830">
                  <c:v>38.000000000000206</c:v>
                </c:pt>
                <c:pt idx="831">
                  <c:v>38.100000000000207</c:v>
                </c:pt>
                <c:pt idx="832">
                  <c:v>38.200000000000209</c:v>
                </c:pt>
                <c:pt idx="833">
                  <c:v>38.30000000000021</c:v>
                </c:pt>
                <c:pt idx="834">
                  <c:v>38.400000000000212</c:v>
                </c:pt>
                <c:pt idx="835">
                  <c:v>38.500000000000213</c:v>
                </c:pt>
                <c:pt idx="836">
                  <c:v>38.600000000000215</c:v>
                </c:pt>
                <c:pt idx="837">
                  <c:v>38.700000000000216</c:v>
                </c:pt>
                <c:pt idx="838">
                  <c:v>38.800000000000217</c:v>
                </c:pt>
                <c:pt idx="839">
                  <c:v>38.900000000000219</c:v>
                </c:pt>
                <c:pt idx="840">
                  <c:v>39.00000000000022</c:v>
                </c:pt>
                <c:pt idx="841">
                  <c:v>39.100000000000222</c:v>
                </c:pt>
                <c:pt idx="842">
                  <c:v>39.200000000000223</c:v>
                </c:pt>
                <c:pt idx="843">
                  <c:v>39.300000000000225</c:v>
                </c:pt>
                <c:pt idx="844">
                  <c:v>39.400000000000226</c:v>
                </c:pt>
                <c:pt idx="845">
                  <c:v>39.500000000000227</c:v>
                </c:pt>
                <c:pt idx="846">
                  <c:v>39.600000000000229</c:v>
                </c:pt>
                <c:pt idx="847">
                  <c:v>39.70000000000023</c:v>
                </c:pt>
                <c:pt idx="848">
                  <c:v>39.800000000000232</c:v>
                </c:pt>
                <c:pt idx="849">
                  <c:v>39.900000000000233</c:v>
                </c:pt>
                <c:pt idx="850">
                  <c:v>40.000000000000234</c:v>
                </c:pt>
                <c:pt idx="851">
                  <c:v>40.100000000000236</c:v>
                </c:pt>
                <c:pt idx="852">
                  <c:v>40.200000000000237</c:v>
                </c:pt>
                <c:pt idx="853">
                  <c:v>40.300000000000239</c:v>
                </c:pt>
                <c:pt idx="854">
                  <c:v>40.40000000000024</c:v>
                </c:pt>
                <c:pt idx="855">
                  <c:v>40.500000000000242</c:v>
                </c:pt>
                <c:pt idx="856">
                  <c:v>40.600000000000243</c:v>
                </c:pt>
                <c:pt idx="857">
                  <c:v>40.700000000000244</c:v>
                </c:pt>
                <c:pt idx="858">
                  <c:v>40.800000000000246</c:v>
                </c:pt>
                <c:pt idx="859">
                  <c:v>40.900000000000247</c:v>
                </c:pt>
                <c:pt idx="860">
                  <c:v>41.000000000000249</c:v>
                </c:pt>
                <c:pt idx="861">
                  <c:v>41.10000000000025</c:v>
                </c:pt>
                <c:pt idx="862">
                  <c:v>41.200000000000252</c:v>
                </c:pt>
                <c:pt idx="863">
                  <c:v>41.300000000000253</c:v>
                </c:pt>
                <c:pt idx="864">
                  <c:v>41.400000000000254</c:v>
                </c:pt>
                <c:pt idx="865">
                  <c:v>41.500000000000256</c:v>
                </c:pt>
                <c:pt idx="866">
                  <c:v>41.600000000000257</c:v>
                </c:pt>
                <c:pt idx="867">
                  <c:v>41.700000000000259</c:v>
                </c:pt>
                <c:pt idx="868">
                  <c:v>41.80000000000026</c:v>
                </c:pt>
                <c:pt idx="869">
                  <c:v>41.900000000000261</c:v>
                </c:pt>
                <c:pt idx="870">
                  <c:v>42.000000000000263</c:v>
                </c:pt>
                <c:pt idx="871">
                  <c:v>42.100000000000264</c:v>
                </c:pt>
                <c:pt idx="872">
                  <c:v>42.200000000000266</c:v>
                </c:pt>
                <c:pt idx="873">
                  <c:v>42.300000000000267</c:v>
                </c:pt>
                <c:pt idx="874">
                  <c:v>42.400000000000269</c:v>
                </c:pt>
                <c:pt idx="875">
                  <c:v>42.50000000000027</c:v>
                </c:pt>
                <c:pt idx="876">
                  <c:v>42.600000000000271</c:v>
                </c:pt>
                <c:pt idx="877">
                  <c:v>42.700000000000273</c:v>
                </c:pt>
                <c:pt idx="878">
                  <c:v>42.800000000000274</c:v>
                </c:pt>
                <c:pt idx="879">
                  <c:v>42.900000000000276</c:v>
                </c:pt>
                <c:pt idx="880">
                  <c:v>43.000000000000277</c:v>
                </c:pt>
                <c:pt idx="881">
                  <c:v>43.100000000000279</c:v>
                </c:pt>
                <c:pt idx="882">
                  <c:v>43.20000000000028</c:v>
                </c:pt>
                <c:pt idx="883">
                  <c:v>43.300000000000281</c:v>
                </c:pt>
                <c:pt idx="884">
                  <c:v>43.400000000000283</c:v>
                </c:pt>
                <c:pt idx="885">
                  <c:v>43.500000000000284</c:v>
                </c:pt>
                <c:pt idx="886">
                  <c:v>43.600000000000286</c:v>
                </c:pt>
                <c:pt idx="887">
                  <c:v>43.700000000000287</c:v>
                </c:pt>
                <c:pt idx="888">
                  <c:v>43.800000000000288</c:v>
                </c:pt>
                <c:pt idx="889">
                  <c:v>43.90000000000029</c:v>
                </c:pt>
                <c:pt idx="890">
                  <c:v>44.000000000000291</c:v>
                </c:pt>
                <c:pt idx="891">
                  <c:v>44.100000000000293</c:v>
                </c:pt>
                <c:pt idx="892">
                  <c:v>44.200000000000294</c:v>
                </c:pt>
                <c:pt idx="893">
                  <c:v>44.300000000000296</c:v>
                </c:pt>
                <c:pt idx="894">
                  <c:v>44.400000000000297</c:v>
                </c:pt>
                <c:pt idx="895">
                  <c:v>44.500000000000298</c:v>
                </c:pt>
                <c:pt idx="896">
                  <c:v>44.6000000000003</c:v>
                </c:pt>
                <c:pt idx="897">
                  <c:v>44.700000000000301</c:v>
                </c:pt>
                <c:pt idx="898">
                  <c:v>44.800000000000303</c:v>
                </c:pt>
                <c:pt idx="899">
                  <c:v>44.900000000000304</c:v>
                </c:pt>
                <c:pt idx="900">
                  <c:v>45.000000000000306</c:v>
                </c:pt>
                <c:pt idx="901">
                  <c:v>45.100000000000307</c:v>
                </c:pt>
                <c:pt idx="902">
                  <c:v>45.200000000000308</c:v>
                </c:pt>
                <c:pt idx="903">
                  <c:v>45.30000000000031</c:v>
                </c:pt>
                <c:pt idx="904">
                  <c:v>45.400000000000311</c:v>
                </c:pt>
                <c:pt idx="905">
                  <c:v>45.500000000000313</c:v>
                </c:pt>
                <c:pt idx="906">
                  <c:v>45.600000000000314</c:v>
                </c:pt>
                <c:pt idx="907">
                  <c:v>45.700000000000315</c:v>
                </c:pt>
                <c:pt idx="908">
                  <c:v>45.800000000000317</c:v>
                </c:pt>
                <c:pt idx="909">
                  <c:v>45.900000000000318</c:v>
                </c:pt>
                <c:pt idx="910">
                  <c:v>46.00000000000032</c:v>
                </c:pt>
                <c:pt idx="911">
                  <c:v>46.100000000000321</c:v>
                </c:pt>
                <c:pt idx="912">
                  <c:v>46.200000000000323</c:v>
                </c:pt>
                <c:pt idx="913">
                  <c:v>46.300000000000324</c:v>
                </c:pt>
                <c:pt idx="914">
                  <c:v>46.400000000000325</c:v>
                </c:pt>
                <c:pt idx="915">
                  <c:v>46.500000000000327</c:v>
                </c:pt>
                <c:pt idx="916">
                  <c:v>46.600000000000328</c:v>
                </c:pt>
                <c:pt idx="917">
                  <c:v>46.70000000000033</c:v>
                </c:pt>
                <c:pt idx="918">
                  <c:v>46.800000000000331</c:v>
                </c:pt>
                <c:pt idx="919">
                  <c:v>46.900000000000333</c:v>
                </c:pt>
                <c:pt idx="920">
                  <c:v>47.000000000000334</c:v>
                </c:pt>
                <c:pt idx="921">
                  <c:v>47.100000000000335</c:v>
                </c:pt>
                <c:pt idx="922">
                  <c:v>47.200000000000337</c:v>
                </c:pt>
                <c:pt idx="923">
                  <c:v>47.300000000000338</c:v>
                </c:pt>
                <c:pt idx="924">
                  <c:v>47.40000000000034</c:v>
                </c:pt>
                <c:pt idx="925">
                  <c:v>47.500000000000341</c:v>
                </c:pt>
                <c:pt idx="926">
                  <c:v>47.600000000000342</c:v>
                </c:pt>
                <c:pt idx="927">
                  <c:v>47.700000000000344</c:v>
                </c:pt>
                <c:pt idx="928">
                  <c:v>47.800000000000345</c:v>
                </c:pt>
                <c:pt idx="929">
                  <c:v>47.900000000000347</c:v>
                </c:pt>
                <c:pt idx="930">
                  <c:v>48.000000000000348</c:v>
                </c:pt>
                <c:pt idx="931">
                  <c:v>48.10000000000035</c:v>
                </c:pt>
                <c:pt idx="932">
                  <c:v>48.200000000000351</c:v>
                </c:pt>
                <c:pt idx="933">
                  <c:v>48.300000000000352</c:v>
                </c:pt>
                <c:pt idx="934">
                  <c:v>48.400000000000354</c:v>
                </c:pt>
                <c:pt idx="935">
                  <c:v>48.500000000000355</c:v>
                </c:pt>
                <c:pt idx="936">
                  <c:v>48.600000000000357</c:v>
                </c:pt>
                <c:pt idx="937">
                  <c:v>48.700000000000358</c:v>
                </c:pt>
                <c:pt idx="938">
                  <c:v>48.80000000000036</c:v>
                </c:pt>
                <c:pt idx="939">
                  <c:v>48.900000000000361</c:v>
                </c:pt>
                <c:pt idx="940">
                  <c:v>49.000000000000362</c:v>
                </c:pt>
                <c:pt idx="941">
                  <c:v>49.100000000000364</c:v>
                </c:pt>
                <c:pt idx="942">
                  <c:v>49.200000000000365</c:v>
                </c:pt>
                <c:pt idx="943">
                  <c:v>49.300000000000367</c:v>
                </c:pt>
                <c:pt idx="944">
                  <c:v>49.400000000000368</c:v>
                </c:pt>
                <c:pt idx="945">
                  <c:v>49.500000000000369</c:v>
                </c:pt>
                <c:pt idx="946">
                  <c:v>49.500100000000373</c:v>
                </c:pt>
                <c:pt idx="947">
                  <c:v>49.500200000000376</c:v>
                </c:pt>
                <c:pt idx="948">
                  <c:v>49.500300000000379</c:v>
                </c:pt>
                <c:pt idx="949">
                  <c:v>49.500400000000383</c:v>
                </c:pt>
                <c:pt idx="950">
                  <c:v>49.500500000000386</c:v>
                </c:pt>
                <c:pt idx="951">
                  <c:v>49.500600000000389</c:v>
                </c:pt>
                <c:pt idx="952">
                  <c:v>49.500700000000393</c:v>
                </c:pt>
                <c:pt idx="953">
                  <c:v>49.500800000000396</c:v>
                </c:pt>
                <c:pt idx="954">
                  <c:v>49.500900000000399</c:v>
                </c:pt>
                <c:pt idx="955">
                  <c:v>49.501000000000403</c:v>
                </c:pt>
                <c:pt idx="956">
                  <c:v>49.501100000000406</c:v>
                </c:pt>
                <c:pt idx="957">
                  <c:v>49.501200000000409</c:v>
                </c:pt>
                <c:pt idx="958">
                  <c:v>49.501300000000413</c:v>
                </c:pt>
                <c:pt idx="959">
                  <c:v>49.501400000000416</c:v>
                </c:pt>
                <c:pt idx="960">
                  <c:v>49.501500000000419</c:v>
                </c:pt>
                <c:pt idx="961">
                  <c:v>49.501600000000423</c:v>
                </c:pt>
                <c:pt idx="962">
                  <c:v>49.501700000000426</c:v>
                </c:pt>
                <c:pt idx="963">
                  <c:v>49.501800000000429</c:v>
                </c:pt>
                <c:pt idx="964">
                  <c:v>49.501900000000433</c:v>
                </c:pt>
                <c:pt idx="965">
                  <c:v>49.502000000000436</c:v>
                </c:pt>
                <c:pt idx="966">
                  <c:v>49.502100000000439</c:v>
                </c:pt>
                <c:pt idx="967">
                  <c:v>49.502200000000443</c:v>
                </c:pt>
                <c:pt idx="968">
                  <c:v>49.502300000000446</c:v>
                </c:pt>
                <c:pt idx="969">
                  <c:v>49.502400000000449</c:v>
                </c:pt>
                <c:pt idx="970">
                  <c:v>49.502500000000452</c:v>
                </c:pt>
                <c:pt idx="971">
                  <c:v>49.502600000000456</c:v>
                </c:pt>
                <c:pt idx="972">
                  <c:v>49.502700000000459</c:v>
                </c:pt>
                <c:pt idx="973">
                  <c:v>49.502800000000462</c:v>
                </c:pt>
                <c:pt idx="974">
                  <c:v>49.502900000000466</c:v>
                </c:pt>
                <c:pt idx="975">
                  <c:v>49.503000000000469</c:v>
                </c:pt>
                <c:pt idx="976">
                  <c:v>49.503100000000472</c:v>
                </c:pt>
                <c:pt idx="977">
                  <c:v>49.503200000000476</c:v>
                </c:pt>
                <c:pt idx="978">
                  <c:v>49.503300000000479</c:v>
                </c:pt>
                <c:pt idx="979">
                  <c:v>49.503400000000482</c:v>
                </c:pt>
                <c:pt idx="980">
                  <c:v>49.503500000000486</c:v>
                </c:pt>
                <c:pt idx="981">
                  <c:v>49.503600000000489</c:v>
                </c:pt>
                <c:pt idx="982">
                  <c:v>49.503700000000492</c:v>
                </c:pt>
                <c:pt idx="983">
                  <c:v>49.503800000000496</c:v>
                </c:pt>
                <c:pt idx="984">
                  <c:v>49.503900000000499</c:v>
                </c:pt>
                <c:pt idx="985">
                  <c:v>49.504000000000502</c:v>
                </c:pt>
                <c:pt idx="986">
                  <c:v>49.504100000000506</c:v>
                </c:pt>
                <c:pt idx="987">
                  <c:v>49.504200000000509</c:v>
                </c:pt>
                <c:pt idx="988">
                  <c:v>49.504300000000512</c:v>
                </c:pt>
                <c:pt idx="989">
                  <c:v>49.504400000000516</c:v>
                </c:pt>
                <c:pt idx="990">
                  <c:v>49.504500000000519</c:v>
                </c:pt>
                <c:pt idx="991">
                  <c:v>49.504600000000522</c:v>
                </c:pt>
                <c:pt idx="992">
                  <c:v>49.504700000000526</c:v>
                </c:pt>
                <c:pt idx="993">
                  <c:v>49.504800000000529</c:v>
                </c:pt>
                <c:pt idx="994">
                  <c:v>49.504900000000532</c:v>
                </c:pt>
                <c:pt idx="995">
                  <c:v>49.505000000000535</c:v>
                </c:pt>
                <c:pt idx="996">
                  <c:v>49.505100000000539</c:v>
                </c:pt>
                <c:pt idx="997">
                  <c:v>49.505200000000542</c:v>
                </c:pt>
                <c:pt idx="998">
                  <c:v>49.505300000000545</c:v>
                </c:pt>
                <c:pt idx="999">
                  <c:v>49.505400000000549</c:v>
                </c:pt>
                <c:pt idx="1000">
                  <c:v>49.505500000000552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4.8454537426533613E-4</c:v>
                </c:pt>
                <c:pt idx="2">
                  <c:v>3.0098523531846906E-3</c:v>
                </c:pt>
                <c:pt idx="3">
                  <c:v>9.0924669372744408E-3</c:v>
                </c:pt>
                <c:pt idx="4">
                  <c:v>1.9622488329450273E-2</c:v>
                </c:pt>
                <c:pt idx="5">
                  <c:v>3.5490770437777167E-2</c:v>
                </c:pt>
                <c:pt idx="6">
                  <c:v>5.7589035102754378E-2</c:v>
                </c:pt>
                <c:pt idx="7">
                  <c:v>8.6809984293011788E-2</c:v>
                </c:pt>
                <c:pt idx="8">
                  <c:v>0.12404741131150263</c:v>
                </c:pt>
                <c:pt idx="9">
                  <c:v>0.17019631105286553</c:v>
                </c:pt>
                <c:pt idx="10">
                  <c:v>0.22615298935126302</c:v>
                </c:pt>
                <c:pt idx="11">
                  <c:v>0.29255910031611482</c:v>
                </c:pt>
                <c:pt idx="12">
                  <c:v>0.36954504731527471</c:v>
                </c:pt>
                <c:pt idx="13">
                  <c:v>0.45698322648663359</c:v>
                </c:pt>
                <c:pt idx="14">
                  <c:v>0.55474185008536059</c:v>
                </c:pt>
                <c:pt idx="15">
                  <c:v>0.66268689479262965</c:v>
                </c:pt>
                <c:pt idx="16">
                  <c:v>0.78068405450253586</c:v>
                </c:pt>
                <c:pt idx="17">
                  <c:v>0.90859874514596273</c:v>
                </c:pt>
                <c:pt idx="18">
                  <c:v>1.0462961095112582</c:v>
                </c:pt>
                <c:pt idx="19">
                  <c:v>1.1936410220609734</c:v>
                </c:pt>
                <c:pt idx="20">
                  <c:v>1.3504980937439244</c:v>
                </c:pt>
                <c:pt idx="21">
                  <c:v>1.5167316768018404</c:v>
                </c:pt>
                <c:pt idx="22">
                  <c:v>1.6922058695698703</c:v>
                </c:pt>
                <c:pt idx="23">
                  <c:v>1.8767845212702179</c:v>
                </c:pt>
                <c:pt idx="24">
                  <c:v>2.070331236798189</c:v>
                </c:pt>
                <c:pt idx="25">
                  <c:v>2.2727093814999333</c:v>
                </c:pt>
                <c:pt idx="26">
                  <c:v>2.4837820859411726</c:v>
                </c:pt>
                <c:pt idx="27">
                  <c:v>2.7034466785245099</c:v>
                </c:pt>
                <c:pt idx="28">
                  <c:v>2.9316691784966009</c:v>
                </c:pt>
                <c:pt idx="29">
                  <c:v>3.1684499594633553</c:v>
                </c:pt>
                <c:pt idx="30">
                  <c:v>3.4137893501040186</c:v>
                </c:pt>
                <c:pt idx="31">
                  <c:v>3.6676876341132512</c:v>
                </c:pt>
                <c:pt idx="32">
                  <c:v>3.9301450501442883</c:v>
                </c:pt>
                <c:pt idx="33">
                  <c:v>4.2011617917531918</c:v>
                </c:pt>
                <c:pt idx="34">
                  <c:v>4.4807342796552891</c:v>
                </c:pt>
                <c:pt idx="35">
                  <c:v>4.7688587659544588</c:v>
                </c:pt>
                <c:pt idx="36">
                  <c:v>5.0655350626862239</c:v>
                </c:pt>
                <c:pt idx="37">
                  <c:v>5.37076294017763</c:v>
                </c:pt>
                <c:pt idx="38">
                  <c:v>5.684542128653665</c:v>
                </c:pt>
                <c:pt idx="39">
                  <c:v>6.0068723179364136</c:v>
                </c:pt>
                <c:pt idx="40">
                  <c:v>6.3377531571639567</c:v>
                </c:pt>
                <c:pt idx="41">
                  <c:v>6.6771842545272015</c:v>
                </c:pt>
                <c:pt idx="42">
                  <c:v>7.0251651770230428</c:v>
                </c:pt>
                <c:pt idx="43">
                  <c:v>7.3816954502224439</c:v>
                </c:pt>
                <c:pt idx="44">
                  <c:v>7.7467745580521896</c:v>
                </c:pt>
                <c:pt idx="45">
                  <c:v>8.1204019425892007</c:v>
                </c:pt>
                <c:pt idx="46">
                  <c:v>8.5025770038664259</c:v>
                </c:pt>
                <c:pt idx="47">
                  <c:v>8.8932990996894254</c:v>
                </c:pt>
                <c:pt idx="48">
                  <c:v>9.2925675454628678</c:v>
                </c:pt>
                <c:pt idx="49">
                  <c:v>9.7003816140262167</c:v>
                </c:pt>
                <c:pt idx="50">
                  <c:v>10.116740535497987</c:v>
                </c:pt>
                <c:pt idx="51">
                  <c:v>10.541643497127991</c:v>
                </c:pt>
                <c:pt idx="52">
                  <c:v>10.975089643157048</c:v>
                </c:pt>
                <c:pt idx="53">
                  <c:v>11.417078074683706</c:v>
                </c:pt>
                <c:pt idx="54">
                  <c:v>11.867607849537535</c:v>
                </c:pt>
                <c:pt idx="55">
                  <c:v>12.326677982158607</c:v>
                </c:pt>
                <c:pt idx="56">
                  <c:v>12.794287443482824</c:v>
                </c:pt>
                <c:pt idx="57">
                  <c:v>13.270435160832752</c:v>
                </c:pt>
                <c:pt idx="58">
                  <c:v>13.755120017813685</c:v>
                </c:pt>
                <c:pt idx="59">
                  <c:v>14.248340854214662</c:v>
                </c:pt>
                <c:pt idx="60">
                  <c:v>14.750096465914199</c:v>
                </c:pt>
                <c:pt idx="61">
                  <c:v>15.260385604790489</c:v>
                </c:pt>
                <c:pt idx="62">
                  <c:v>15.779206978635896</c:v>
                </c:pt>
                <c:pt idx="63">
                  <c:v>16.30655925107552</c:v>
                </c:pt>
                <c:pt idx="64">
                  <c:v>16.842441041489678</c:v>
                </c:pt>
                <c:pt idx="65">
                  <c:v>17.38685092494012</c:v>
                </c:pt>
                <c:pt idx="66">
                  <c:v>17.939787432099855</c:v>
                </c:pt>
                <c:pt idx="67">
                  <c:v>18.50124904918642</c:v>
                </c:pt>
                <c:pt idx="68">
                  <c:v>19.071234217898471</c:v>
                </c:pt>
                <c:pt idx="69">
                  <c:v>19.649741335355603</c:v>
                </c:pt>
                <c:pt idx="70">
                  <c:v>20.236768754041247</c:v>
                </c:pt>
                <c:pt idx="71">
                  <c:v>20.832314781748551</c:v>
                </c:pt>
                <c:pt idx="72">
                  <c:v>21.436377287415919</c:v>
                </c:pt>
                <c:pt idx="73">
                  <c:v>22.048953306369146</c:v>
                </c:pt>
                <c:pt idx="74">
                  <c:v>22.670039433573695</c:v>
                </c:pt>
                <c:pt idx="75">
                  <c:v>23.299632217497475</c:v>
                </c:pt>
                <c:pt idx="76">
                  <c:v>23.937728160093723</c:v>
                </c:pt>
                <c:pt idx="77">
                  <c:v>24.584323716786518</c:v>
                </c:pt>
                <c:pt idx="78">
                  <c:v>25.239415296458819</c:v>
                </c:pt>
                <c:pt idx="79">
                  <c:v>25.902999261443011</c:v>
                </c:pt>
                <c:pt idx="80">
                  <c:v>26.57507192751385</c:v>
                </c:pt>
                <c:pt idx="81">
                  <c:v>27.25562956388379</c:v>
                </c:pt>
                <c:pt idx="82">
                  <c:v>27.944668393200619</c:v>
                </c:pt>
                <c:pt idx="83">
                  <c:v>28.642184591547345</c:v>
                </c:pt>
                <c:pt idx="84">
                  <c:v>29.348174288444326</c:v>
                </c:pt>
                <c:pt idx="85">
                  <c:v>30.062633566853549</c:v>
                </c:pt>
                <c:pt idx="86">
                  <c:v>30.785558463185041</c:v>
                </c:pt>
                <c:pt idx="87">
                  <c:v>31.516944967305385</c:v>
                </c:pt>
                <c:pt idx="88">
                  <c:v>32.256789022548269</c:v>
                </c:pt>
                <c:pt idx="89">
                  <c:v>33.005086525727073</c:v>
                </c:pt>
                <c:pt idx="90">
                  <c:v>33.761833327149418</c:v>
                </c:pt>
                <c:pt idx="91">
                  <c:v>34.527025230633676</c:v>
                </c:pt>
                <c:pt idx="92">
                  <c:v>35.300657993527402</c:v>
                </c:pt>
                <c:pt idx="93">
                  <c:v>36.082727326727664</c:v>
                </c:pt>
                <c:pt idx="94">
                  <c:v>36.87322889470321</c:v>
                </c:pt>
                <c:pt idx="95">
                  <c:v>37.672158315518516</c:v>
                </c:pt>
                <c:pt idx="96">
                  <c:v>38.479511160859595</c:v>
                </c:pt>
                <c:pt idx="97">
                  <c:v>39.295282956061627</c:v>
                </c:pt>
                <c:pt idx="98">
                  <c:v>40.119469180138367</c:v>
                </c:pt>
                <c:pt idx="99">
                  <c:v>40.952065265813246</c:v>
                </c:pt>
                <c:pt idx="100">
                  <c:v>41.793066599552247</c:v>
                </c:pt>
                <c:pt idx="101">
                  <c:v>42.64246852159846</c:v>
                </c:pt>
                <c:pt idx="102">
                  <c:v>43.500266326008301</c:v>
                </c:pt>
                <c:pt idx="103">
                  <c:v>44.366455260689435</c:v>
                </c:pt>
                <c:pt idx="104">
                  <c:v>45.241030527440309</c:v>
                </c:pt>
                <c:pt idx="105">
                  <c:v>46.12398728199134</c:v>
                </c:pt>
                <c:pt idx="106">
                  <c:v>47.015320634047697</c:v>
                </c:pt>
                <c:pt idx="107">
                  <c:v>47.915025647333692</c:v>
                </c:pt>
                <c:pt idx="108">
                  <c:v>48.823097339638743</c:v>
                </c:pt>
                <c:pt idx="109">
                  <c:v>49.739530682864903</c:v>
                </c:pt>
                <c:pt idx="110">
                  <c:v>50.66432060307595</c:v>
                </c:pt>
                <c:pt idx="111">
                  <c:v>51.597461980548005</c:v>
                </c:pt>
                <c:pt idx="112">
                  <c:v>52.53894964982166</c:v>
                </c:pt>
                <c:pt idx="113">
                  <c:v>53.488778399755667</c:v>
                </c:pt>
                <c:pt idx="114">
                  <c:v>54.446942973582054</c:v>
                </c:pt>
                <c:pt idx="115">
                  <c:v>55.413438068962783</c:v>
                </c:pt>
                <c:pt idx="116">
                  <c:v>56.388258338047869</c:v>
                </c:pt>
                <c:pt idx="117">
                  <c:v>57.371398387534924</c:v>
                </c:pt>
                <c:pt idx="118">
                  <c:v>58.362852778730208</c:v>
                </c:pt>
                <c:pt idx="119">
                  <c:v>59.362616027611068</c:v>
                </c:pt>
                <c:pt idx="120">
                  <c:v>60.370682604889844</c:v>
                </c:pt>
                <c:pt idx="121">
                  <c:v>61.387046936079166</c:v>
                </c:pt>
                <c:pt idx="122">
                  <c:v>62.411703401558675</c:v>
                </c:pt>
                <c:pt idx="123">
                  <c:v>63.444646336643125</c:v>
                </c:pt>
                <c:pt idx="124">
                  <c:v>64.485870031651871</c:v>
                </c:pt>
                <c:pt idx="125">
                  <c:v>65.535368731979773</c:v>
                </c:pt>
                <c:pt idx="126">
                  <c:v>66.593136638169398</c:v>
                </c:pt>
                <c:pt idx="127">
                  <c:v>67.659167905984631</c:v>
                </c:pt>
                <c:pt idx="128">
                  <c:v>68.733456646485635</c:v>
                </c:pt>
                <c:pt idx="129">
                  <c:v>69.815995104083711</c:v>
                </c:pt>
                <c:pt idx="130">
                  <c:v>70.906771832403919</c:v>
                </c:pt>
                <c:pt idx="131">
                  <c:v>72.005773513763401</c:v>
                </c:pt>
                <c:pt idx="132">
                  <c:v>73.112986780907136</c:v>
                </c:pt>
                <c:pt idx="133">
                  <c:v>74.228398217214703</c:v>
                </c:pt>
                <c:pt idx="134">
                  <c:v>75.351994356908321</c:v>
                </c:pt>
                <c:pt idx="135">
                  <c:v>76.483761685262238</c:v>
                </c:pt>
                <c:pt idx="136">
                  <c:v>77.623686638813453</c:v>
                </c:pt>
                <c:pt idx="137">
                  <c:v>78.771755605573759</c:v>
                </c:pt>
                <c:pt idx="138">
                  <c:v>79.927954925243043</c:v>
                </c:pt>
                <c:pt idx="139">
                  <c:v>81.092270889423858</c:v>
                </c:pt>
                <c:pt idx="140">
                  <c:v>82.264689741837287</c:v>
                </c:pt>
                <c:pt idx="141">
                  <c:v>83.445197678539955</c:v>
                </c:pt>
                <c:pt idx="142">
                  <c:v>84.633780848142365</c:v>
                </c:pt>
                <c:pt idx="143">
                  <c:v>85.830425352028371</c:v>
                </c:pt>
                <c:pt idx="144">
                  <c:v>87.035117244575844</c:v>
                </c:pt>
                <c:pt idx="145">
                  <c:v>88.247842533378517</c:v>
                </c:pt>
                <c:pt idx="146">
                  <c:v>89.468587179469012</c:v>
                </c:pt>
                <c:pt idx="147">
                  <c:v>90.697337097542928</c:v>
                </c:pt>
                <c:pt idx="148">
                  <c:v>91.934078156184114</c:v>
                </c:pt>
                <c:pt idx="149">
                  <c:v>93.178796178091048</c:v>
                </c:pt>
                <c:pt idx="150">
                  <c:v>94.431476940304236</c:v>
                </c:pt>
                <c:pt idx="151">
                  <c:v>95.692106174434784</c:v>
                </c:pt>
                <c:pt idx="152">
                  <c:v>96.960669566893927</c:v>
                </c:pt>
                <c:pt idx="153">
                  <c:v>98.237152759123688</c:v>
                </c:pt>
                <c:pt idx="154">
                  <c:v>99.521541347828489</c:v>
                </c:pt>
                <c:pt idx="155">
                  <c:v>100.81382088520783</c:v>
                </c:pt>
                <c:pt idx="156">
                  <c:v>102.11397687918991</c:v>
                </c:pt>
                <c:pt idx="157">
                  <c:v>103.42199479366624</c:v>
                </c:pt>
                <c:pt idx="158">
                  <c:v>104.7378600487273</c:v>
                </c:pt>
                <c:pt idx="159">
                  <c:v>106.06155802089899</c:v>
                </c:pt>
                <c:pt idx="160">
                  <c:v>107.39307404338014</c:v>
                </c:pt>
                <c:pt idx="161">
                  <c:v>108.73239340628091</c:v>
                </c:pt>
                <c:pt idx="162">
                  <c:v>110.07950135686204</c:v>
                </c:pt>
                <c:pt idx="163">
                  <c:v>111.43438309977505</c:v>
                </c:pt>
                <c:pt idx="164">
                  <c:v>112.79702379730327</c:v>
                </c:pt>
                <c:pt idx="165">
                  <c:v>114.16740856960375</c:v>
                </c:pt>
                <c:pt idx="166">
                  <c:v>115.54552249494999</c:v>
                </c:pt>
                <c:pt idx="167">
                  <c:v>116.93135060997554</c:v>
                </c:pt>
                <c:pt idx="168">
                  <c:v>118.32487790991833</c:v>
                </c:pt>
                <c:pt idx="169">
                  <c:v>119.72608934886588</c:v>
                </c:pt>
                <c:pt idx="170">
                  <c:v>121.13496984000126</c:v>
                </c:pt>
                <c:pt idx="171">
                  <c:v>122.55150425584981</c:v>
                </c:pt>
                <c:pt idx="172">
                  <c:v>123.97567742852658</c:v>
                </c:pt>
                <c:pt idx="173">
                  <c:v>125.40747414998459</c:v>
                </c:pt>
                <c:pt idx="174">
                  <c:v>126.84687917226375</c:v>
                </c:pt>
                <c:pt idx="175">
                  <c:v>128.29387720774048</c:v>
                </c:pt>
                <c:pt idx="176">
                  <c:v>129.74845292937806</c:v>
                </c:pt>
                <c:pt idx="177">
                  <c:v>131.21059097097768</c:v>
                </c:pt>
                <c:pt idx="178">
                  <c:v>132.68027592743002</c:v>
                </c:pt>
                <c:pt idx="179">
                  <c:v>134.15749235496764</c:v>
                </c:pt>
                <c:pt idx="180">
                  <c:v>135.642224771418</c:v>
                </c:pt>
                <c:pt idx="181">
                  <c:v>137.13445765645687</c:v>
                </c:pt>
                <c:pt idx="182">
                  <c:v>138.63417545186266</c:v>
                </c:pt>
                <c:pt idx="183">
                  <c:v>140.14136256177113</c:v>
                </c:pt>
                <c:pt idx="184">
                  <c:v>141.65600335293078</c:v>
                </c:pt>
                <c:pt idx="185">
                  <c:v>143.1780821549587</c:v>
                </c:pt>
                <c:pt idx="186">
                  <c:v>144.70758326059709</c:v>
                </c:pt>
                <c:pt idx="187">
                  <c:v>146.24449092597021</c:v>
                </c:pt>
                <c:pt idx="188">
                  <c:v>147.7887893708419</c:v>
                </c:pt>
                <c:pt idx="189">
                  <c:v>149.34046277887364</c:v>
                </c:pt>
                <c:pt idx="190">
                  <c:v>150.89949529788302</c:v>
                </c:pt>
                <c:pt idx="191">
                  <c:v>152.46587104010274</c:v>
                </c:pt>
                <c:pt idx="192">
                  <c:v>154.03957408244</c:v>
                </c:pt>
                <c:pt idx="193">
                  <c:v>155.62058846673645</c:v>
                </c:pt>
                <c:pt idx="194">
                  <c:v>157.20889820002856</c:v>
                </c:pt>
                <c:pt idx="195">
                  <c:v>158.80448725480827</c:v>
                </c:pt>
                <c:pt idx="196">
                  <c:v>160.40733956928423</c:v>
                </c:pt>
                <c:pt idx="197">
                  <c:v>162.01743904764328</c:v>
                </c:pt>
                <c:pt idx="198">
                  <c:v>163.63476956031244</c:v>
                </c:pt>
                <c:pt idx="199">
                  <c:v>165.25931494422113</c:v>
                </c:pt>
                <c:pt idx="200">
                  <c:v>166.8910590030639</c:v>
                </c:pt>
                <c:pt idx="201">
                  <c:v>168.52998550756334</c:v>
                </c:pt>
                <c:pt idx="202">
                  <c:v>170.1760781957334</c:v>
                </c:pt>
                <c:pt idx="203">
                  <c:v>171.82932077314302</c:v>
                </c:pt>
                <c:pt idx="204">
                  <c:v>173.48969691318004</c:v>
                </c:pt>
                <c:pt idx="205">
                  <c:v>175.15719025731531</c:v>
                </c:pt>
                <c:pt idx="206">
                  <c:v>176.83178396925146</c:v>
                </c:pt>
                <c:pt idx="207">
                  <c:v>178.51346028877683</c:v>
                </c:pt>
                <c:pt idx="208">
                  <c:v>180.20220097796303</c:v>
                </c:pt>
                <c:pt idx="209">
                  <c:v>181.8979877676733</c:v>
                </c:pt>
                <c:pt idx="210">
                  <c:v>183.60080235785898</c:v>
                </c:pt>
                <c:pt idx="211">
                  <c:v>185.31062641785618</c:v>
                </c:pt>
                <c:pt idx="212">
                  <c:v>187.0274415866825</c:v>
                </c:pt>
                <c:pt idx="213">
                  <c:v>188.75122947333372</c:v>
                </c:pt>
                <c:pt idx="214">
                  <c:v>190.48197165708078</c:v>
                </c:pt>
                <c:pt idx="215">
                  <c:v>192.21964968776649</c:v>
                </c:pt>
                <c:pt idx="216">
                  <c:v>193.96424508610258</c:v>
                </c:pt>
                <c:pt idx="217">
                  <c:v>195.71573934396656</c:v>
                </c:pt>
                <c:pt idx="218">
                  <c:v>197.4741139246986</c:v>
                </c:pt>
                <c:pt idx="219">
                  <c:v>199.23935026339851</c:v>
                </c:pt>
                <c:pt idx="220">
                  <c:v>201.0114297672225</c:v>
                </c:pt>
                <c:pt idx="221">
                  <c:v>202.7903338156801</c:v>
                </c:pt>
                <c:pt idx="222">
                  <c:v>204.57604376093084</c:v>
                </c:pt>
                <c:pt idx="223">
                  <c:v>206.36854092808099</c:v>
                </c:pt>
                <c:pt idx="224">
                  <c:v>208.16780661548012</c:v>
                </c:pt>
                <c:pt idx="225">
                  <c:v>209.97382209501762</c:v>
                </c:pt>
                <c:pt idx="226">
                  <c:v>211.78656861241902</c:v>
                </c:pt>
                <c:pt idx="227">
                  <c:v>213.6060273875423</c:v>
                </c:pt>
                <c:pt idx="228">
                  <c:v>215.43217961467394</c:v>
                </c:pt>
                <c:pt idx="229">
                  <c:v>217.26500646282491</c:v>
                </c:pt>
                <c:pt idx="230">
                  <c:v>219.10448907602637</c:v>
                </c:pt>
                <c:pt idx="231">
                  <c:v>220.95060857362526</c:v>
                </c:pt>
                <c:pt idx="232">
                  <c:v>222.80334605057973</c:v>
                </c:pt>
                <c:pt idx="233">
                  <c:v>224.66268257775425</c:v>
                </c:pt>
                <c:pt idx="234">
                  <c:v>226.52859920221459</c:v>
                </c:pt>
                <c:pt idx="235">
                  <c:v>228.40107694752251</c:v>
                </c:pt>
                <c:pt idx="236">
                  <c:v>230.28009681403012</c:v>
                </c:pt>
                <c:pt idx="237">
                  <c:v>232.1656397791742</c:v>
                </c:pt>
                <c:pt idx="238">
                  <c:v>234.05768679776997</c:v>
                </c:pt>
                <c:pt idx="239">
                  <c:v>235.95621880230479</c:v>
                </c:pt>
                <c:pt idx="240">
                  <c:v>237.86121670323132</c:v>
                </c:pt>
                <c:pt idx="241">
                  <c:v>239.77266138926066</c:v>
                </c:pt>
                <c:pt idx="242">
                  <c:v>241.69053218186937</c:v>
                </c:pt>
                <c:pt idx="243">
                  <c:v>243.614805289185</c:v>
                </c:pt>
                <c:pt idx="244">
                  <c:v>245.54545535217216</c:v>
                </c:pt>
                <c:pt idx="245">
                  <c:v>247.48245699149339</c:v>
                </c:pt>
                <c:pt idx="246">
                  <c:v>249.42578480790837</c:v>
                </c:pt>
                <c:pt idx="247">
                  <c:v>251.37541338267218</c:v>
                </c:pt>
                <c:pt idx="248">
                  <c:v>253.33131727793264</c:v>
                </c:pt>
                <c:pt idx="249">
                  <c:v>255.29347103712661</c:v>
                </c:pt>
                <c:pt idx="250">
                  <c:v>257.26184918537524</c:v>
                </c:pt>
                <c:pt idx="251">
                  <c:v>259.23642622987842</c:v>
                </c:pt>
                <c:pt idx="252">
                  <c:v>261.21717666030787</c:v>
                </c:pt>
                <c:pt idx="253">
                  <c:v>263.20407494919942</c:v>
                </c:pt>
                <c:pt idx="254">
                  <c:v>265.19709555234425</c:v>
                </c:pt>
                <c:pt idx="255">
                  <c:v>267.19621290917883</c:v>
                </c:pt>
                <c:pt idx="256">
                  <c:v>269.20140144317384</c:v>
                </c:pt>
                <c:pt idx="257">
                  <c:v>271.21263556222209</c:v>
                </c:pt>
                <c:pt idx="258">
                  <c:v>273.22988965902528</c:v>
                </c:pt>
                <c:pt idx="259">
                  <c:v>275.25313811147947</c:v>
                </c:pt>
                <c:pt idx="260">
                  <c:v>277.28235528305947</c:v>
                </c:pt>
                <c:pt idx="261">
                  <c:v>279.31751552320202</c:v>
                </c:pt>
                <c:pt idx="262">
                  <c:v>281.35859316768796</c:v>
                </c:pt>
                <c:pt idx="263">
                  <c:v>283.40556253902292</c:v>
                </c:pt>
                <c:pt idx="264">
                  <c:v>285.45839794681694</c:v>
                </c:pt>
                <c:pt idx="265">
                  <c:v>287.51707368816284</c:v>
                </c:pt>
                <c:pt idx="266">
                  <c:v>289.58156404801326</c:v>
                </c:pt>
                <c:pt idx="267">
                  <c:v>291.65184329955656</c:v>
                </c:pt>
                <c:pt idx="268">
                  <c:v>293.7278857045913</c:v>
                </c:pt>
                <c:pt idx="269">
                  <c:v>295.80966551389957</c:v>
                </c:pt>
                <c:pt idx="270">
                  <c:v>297.89715696761886</c:v>
                </c:pt>
                <c:pt idx="271">
                  <c:v>299.99033429561274</c:v>
                </c:pt>
                <c:pt idx="272">
                  <c:v>302.08917171784014</c:v>
                </c:pt>
                <c:pt idx="273">
                  <c:v>304.19364344472331</c:v>
                </c:pt>
                <c:pt idx="274">
                  <c:v>306.30372367751431</c:v>
                </c:pt>
                <c:pt idx="275">
                  <c:v>308.41938660866032</c:v>
                </c:pt>
                <c:pt idx="276">
                  <c:v>310.54060642216734</c:v>
                </c:pt>
                <c:pt idx="277">
                  <c:v>312.66735729396277</c:v>
                </c:pt>
                <c:pt idx="278">
                  <c:v>314.79961339225622</c:v>
                </c:pt>
                <c:pt idx="279">
                  <c:v>316.9373488778993</c:v>
                </c:pt>
                <c:pt idx="280">
                  <c:v>319.08053790474361</c:v>
                </c:pt>
                <c:pt idx="281">
                  <c:v>321.22915461999747</c:v>
                </c:pt>
                <c:pt idx="282">
                  <c:v>323.38317316458125</c:v>
                </c:pt>
                <c:pt idx="283">
                  <c:v>325.54256767348102</c:v>
                </c:pt>
                <c:pt idx="284">
                  <c:v>327.70731409559357</c:v>
                </c:pt>
                <c:pt idx="285">
                  <c:v>329.87739201368942</c:v>
                </c:pt>
                <c:pt idx="286">
                  <c:v>332.05278282405664</c:v>
                </c:pt>
                <c:pt idx="287">
                  <c:v>334.23346791596867</c:v>
                </c:pt>
                <c:pt idx="288">
                  <c:v>336.41942867192046</c:v>
                </c:pt>
                <c:pt idx="289">
                  <c:v>338.61064646786394</c:v>
                </c:pt>
                <c:pt idx="290">
                  <c:v>340.8071026734425</c:v>
                </c:pt>
                <c:pt idx="291">
                  <c:v>343.00877865222498</c:v>
                </c:pt>
                <c:pt idx="292">
                  <c:v>345.21565576193865</c:v>
                </c:pt>
                <c:pt idx="293">
                  <c:v>347.42771535470143</c:v>
                </c:pt>
                <c:pt idx="294">
                  <c:v>349.64493877725334</c:v>
                </c:pt>
                <c:pt idx="295">
                  <c:v>351.86730737118722</c:v>
                </c:pt>
                <c:pt idx="296">
                  <c:v>354.09480247317839</c:v>
                </c:pt>
                <c:pt idx="297">
                  <c:v>356.32740541521378</c:v>
                </c:pt>
                <c:pt idx="298">
                  <c:v>358.56509752481992</c:v>
                </c:pt>
                <c:pt idx="299">
                  <c:v>360.80786012529046</c:v>
                </c:pt>
                <c:pt idx="300">
                  <c:v>363.05567453591249</c:v>
                </c:pt>
                <c:pt idx="301">
                  <c:v>365.3085220721922</c:v>
                </c:pt>
                <c:pt idx="302">
                  <c:v>367.56638404607969</c:v>
                </c:pt>
                <c:pt idx="303">
                  <c:v>369.82924176619287</c:v>
                </c:pt>
                <c:pt idx="304">
                  <c:v>372.09707653804043</c:v>
                </c:pt>
                <c:pt idx="305">
                  <c:v>374.36986966424411</c:v>
                </c:pt>
                <c:pt idx="306">
                  <c:v>376.64760244475997</c:v>
                </c:pt>
                <c:pt idx="307">
                  <c:v>378.93025617709873</c:v>
                </c:pt>
                <c:pt idx="308">
                  <c:v>381.21781215654545</c:v>
                </c:pt>
                <c:pt idx="309">
                  <c:v>383.51025167637795</c:v>
                </c:pt>
                <c:pt idx="310">
                  <c:v>385.80755602808472</c:v>
                </c:pt>
                <c:pt idx="311">
                  <c:v>388.10970650158168</c:v>
                </c:pt>
                <c:pt idx="312">
                  <c:v>390.41668438542808</c:v>
                </c:pt>
                <c:pt idx="313">
                  <c:v>392.72847096704157</c:v>
                </c:pt>
                <c:pt idx="314">
                  <c:v>395.04504753291218</c:v>
                </c:pt>
                <c:pt idx="315">
                  <c:v>397.36639536881552</c:v>
                </c:pt>
                <c:pt idx="316">
                  <c:v>399.69249576002517</c:v>
                </c:pt>
                <c:pt idx="317">
                  <c:v>402.02332999152372</c:v>
                </c:pt>
                <c:pt idx="318">
                  <c:v>404.35887934821341</c:v>
                </c:pt>
                <c:pt idx="319">
                  <c:v>406.69912511512524</c:v>
                </c:pt>
                <c:pt idx="320">
                  <c:v>409.04404857762779</c:v>
                </c:pt>
                <c:pt idx="321">
                  <c:v>411.39363102163452</c:v>
                </c:pt>
                <c:pt idx="322">
                  <c:v>413.74785373381036</c:v>
                </c:pt>
                <c:pt idx="323">
                  <c:v>416.10669800177743</c:v>
                </c:pt>
                <c:pt idx="324">
                  <c:v>418.47014511431968</c:v>
                </c:pt>
                <c:pt idx="325">
                  <c:v>420.83817636158648</c:v>
                </c:pt>
                <c:pt idx="326">
                  <c:v>423.21077314732901</c:v>
                </c:pt>
                <c:pt idx="327">
                  <c:v>425.58791710111495</c:v>
                </c:pt>
                <c:pt idx="328">
                  <c:v>427.96958996636937</c:v>
                </c:pt>
                <c:pt idx="329">
                  <c:v>430.35577348843356</c:v>
                </c:pt>
                <c:pt idx="330">
                  <c:v>432.74644941475805</c:v>
                </c:pt>
                <c:pt idx="331">
                  <c:v>435.14159949509531</c:v>
                </c:pt>
                <c:pt idx="332">
                  <c:v>437.54120548169107</c:v>
                </c:pt>
                <c:pt idx="333">
                  <c:v>439.94524912947475</c:v>
                </c:pt>
                <c:pt idx="334">
                  <c:v>442.35371219624915</c:v>
                </c:pt>
                <c:pt idx="335">
                  <c:v>444.766576442879</c:v>
                </c:pt>
                <c:pt idx="336">
                  <c:v>447.18382363347854</c:v>
                </c:pt>
                <c:pt idx="337">
                  <c:v>449.60543553559825</c:v>
                </c:pt>
                <c:pt idx="338">
                  <c:v>452.03139392041049</c:v>
                </c:pt>
                <c:pt idx="339">
                  <c:v>454.46168056289434</c:v>
                </c:pt>
                <c:pt idx="340">
                  <c:v>456.89627724201915</c:v>
                </c:pt>
                <c:pt idx="341">
                  <c:v>459.33516574092761</c:v>
                </c:pt>
                <c:pt idx="342">
                  <c:v>461.77832784711728</c:v>
                </c:pt>
                <c:pt idx="343">
                  <c:v>464.22574535262163</c:v>
                </c:pt>
                <c:pt idx="344">
                  <c:v>466.67740005418972</c:v>
                </c:pt>
                <c:pt idx="345">
                  <c:v>469.13327375346523</c:v>
                </c:pt>
                <c:pt idx="346">
                  <c:v>471.59334825716422</c:v>
                </c:pt>
                <c:pt idx="347">
                  <c:v>474.057605377252</c:v>
                </c:pt>
                <c:pt idx="348">
                  <c:v>476.52602693111908</c:v>
                </c:pt>
                <c:pt idx="349">
                  <c:v>478.99859474175605</c:v>
                </c:pt>
                <c:pt idx="350">
                  <c:v>481.47529063792751</c:v>
                </c:pt>
                <c:pt idx="351">
                  <c:v>483.95609645434496</c:v>
                </c:pt>
                <c:pt idx="352">
                  <c:v>486.44099403183867</c:v>
                </c:pt>
                <c:pt idx="353">
                  <c:v>488.92996521752866</c:v>
                </c:pt>
                <c:pt idx="354">
                  <c:v>491.42299186499451</c:v>
                </c:pt>
                <c:pt idx="355">
                  <c:v>493.92005583444438</c:v>
                </c:pt>
                <c:pt idx="356">
                  <c:v>496.42113899288273</c:v>
                </c:pt>
                <c:pt idx="357">
                  <c:v>498.9262232142774</c:v>
                </c:pt>
                <c:pt idx="358">
                  <c:v>501.43529037972542</c:v>
                </c:pt>
                <c:pt idx="359">
                  <c:v>503.94832237761779</c:v>
                </c:pt>
                <c:pt idx="360">
                  <c:v>506.46530110380343</c:v>
                </c:pt>
                <c:pt idx="361">
                  <c:v>508.98620846175203</c:v>
                </c:pt>
                <c:pt idx="362">
                  <c:v>511.51102636271577</c:v>
                </c:pt>
                <c:pt idx="363">
                  <c:v>514.03973672589018</c:v>
                </c:pt>
                <c:pt idx="364">
                  <c:v>516.57232147857417</c:v>
                </c:pt>
                <c:pt idx="365">
                  <c:v>519.10876255632832</c:v>
                </c:pt>
                <c:pt idx="366">
                  <c:v>521.64904474905177</c:v>
                </c:pt>
                <c:pt idx="367">
                  <c:v>524.19315854590275</c:v>
                </c:pt>
                <c:pt idx="368">
                  <c:v>526.74109728523047</c:v>
                </c:pt>
                <c:pt idx="369">
                  <c:v>529.29285430561185</c:v>
                </c:pt>
                <c:pt idx="370">
                  <c:v>531.84842294590771</c:v>
                </c:pt>
                <c:pt idx="371">
                  <c:v>534.40779654531786</c:v>
                </c:pt>
                <c:pt idx="372">
                  <c:v>536.97096844343707</c:v>
                </c:pt>
                <c:pt idx="373">
                  <c:v>539.53793198030962</c:v>
                </c:pt>
                <c:pt idx="374">
                  <c:v>542.10868049648502</c:v>
                </c:pt>
                <c:pt idx="375">
                  <c:v>544.68320733307235</c:v>
                </c:pt>
                <c:pt idx="376">
                  <c:v>547.26150583179526</c:v>
                </c:pt>
                <c:pt idx="377">
                  <c:v>549.84356933504614</c:v>
                </c:pt>
                <c:pt idx="378">
                  <c:v>552.42939118594063</c:v>
                </c:pt>
                <c:pt idx="379">
                  <c:v>555.01896472837166</c:v>
                </c:pt>
                <c:pt idx="380">
                  <c:v>557.61228330706342</c:v>
                </c:pt>
                <c:pt idx="381">
                  <c:v>560.2093371937342</c:v>
                </c:pt>
                <c:pt idx="382">
                  <c:v>562.81011051464532</c:v>
                </c:pt>
                <c:pt idx="383">
                  <c:v>565.4145843294715</c:v>
                </c:pt>
                <c:pt idx="384">
                  <c:v>568.02273970883641</c:v>
                </c:pt>
                <c:pt idx="385">
                  <c:v>570.63455773446969</c:v>
                </c:pt>
                <c:pt idx="386">
                  <c:v>573.25001949936211</c:v>
                </c:pt>
                <c:pt idx="387">
                  <c:v>575.86910610791949</c:v>
                </c:pt>
                <c:pt idx="388">
                  <c:v>578.49179867611633</c:v>
                </c:pt>
                <c:pt idx="389">
                  <c:v>581.11807833164733</c:v>
                </c:pt>
                <c:pt idx="390">
                  <c:v>583.74792621407823</c:v>
                </c:pt>
                <c:pt idx="391">
                  <c:v>586.38132347499595</c:v>
                </c:pt>
                <c:pt idx="392">
                  <c:v>589.01825127815653</c:v>
                </c:pt>
                <c:pt idx="393">
                  <c:v>591.65869079963295</c:v>
                </c:pt>
                <c:pt idx="394">
                  <c:v>594.30262322796125</c:v>
                </c:pt>
                <c:pt idx="395">
                  <c:v>596.95002976428589</c:v>
                </c:pt>
                <c:pt idx="396">
                  <c:v>599.60089162250347</c:v>
                </c:pt>
                <c:pt idx="397">
                  <c:v>602.25519002940598</c:v>
                </c:pt>
                <c:pt idx="398">
                  <c:v>604.91290622482234</c:v>
                </c:pt>
                <c:pt idx="399">
                  <c:v>607.57402146175912</c:v>
                </c:pt>
                <c:pt idx="400">
                  <c:v>610.23851700654006</c:v>
                </c:pt>
                <c:pt idx="401">
                  <c:v>612.90637172400773</c:v>
                </c:pt>
                <c:pt idx="402">
                  <c:v>615.5775596640807</c:v>
                </c:pt>
                <c:pt idx="403">
                  <c:v>618.2520524811755</c:v>
                </c:pt>
                <c:pt idx="404">
                  <c:v>620.92982185232142</c:v>
                </c:pt>
                <c:pt idx="405">
                  <c:v>623.61083947739746</c:v>
                </c:pt>
                <c:pt idx="406">
                  <c:v>626.29507707936659</c:v>
                </c:pt>
                <c:pt idx="407">
                  <c:v>628.98250640450806</c:v>
                </c:pt>
                <c:pt idx="408">
                  <c:v>631.67309922264712</c:v>
                </c:pt>
                <c:pt idx="409">
                  <c:v>634.36682732738257</c:v>
                </c:pt>
                <c:pt idx="410">
                  <c:v>637.06366253631154</c:v>
                </c:pt>
                <c:pt idx="411">
                  <c:v>639.76356335697892</c:v>
                </c:pt>
                <c:pt idx="412">
                  <c:v>642.46646166144524</c:v>
                </c:pt>
                <c:pt idx="413">
                  <c:v>645.1722760468158</c:v>
                </c:pt>
                <c:pt idx="414">
                  <c:v>647.88092518766075</c:v>
                </c:pt>
                <c:pt idx="415">
                  <c:v>650.59232783725099</c:v>
                </c:pt>
                <c:pt idx="416">
                  <c:v>653.3064028287771</c:v>
                </c:pt>
                <c:pt idx="417">
                  <c:v>656.023069076551</c:v>
                </c:pt>
                <c:pt idx="418">
                  <c:v>658.74224557719106</c:v>
                </c:pt>
                <c:pt idx="419">
                  <c:v>661.4638514107902</c:v>
                </c:pt>
                <c:pt idx="420">
                  <c:v>664.18779816192296</c:v>
                </c:pt>
                <c:pt idx="421">
                  <c:v>666.91398234686756</c:v>
                </c:pt>
                <c:pt idx="422">
                  <c:v>669.64229301185446</c:v>
                </c:pt>
                <c:pt idx="423">
                  <c:v>672.37261932551746</c:v>
                </c:pt>
                <c:pt idx="424">
                  <c:v>675.10485058087602</c:v>
                </c:pt>
                <c:pt idx="425">
                  <c:v>677.83887619728694</c:v>
                </c:pt>
                <c:pt idx="426">
                  <c:v>680.57458572236442</c:v>
                </c:pt>
                <c:pt idx="427">
                  <c:v>683.31186883386931</c:v>
                </c:pt>
                <c:pt idx="428">
                  <c:v>686.05061534156766</c:v>
                </c:pt>
                <c:pt idx="429">
                  <c:v>688.79071518905801</c:v>
                </c:pt>
                <c:pt idx="430">
                  <c:v>691.53205845556806</c:v>
                </c:pt>
                <c:pt idx="431">
                  <c:v>694.27453535772065</c:v>
                </c:pt>
                <c:pt idx="432">
                  <c:v>697.01802404696218</c:v>
                </c:pt>
                <c:pt idx="433">
                  <c:v>699.7623784205523</c:v>
                </c:pt>
                <c:pt idx="434">
                  <c:v>702.50744036046444</c:v>
                </c:pt>
                <c:pt idx="435">
                  <c:v>705.25305195959697</c:v>
                </c:pt>
                <c:pt idx="436">
                  <c:v>707.99905552523455</c:v>
                </c:pt>
                <c:pt idx="437">
                  <c:v>710.74529358244638</c:v>
                </c:pt>
                <c:pt idx="438">
                  <c:v>713.49160887742107</c:v>
                </c:pt>
                <c:pt idx="439">
                  <c:v>716.23784438073869</c:v>
                </c:pt>
                <c:pt idx="440">
                  <c:v>718.98384329057956</c:v>
                </c:pt>
                <c:pt idx="441">
                  <c:v>721.72944903587063</c:v>
                </c:pt>
                <c:pt idx="442">
                  <c:v>724.47451268687644</c:v>
                </c:pt>
                <c:pt idx="443">
                  <c:v>727.21890035510876</c:v>
                </c:pt>
                <c:pt idx="444">
                  <c:v>729.96248576525772</c:v>
                </c:pt>
                <c:pt idx="445">
                  <c:v>732.70514283713146</c:v>
                </c:pt>
                <c:pt idx="446">
                  <c:v>735.4467456874072</c:v>
                </c:pt>
                <c:pt idx="447">
                  <c:v>738.18716863134216</c:v>
                </c:pt>
                <c:pt idx="448">
                  <c:v>740.92628618444496</c:v>
                </c:pt>
                <c:pt idx="449">
                  <c:v>743.66397306410681</c:v>
                </c:pt>
                <c:pt idx="450">
                  <c:v>746.40010419119403</c:v>
                </c:pt>
                <c:pt idx="451">
                  <c:v>749.13455469160044</c:v>
                </c:pt>
                <c:pt idx="452">
                  <c:v>751.86719989776157</c:v>
                </c:pt>
                <c:pt idx="453">
                  <c:v>754.59792595167778</c:v>
                </c:pt>
                <c:pt idx="454">
                  <c:v>757.32664039002009</c:v>
                </c:pt>
                <c:pt idx="455">
                  <c:v>760.05326150658777</c:v>
                </c:pt>
                <c:pt idx="456">
                  <c:v>762.77770773212467</c:v>
                </c:pt>
                <c:pt idx="457">
                  <c:v>765.49989763468864</c:v>
                </c:pt>
                <c:pt idx="458">
                  <c:v>768.21974992000605</c:v>
                </c:pt>
                <c:pt idx="459">
                  <c:v>770.93718343181092</c:v>
                </c:pt>
                <c:pt idx="460">
                  <c:v>773.65211715216822</c:v>
                </c:pt>
                <c:pt idx="461">
                  <c:v>776.36447973960242</c:v>
                </c:pt>
                <c:pt idx="462">
                  <c:v>779.07421905014326</c:v>
                </c:pt>
                <c:pt idx="463">
                  <c:v>781.78129256493651</c:v>
                </c:pt>
                <c:pt idx="464">
                  <c:v>784.48565783473327</c:v>
                </c:pt>
                <c:pt idx="465">
                  <c:v>787.18727247979427</c:v>
                </c:pt>
                <c:pt idx="466">
                  <c:v>789.88608617832358</c:v>
                </c:pt>
                <c:pt idx="467">
                  <c:v>792.58203266951068</c:v>
                </c:pt>
                <c:pt idx="468">
                  <c:v>795.2749485806055</c:v>
                </c:pt>
                <c:pt idx="469">
                  <c:v>797.96460158357081</c:v>
                </c:pt>
                <c:pt idx="470">
                  <c:v>800.65088891350365</c:v>
                </c:pt>
                <c:pt idx="471">
                  <c:v>803.33381716255894</c:v>
                </c:pt>
                <c:pt idx="472">
                  <c:v>806.01339289964346</c:v>
                </c:pt>
                <c:pt idx="473">
                  <c:v>808.68962267052541</c:v>
                </c:pt>
                <c:pt idx="474">
                  <c:v>811.3625129979431</c:v>
                </c:pt>
                <c:pt idx="475">
                  <c:v>814.0320703817132</c:v>
                </c:pt>
                <c:pt idx="476">
                  <c:v>816.69830129883837</c:v>
                </c:pt>
                <c:pt idx="477">
                  <c:v>819.36121220361417</c:v>
                </c:pt>
                <c:pt idx="478">
                  <c:v>822.02080952773531</c:v>
                </c:pt>
                <c:pt idx="479">
                  <c:v>824.67709968040117</c:v>
                </c:pt>
                <c:pt idx="480">
                  <c:v>827.33008904842109</c:v>
                </c:pt>
                <c:pt idx="481">
                  <c:v>829.97978399631859</c:v>
                </c:pt>
                <c:pt idx="482">
                  <c:v>832.62619086643519</c:v>
                </c:pt>
                <c:pt idx="483">
                  <c:v>835.26931597903388</c:v>
                </c:pt>
                <c:pt idx="484">
                  <c:v>837.90916563240137</c:v>
                </c:pt>
                <c:pt idx="485">
                  <c:v>840.54574610295015</c:v>
                </c:pt>
                <c:pt idx="486">
                  <c:v>843.17906364531996</c:v>
                </c:pt>
                <c:pt idx="487">
                  <c:v>845.80912449247853</c:v>
                </c:pt>
                <c:pt idx="488">
                  <c:v>848.43593485582187</c:v>
                </c:pt>
                <c:pt idx="489">
                  <c:v>851.05950092527371</c:v>
                </c:pt>
                <c:pt idx="490">
                  <c:v>853.67982886938466</c:v>
                </c:pt>
                <c:pt idx="491">
                  <c:v>856.29692483543079</c:v>
                </c:pt>
                <c:pt idx="492">
                  <c:v>858.91079494951111</c:v>
                </c:pt>
                <c:pt idx="493">
                  <c:v>861.52144531664555</c:v>
                </c:pt>
                <c:pt idx="494">
                  <c:v>864.12888202087106</c:v>
                </c:pt>
                <c:pt idx="495">
                  <c:v>866.73311112533816</c:v>
                </c:pt>
                <c:pt idx="496">
                  <c:v>869.33413867240654</c:v>
                </c:pt>
                <c:pt idx="497">
                  <c:v>871.93197068374013</c:v>
                </c:pt>
                <c:pt idx="498">
                  <c:v>874.52661316040155</c:v>
                </c:pt>
                <c:pt idx="499">
                  <c:v>877.11807208294613</c:v>
                </c:pt>
                <c:pt idx="500">
                  <c:v>879.70635341151558</c:v>
                </c:pt>
                <c:pt idx="501">
                  <c:v>905.41485913659324</c:v>
                </c:pt>
                <c:pt idx="502">
                  <c:v>930.80942794625344</c:v>
                </c:pt>
                <c:pt idx="503">
                  <c:v>955.89582565768217</c:v>
                </c:pt>
                <c:pt idx="504">
                  <c:v>980.67962600729425</c:v>
                </c:pt>
                <c:pt idx="505">
                  <c:v>1005.166219106284</c:v>
                </c:pt>
                <c:pt idx="506">
                  <c:v>1029.3608194301369</c:v>
                </c:pt>
                <c:pt idx="507">
                  <c:v>1053.2684733727758</c:v>
                </c:pt>
                <c:pt idx="508">
                  <c:v>1076.8940663936735</c:v>
                </c:pt>
                <c:pt idx="509">
                  <c:v>1100.2423297841258</c:v>
                </c:pt>
                <c:pt idx="510">
                  <c:v>1123.3178470769235</c:v>
                </c:pt>
                <c:pt idx="511">
                  <c:v>1146.1250601218715</c:v>
                </c:pt>
                <c:pt idx="512">
                  <c:v>1168.6682748479654</c:v>
                </c:pt>
                <c:pt idx="513">
                  <c:v>1190.9516667315308</c:v>
                </c:pt>
                <c:pt idx="514">
                  <c:v>1212.9792859882482</c:v>
                </c:pt>
                <c:pt idx="515">
                  <c:v>1234.7550625057245</c:v>
                </c:pt>
                <c:pt idx="516">
                  <c:v>1256.2828105320978</c:v>
                </c:pt>
                <c:pt idx="517">
                  <c:v>1277.5662331350941</c:v>
                </c:pt>
                <c:pt idx="518">
                  <c:v>1298.6089264449627</c:v>
                </c:pt>
                <c:pt idx="519">
                  <c:v>1319.4143836938065</c:v>
                </c:pt>
                <c:pt idx="520">
                  <c:v>1339.9859990629805</c:v>
                </c:pt>
                <c:pt idx="521">
                  <c:v>1360.3270713494551</c:v>
                </c:pt>
                <c:pt idx="522">
                  <c:v>1380.4408074613225</c:v>
                </c:pt>
                <c:pt idx="523">
                  <c:v>1400.3303257519585</c:v>
                </c:pt>
                <c:pt idx="524">
                  <c:v>1419.9986592017376</c:v>
                </c:pt>
                <c:pt idx="525">
                  <c:v>1439.4487584556293</c:v>
                </c:pt>
                <c:pt idx="526">
                  <c:v>1458.6834947244754</c:v>
                </c:pt>
                <c:pt idx="527">
                  <c:v>1477.7056625572534</c:v>
                </c:pt>
                <c:pt idx="528">
                  <c:v>1496.5179824911829</c:v>
                </c:pt>
                <c:pt idx="529">
                  <c:v>1515.1231035861019</c:v>
                </c:pt>
                <c:pt idx="530">
                  <c:v>1533.5236058491505</c:v>
                </c:pt>
                <c:pt idx="531">
                  <c:v>1551.7220025554323</c:v>
                </c:pt>
                <c:pt idx="532">
                  <c:v>1569.7207424699809</c:v>
                </c:pt>
                <c:pt idx="533">
                  <c:v>1587.5222119760467</c:v>
                </c:pt>
                <c:pt idx="534">
                  <c:v>1605.1287371144158</c:v>
                </c:pt>
                <c:pt idx="535">
                  <c:v>1622.5425855382023</c:v>
                </c:pt>
                <c:pt idx="536">
                  <c:v>1639.7659683872967</c:v>
                </c:pt>
                <c:pt idx="537">
                  <c:v>1656.8010420864096</c:v>
                </c:pt>
                <c:pt idx="538">
                  <c:v>1673.649910070427</c:v>
                </c:pt>
                <c:pt idx="539">
                  <c:v>1690.3146244405834</c:v>
                </c:pt>
                <c:pt idx="540">
                  <c:v>1706.7971875547607</c:v>
                </c:pt>
                <c:pt idx="541">
                  <c:v>1723.0995535550385</c:v>
                </c:pt>
                <c:pt idx="542">
                  <c:v>1739.2236298354453</c:v>
                </c:pt>
                <c:pt idx="543">
                  <c:v>1755.1712784527042</c:v>
                </c:pt>
                <c:pt idx="544">
                  <c:v>1770.9443174826076</c:v>
                </c:pt>
                <c:pt idx="545">
                  <c:v>1786.5445223245208</c:v>
                </c:pt>
                <c:pt idx="546">
                  <c:v>1801.9736269563734</c:v>
                </c:pt>
                <c:pt idx="547">
                  <c:v>1817.2333251423788</c:v>
                </c:pt>
                <c:pt idx="548">
                  <c:v>1832.3252715955996</c:v>
                </c:pt>
                <c:pt idx="549">
                  <c:v>1847.251083097367</c:v>
                </c:pt>
                <c:pt idx="550">
                  <c:v>1862.0123395754586</c:v>
                </c:pt>
                <c:pt idx="551">
                  <c:v>1876.6105851428426</c:v>
                </c:pt>
                <c:pt idx="552">
                  <c:v>1891.0473290986997</c:v>
                </c:pt>
                <c:pt idx="553">
                  <c:v>1905.3240468933507</c:v>
                </c:pt>
                <c:pt idx="554">
                  <c:v>1919.4421810586357</c:v>
                </c:pt>
                <c:pt idx="555">
                  <c:v>1933.4031421052114</c:v>
                </c:pt>
                <c:pt idx="556">
                  <c:v>1947.208309388162</c:v>
                </c:pt>
                <c:pt idx="557">
                  <c:v>1960.859031942249</c:v>
                </c:pt>
                <c:pt idx="558">
                  <c:v>1974.3566292880639</c:v>
                </c:pt>
                <c:pt idx="559">
                  <c:v>1987.7023922102801</c:v>
                </c:pt>
                <c:pt idx="560">
                  <c:v>2000.8975835091485</c:v>
                </c:pt>
                <c:pt idx="561">
                  <c:v>2013.9434387263243</c:v>
                </c:pt>
                <c:pt idx="562">
                  <c:v>2026.8411668460594</c:v>
                </c:pt>
                <c:pt idx="563">
                  <c:v>2039.5919509727485</c:v>
                </c:pt>
                <c:pt idx="564">
                  <c:v>2052.1969489857684</c:v>
                </c:pt>
                <c:pt idx="565">
                  <c:v>2064.6572941725067</c:v>
                </c:pt>
                <c:pt idx="566">
                  <c:v>2076.9740958404386</c:v>
                </c:pt>
                <c:pt idx="567">
                  <c:v>2089.1484399090614</c:v>
                </c:pt>
                <c:pt idx="568">
                  <c:v>2101.1813894824709</c:v>
                </c:pt>
                <c:pt idx="569">
                  <c:v>2113.0739854033186</c:v>
                </c:pt>
                <c:pt idx="570">
                  <c:v>2124.8272467888651</c:v>
                </c:pt>
                <c:pt idx="571">
                  <c:v>2136.4421715497988</c:v>
                </c:pt>
                <c:pt idx="572">
                  <c:v>2147.9197368924774</c:v>
                </c:pt>
                <c:pt idx="573">
                  <c:v>2159.2608998052028</c:v>
                </c:pt>
                <c:pt idx="574">
                  <c:v>2170.4665975291277</c:v>
                </c:pt>
                <c:pt idx="575">
                  <c:v>2181.5377480143552</c:v>
                </c:pt>
                <c:pt idx="576">
                  <c:v>2192.475250361776</c:v>
                </c:pt>
                <c:pt idx="577">
                  <c:v>2203.2799852511585</c:v>
                </c:pt>
                <c:pt idx="578">
                  <c:v>2213.9528153559904</c:v>
                </c:pt>
                <c:pt idx="579">
                  <c:v>2224.4945857455455</c:v>
                </c:pt>
                <c:pt idx="580">
                  <c:v>2234.9061242746275</c:v>
                </c:pt>
                <c:pt idx="581">
                  <c:v>2245.1882419614312</c:v>
                </c:pt>
                <c:pt idx="582">
                  <c:v>2255.3417333539351</c:v>
                </c:pt>
                <c:pt idx="583">
                  <c:v>2265.3673768852241</c:v>
                </c:pt>
                <c:pt idx="584">
                  <c:v>2275.2659352181313</c:v>
                </c:pt>
                <c:pt idx="585">
                  <c:v>2285.038155579558</c:v>
                </c:pt>
                <c:pt idx="586">
                  <c:v>2294.6847700848321</c:v>
                </c:pt>
                <c:pt idx="587">
                  <c:v>2304.2064960524385</c:v>
                </c:pt>
                <c:pt idx="588">
                  <c:v>2313.6040363094485</c:v>
                </c:pt>
                <c:pt idx="589">
                  <c:v>2322.8780794879558</c:v>
                </c:pt>
                <c:pt idx="590">
                  <c:v>2332.0293003128254</c:v>
                </c:pt>
                <c:pt idx="591">
                  <c:v>2341.0583598810326</c:v>
                </c:pt>
                <c:pt idx="592">
                  <c:v>2349.9659059328783</c:v>
                </c:pt>
                <c:pt idx="593">
                  <c:v>2358.7525731153364</c:v>
                </c:pt>
                <c:pt idx="594">
                  <c:v>2367.4189832377942</c:v>
                </c:pt>
                <c:pt idx="595">
                  <c:v>2375.9657455204278</c:v>
                </c:pt>
                <c:pt idx="596">
                  <c:v>2384.393456835448</c:v>
                </c:pt>
                <c:pt idx="597">
                  <c:v>2392.7027019414427</c:v>
                </c:pt>
                <c:pt idx="598">
                  <c:v>2400.8940537110357</c:v>
                </c:pt>
                <c:pt idx="599">
                  <c:v>2408.9680733520663</c:v>
                </c:pt>
                <c:pt idx="600">
                  <c:v>2416.9253106224974</c:v>
                </c:pt>
                <c:pt idx="601">
                  <c:v>2424.7663040392408</c:v>
                </c:pt>
                <c:pt idx="602">
                  <c:v>2432.4915810810885</c:v>
                </c:pt>
                <c:pt idx="603">
                  <c:v>2440.1016583859314</c:v>
                </c:pt>
                <c:pt idx="604">
                  <c:v>2447.5970419424352</c:v>
                </c:pt>
                <c:pt idx="605">
                  <c:v>2454.9782272763432</c:v>
                </c:pt>
                <c:pt idx="606">
                  <c:v>2462.2456996315645</c:v>
                </c:pt>
                <c:pt idx="607">
                  <c:v>2469.3999341462063</c:v>
                </c:pt>
                <c:pt idx="608">
                  <c:v>2476.4413960236948</c:v>
                </c:pt>
                <c:pt idx="609">
                  <c:v>2483.3705406991344</c:v>
                </c:pt>
                <c:pt idx="610">
                  <c:v>2490.1878140010399</c:v>
                </c:pt>
                <c:pt idx="611">
                  <c:v>2496.8936523085804</c:v>
                </c:pt>
                <c:pt idx="612">
                  <c:v>2503.4884827044611</c:v>
                </c:pt>
                <c:pt idx="613">
                  <c:v>2509.9727231235706</c:v>
                </c:pt>
                <c:pt idx="614">
                  <c:v>2516.3467824975155</c:v>
                </c:pt>
                <c:pt idx="615">
                  <c:v>2522.6110608951585</c:v>
                </c:pt>
                <c:pt idx="616">
                  <c:v>2528.765949659276</c:v>
                </c:pt>
                <c:pt idx="617">
                  <c:v>2534.8118315394418</c:v>
                </c:pt>
                <c:pt idx="618">
                  <c:v>2540.7490808212488</c:v>
                </c:pt>
                <c:pt idx="619">
                  <c:v>2546.5780634519679</c:v>
                </c:pt>
                <c:pt idx="620">
                  <c:v>2552.2991371627481</c:v>
                </c:pt>
                <c:pt idx="621">
                  <c:v>2557.9126515874564</c:v>
                </c:pt>
                <c:pt idx="622">
                  <c:v>2563.4189483782502</c:v>
                </c:pt>
                <c:pt idx="623">
                  <c:v>2568.818361317979</c:v>
                </c:pt>
                <c:pt idx="624">
                  <c:v>2574.1112164295046</c:v>
                </c:pt>
                <c:pt idx="625">
                  <c:v>2579.297832082033</c:v>
                </c:pt>
                <c:pt idx="626">
                  <c:v>2584.3785190945405</c:v>
                </c:pt>
                <c:pt idx="627">
                  <c:v>2589.3535808363858</c:v>
                </c:pt>
                <c:pt idx="628">
                  <c:v>2594.223313325193</c:v>
                </c:pt>
                <c:pt idx="629">
                  <c:v>2598.9880053220886</c:v>
                </c:pt>
                <c:pt idx="630">
                  <c:v>2603.6479384243803</c:v>
                </c:pt>
                <c:pt idx="631">
                  <c:v>2608.2033871557592</c:v>
                </c:pt>
                <c:pt idx="632">
                  <c:v>2612.6546190541144</c:v>
                </c:pt>
                <c:pt idx="633">
                  <c:v>2617.0018947570452</c:v>
                </c:pt>
                <c:pt idx="634">
                  <c:v>2621.2454680851556</c:v>
                </c:pt>
                <c:pt idx="635">
                  <c:v>2625.3855861232259</c:v>
                </c:pt>
                <c:pt idx="636">
                  <c:v>2629.4224892993516</c:v>
                </c:pt>
                <c:pt idx="637">
                  <c:v>2633.3564114621449</c:v>
                </c:pt>
                <c:pt idx="638">
                  <c:v>2637.1875799561021</c:v>
                </c:pt>
                <c:pt idx="639">
                  <c:v>2640.9162156952402</c:v>
                </c:pt>
                <c:pt idx="640">
                  <c:v>2644.5425332351178</c:v>
                </c:pt>
                <c:pt idx="641">
                  <c:v>2648.0667408433587</c:v>
                </c:pt>
                <c:pt idx="642">
                  <c:v>2651.4890405688125</c:v>
                </c:pt>
                <c:pt idx="643">
                  <c:v>2654.8096283094892</c:v>
                </c:pt>
                <c:pt idx="644">
                  <c:v>2658.028693879427</c:v>
                </c:pt>
                <c:pt idx="645">
                  <c:v>2661.1464210746649</c:v>
                </c:pt>
                <c:pt idx="646">
                  <c:v>2664.1629877385076</c:v>
                </c:pt>
                <c:pt idx="647">
                  <c:v>2667.0785658263017</c:v>
                </c:pt>
                <c:pt idx="648">
                  <c:v>2669.8933214699578</c:v>
                </c:pt>
                <c:pt idx="649">
                  <c:v>2672.607415042492</c:v>
                </c:pt>
                <c:pt idx="650">
                  <c:v>2675.2210012228948</c:v>
                </c:pt>
                <c:pt idx="651">
                  <c:v>2677.7342290616766</c:v>
                </c:pt>
                <c:pt idx="652">
                  <c:v>2680.1472420474902</c:v>
                </c:pt>
                <c:pt idx="653">
                  <c:v>2682.4601781752872</c:v>
                </c:pt>
                <c:pt idx="654">
                  <c:v>2684.6731700165351</c:v>
                </c:pt>
                <c:pt idx="655">
                  <c:v>2686.7863447920968</c:v>
                </c:pt>
                <c:pt idx="656">
                  <c:v>2688.7998244484629</c:v>
                </c:pt>
                <c:pt idx="657">
                  <c:v>2690.7137257381282</c:v>
                </c:pt>
                <c:pt idx="658">
                  <c:v>2692.528160305023</c:v>
                </c:pt>
                <c:pt idx="659">
                  <c:v>2694.2432347760264</c:v>
                </c:pt>
                <c:pt idx="660">
                  <c:v>2695.8590508597376</c:v>
                </c:pt>
                <c:pt idx="661">
                  <c:v>2697.3757054538255</c:v>
                </c:pt>
                <c:pt idx="662">
                  <c:v>2698.7932907624336</c:v>
                </c:pt>
                <c:pt idx="663">
                  <c:v>2700.1118944252758</c:v>
                </c:pt>
                <c:pt idx="664">
                  <c:v>2701.3315996602023</c:v>
                </c:pt>
                <c:pt idx="665">
                  <c:v>2702.4524854211468</c:v>
                </c:pt>
                <c:pt idx="666">
                  <c:v>2703.4746265734448</c:v>
                </c:pt>
                <c:pt idx="667">
                  <c:v>2704.3980940885499</c:v>
                </c:pt>
                <c:pt idx="668">
                  <c:v>2705.2229552601057</c:v>
                </c:pt>
                <c:pt idx="669">
                  <c:v>2705.9492739431603</c:v>
                </c:pt>
                <c:pt idx="670">
                  <c:v>2706.5771108179933</c:v>
                </c:pt>
                <c:pt idx="671">
                  <c:v>2707.1065236795362</c:v>
                </c:pt>
                <c:pt idx="672">
                  <c:v>2707.5375677527045</c:v>
                </c:pt>
                <c:pt idx="673">
                  <c:v>2707.8702960331229</c:v>
                </c:pt>
                <c:pt idx="674">
                  <c:v>2708.1047596517337</c:v>
                </c:pt>
                <c:pt idx="675">
                  <c:v>2708.2410082607034</c:v>
                </c:pt>
                <c:pt idx="676">
                  <c:v>2708.2790904369535</c:v>
                </c:pt>
                <c:pt idx="677">
                  <c:v>2708.2190540986394</c:v>
                </c:pt>
                <c:pt idx="678">
                  <c:v>2708.0609469291044</c:v>
                </c:pt>
                <c:pt idx="679">
                  <c:v>2707.8048168023124</c:v>
                </c:pt>
                <c:pt idx="680">
                  <c:v>2707.4507122036071</c:v>
                </c:pt>
                <c:pt idx="681">
                  <c:v>2706.9986826398558</c:v>
                </c:pt>
                <c:pt idx="682">
                  <c:v>2706.4487790335907</c:v>
                </c:pt>
                <c:pt idx="683">
                  <c:v>2705.8010540966015</c:v>
                </c:pt>
                <c:pt idx="684">
                  <c:v>2705.0555626794503</c:v>
                </c:pt>
                <c:pt idx="685">
                  <c:v>2704.2123620944744</c:v>
                </c:pt>
                <c:pt idx="686">
                  <c:v>2703.2715124109191</c:v>
                </c:pt>
                <c:pt idx="687">
                  <c:v>2702.2330767218123</c:v>
                </c:pt>
                <c:pt idx="688">
                  <c:v>2701.0971213830121</c:v>
                </c:pt>
                <c:pt idx="689">
                  <c:v>2699.8637162255009</c:v>
                </c:pt>
                <c:pt idx="690">
                  <c:v>2698.5329347424563</c:v>
                </c:pt>
                <c:pt idx="691">
                  <c:v>2697.1048542529343</c:v>
                </c:pt>
                <c:pt idx="692">
                  <c:v>2695.5795560441456</c:v>
                </c:pt>
                <c:pt idx="693">
                  <c:v>2693.9571254943558</c:v>
                </c:pt>
                <c:pt idx="694">
                  <c:v>2692.2376521783995</c:v>
                </c:pt>
                <c:pt idx="695">
                  <c:v>2690.4212299577016</c:v>
                </c:pt>
                <c:pt idx="696">
                  <c:v>2688.5079570565654</c:v>
                </c:pt>
                <c:pt idx="697">
                  <c:v>2686.4979361263345</c:v>
                </c:pt>
                <c:pt idx="698">
                  <c:v>2684.391274298875</c:v>
                </c:pt>
                <c:pt idx="699">
                  <c:v>2682.1880832306701</c:v>
                </c:pt>
                <c:pt idx="700">
                  <c:v>2679.8884791386618</c:v>
                </c:pt>
                <c:pt idx="701">
                  <c:v>2677.4925828288442</c:v>
                </c:pt>
                <c:pt idx="702">
                  <c:v>2675.0005197184769</c:v>
                </c:pt>
                <c:pt idx="703">
                  <c:v>2672.412419852677</c:v>
                </c:pt>
                <c:pt idx="704">
                  <c:v>2669.7284179160515</c:v>
                </c:pt>
                <c:pt idx="705">
                  <c:v>2666.9486532399355</c:v>
                </c:pt>
                <c:pt idx="706">
                  <c:v>2664.07326980573</c:v>
                </c:pt>
                <c:pt idx="707">
                  <c:v>2661.1024162447629</c:v>
                </c:pt>
                <c:pt idx="708">
                  <c:v>2658.0362458350464</c:v>
                </c:pt>
                <c:pt idx="709">
                  <c:v>2654.8749164952396</c:v>
                </c:pt>
                <c:pt idx="710">
                  <c:v>2651.6185907760992</c:v>
                </c:pt>
                <c:pt idx="711">
                  <c:v>2648.267435849652</c:v>
                </c:pt>
                <c:pt idx="712">
                  <c:v>2644.8216234962974</c:v>
                </c:pt>
                <c:pt idx="713">
                  <c:v>2641.2813300900175</c:v>
                </c:pt>
                <c:pt idx="714">
                  <c:v>2637.6467365818548</c:v>
                </c:pt>
                <c:pt idx="715">
                  <c:v>2633.9180284817908</c:v>
                </c:pt>
                <c:pt idx="716">
                  <c:v>2630.0953958391447</c:v>
                </c:pt>
                <c:pt idx="717">
                  <c:v>2626.1790332216019</c:v>
                </c:pt>
                <c:pt idx="718">
                  <c:v>2622.1691396929573</c:v>
                </c:pt>
                <c:pt idx="719">
                  <c:v>2618.0659187896608</c:v>
                </c:pt>
                <c:pt idx="720">
                  <c:v>2613.8695784962365</c:v>
                </c:pt>
                <c:pt idx="721">
                  <c:v>2609.5803312196344</c:v>
                </c:pt>
                <c:pt idx="722">
                  <c:v>2605.1983937625814</c:v>
                </c:pt>
                <c:pt idx="723">
                  <c:v>2600.723987295974</c:v>
                </c:pt>
                <c:pt idx="724">
                  <c:v>2596.1573373303631</c:v>
                </c:pt>
                <c:pt idx="725">
                  <c:v>2591.4986736865758</c:v>
                </c:pt>
                <c:pt idx="726">
                  <c:v>2586.7482304655032</c:v>
                </c:pt>
                <c:pt idx="727">
                  <c:v>2581.9062460170994</c:v>
                </c:pt>
                <c:pt idx="728">
                  <c:v>2576.972962908615</c:v>
                </c:pt>
                <c:pt idx="729">
                  <c:v>2571.9486278920999</c:v>
                </c:pt>
                <c:pt idx="730">
                  <c:v>2566.833491871198</c:v>
                </c:pt>
                <c:pt idx="731">
                  <c:v>2561.6278098672637</c:v>
                </c:pt>
                <c:pt idx="732">
                  <c:v>2556.331840984818</c:v>
                </c:pt>
                <c:pt idx="733">
                  <c:v>2550.9458483763706</c:v>
                </c:pt>
                <c:pt idx="734">
                  <c:v>2545.4700992066287</c:v>
                </c:pt>
                <c:pt idx="735">
                  <c:v>2539.9048646161064</c:v>
                </c:pt>
                <c:pt idx="736">
                  <c:v>2534.2504196841624</c:v>
                </c:pt>
                <c:pt idx="737">
                  <c:v>2528.5070433914748</c:v>
                </c:pt>
                <c:pt idx="738">
                  <c:v>2522.6750185819765</c:v>
                </c:pt>
                <c:pt idx="739">
                  <c:v>2516.7546319242633</c:v>
                </c:pt>
                <c:pt idx="740">
                  <c:v>2510.7461738724937</c:v>
                </c:pt>
                <c:pt idx="741">
                  <c:v>2504.6499386267942</c:v>
                </c:pt>
                <c:pt idx="742">
                  <c:v>2498.4662240931825</c:v>
                </c:pt>
                <c:pt idx="743">
                  <c:v>2492.1953318430292</c:v>
                </c:pt>
                <c:pt idx="744">
                  <c:v>2485.8375670720648</c:v>
                </c:pt>
                <c:pt idx="745">
                  <c:v>2479.3932385589519</c:v>
                </c:pt>
                <c:pt idx="746">
                  <c:v>2472.8626586234318</c:v>
                </c:pt>
                <c:pt idx="747">
                  <c:v>2466.2461430840617</c:v>
                </c:pt>
                <c:pt idx="748">
                  <c:v>2459.5440112155547</c:v>
                </c:pt>
                <c:pt idx="749">
                  <c:v>2452.7565857057325</c:v>
                </c:pt>
                <c:pt idx="750">
                  <c:v>2445.8841926121099</c:v>
                </c:pt>
                <c:pt idx="751">
                  <c:v>2438.9271613181177</c:v>
                </c:pt>
                <c:pt idx="752">
                  <c:v>2431.8858244889793</c:v>
                </c:pt>
                <c:pt idx="753">
                  <c:v>2424.7605180272526</c:v>
                </c:pt>
                <c:pt idx="754">
                  <c:v>2417.5515810280494</c:v>
                </c:pt>
                <c:pt idx="755">
                  <c:v>2410.259355733946</c:v>
                </c:pt>
                <c:pt idx="756">
                  <c:v>2402.8841874895938</c:v>
                </c:pt>
                <c:pt idx="757">
                  <c:v>2395.4264246960447</c:v>
                </c:pt>
                <c:pt idx="758">
                  <c:v>2387.8864187648028</c:v>
                </c:pt>
                <c:pt idx="759">
                  <c:v>2380.264524071612</c:v>
                </c:pt>
                <c:pt idx="760">
                  <c:v>2372.5610979099938</c:v>
                </c:pt>
                <c:pt idx="761">
                  <c:v>2364.7765004445473</c:v>
                </c:pt>
                <c:pt idx="762">
                  <c:v>2356.9110946640199</c:v>
                </c:pt>
                <c:pt idx="763">
                  <c:v>2348.9652463341627</c:v>
                </c:pt>
                <c:pt idx="764">
                  <c:v>2340.9393239503829</c:v>
                </c:pt>
                <c:pt idx="765">
                  <c:v>2332.8336986902027</c:v>
                </c:pt>
                <c:pt idx="766">
                  <c:v>2324.648744365536</c:v>
                </c:pt>
                <c:pt idx="767">
                  <c:v>2316.3848373747965</c:v>
                </c:pt>
                <c:pt idx="768">
                  <c:v>2308.0423566548466</c:v>
                </c:pt>
                <c:pt idx="769">
                  <c:v>2299.6216836327994</c:v>
                </c:pt>
                <c:pt idx="770">
                  <c:v>2291.123202177685</c:v>
                </c:pt>
                <c:pt idx="771">
                  <c:v>2282.54729855199</c:v>
                </c:pt>
                <c:pt idx="772">
                  <c:v>2273.8943613630854</c:v>
                </c:pt>
                <c:pt idx="773">
                  <c:v>2265.1647815145516</c:v>
                </c:pt>
                <c:pt idx="774">
                  <c:v>2256.3589521574099</c:v>
                </c:pt>
                <c:pt idx="775">
                  <c:v>2247.4772686412762</c:v>
                </c:pt>
                <c:pt idx="776">
                  <c:v>2238.5201284654418</c:v>
                </c:pt>
                <c:pt idx="777">
                  <c:v>2229.4879312298967</c:v>
                </c:pt>
                <c:pt idx="778">
                  <c:v>2220.381078586307</c:v>
                </c:pt>
                <c:pt idx="779">
                  <c:v>2211.1999741889495</c:v>
                </c:pt>
                <c:pt idx="780">
                  <c:v>2201.9450236456246</c:v>
                </c:pt>
                <c:pt idx="781">
                  <c:v>2192.6166344685498</c:v>
                </c:pt>
                <c:pt idx="782">
                  <c:v>2183.2152160252499</c:v>
                </c:pt>
                <c:pt idx="783">
                  <c:v>2173.7411794894492</c:v>
                </c:pt>
                <c:pt idx="784">
                  <c:v>2164.19493779198</c:v>
                </c:pt>
                <c:pt idx="785">
                  <c:v>2154.5769055717174</c:v>
                </c:pt>
                <c:pt idx="786">
                  <c:v>2144.8874991265475</c:v>
                </c:pt>
                <c:pt idx="787">
                  <c:v>2135.1271363643832</c:v>
                </c:pt>
                <c:pt idx="788">
                  <c:v>2125.2962367542341</c:v>
                </c:pt>
                <c:pt idx="789">
                  <c:v>2115.395221277342</c:v>
                </c:pt>
                <c:pt idx="790">
                  <c:v>2105.4245123783944</c:v>
                </c:pt>
                <c:pt idx="791">
                  <c:v>2095.3845339168183</c:v>
                </c:pt>
                <c:pt idx="792">
                  <c:v>2085.2757111181736</c:v>
                </c:pt>
                <c:pt idx="793">
                  <c:v>2075.0984705256483</c:v>
                </c:pt>
                <c:pt idx="794">
                  <c:v>2064.8532399516675</c:v>
                </c:pt>
                <c:pt idx="795">
                  <c:v>2054.5404484296268</c:v>
                </c:pt>
                <c:pt idx="796">
                  <c:v>2044.1605261657567</c:v>
                </c:pt>
                <c:pt idx="797">
                  <c:v>2033.7139044911301</c:v>
                </c:pt>
                <c:pt idx="798">
                  <c:v>2023.2010158138191</c:v>
                </c:pt>
                <c:pt idx="799">
                  <c:v>2012.6222935712124</c:v>
                </c:pt>
                <c:pt idx="800">
                  <c:v>2001.9781721824997</c:v>
                </c:pt>
                <c:pt idx="801">
                  <c:v>1991.269087001335</c:v>
                </c:pt>
                <c:pt idx="802">
                  <c:v>1980.4954742686837</c:v>
                </c:pt>
                <c:pt idx="803">
                  <c:v>1969.6577710658651</c:v>
                </c:pt>
                <c:pt idx="804">
                  <c:v>1958.7564152677969</c:v>
                </c:pt>
                <c:pt idx="805">
                  <c:v>1947.7918454964502</c:v>
                </c:pt>
                <c:pt idx="806">
                  <c:v>1936.7645010745239</c:v>
                </c:pt>
                <c:pt idx="807">
                  <c:v>1925.6748219793449</c:v>
                </c:pt>
                <c:pt idx="808">
                  <c:v>1914.523248797004</c:v>
                </c:pt>
                <c:pt idx="809">
                  <c:v>1903.3102226767335</c:v>
                </c:pt>
                <c:pt idx="810">
                  <c:v>1892.0361852855342</c:v>
                </c:pt>
                <c:pt idx="811">
                  <c:v>1880.7015787630612</c:v>
                </c:pt>
                <c:pt idx="812">
                  <c:v>1869.3068456767733</c:v>
                </c:pt>
                <c:pt idx="813">
                  <c:v>1857.8524289773545</c:v>
                </c:pt>
                <c:pt idx="814">
                  <c:v>1846.3387719544146</c:v>
                </c:pt>
                <c:pt idx="815">
                  <c:v>1834.7663181924754</c:v>
                </c:pt>
                <c:pt idx="816">
                  <c:v>1823.1355115272502</c:v>
                </c:pt>
                <c:pt idx="817">
                  <c:v>1811.4467960022214</c:v>
                </c:pt>
                <c:pt idx="818">
                  <c:v>1799.7006158255251</c:v>
                </c:pt>
                <c:pt idx="819">
                  <c:v>1787.8974153271472</c:v>
                </c:pt>
                <c:pt idx="820">
                  <c:v>1776.0376389164378</c:v>
                </c:pt>
                <c:pt idx="821">
                  <c:v>1764.1217310399502</c:v>
                </c:pt>
                <c:pt idx="822">
                  <c:v>1752.1501361396101</c:v>
                </c:pt>
                <c:pt idx="823">
                  <c:v>1740.1232986112213</c:v>
                </c:pt>
                <c:pt idx="824">
                  <c:v>1728.0416627633128</c:v>
                </c:pt>
                <c:pt idx="825">
                  <c:v>1715.9056727763332</c:v>
                </c:pt>
                <c:pt idx="826">
                  <c:v>1703.7157726621972</c:v>
                </c:pt>
                <c:pt idx="827">
                  <c:v>1691.4724062241917</c:v>
                </c:pt>
                <c:pt idx="828">
                  <c:v>1679.1760170172424</c:v>
                </c:pt>
                <c:pt idx="829">
                  <c:v>1666.8270483085498</c:v>
                </c:pt>
                <c:pt idx="830">
                  <c:v>1654.4259430385973</c:v>
                </c:pt>
                <c:pt idx="831">
                  <c:v>1641.9731437825355</c:v>
                </c:pt>
                <c:pt idx="832">
                  <c:v>1629.4690927119502</c:v>
                </c:pt>
                <c:pt idx="833">
                  <c:v>1616.9142315570139</c:v>
                </c:pt>
                <c:pt idx="834">
                  <c:v>1604.3090015690286</c:v>
                </c:pt>
                <c:pt idx="835">
                  <c:v>1591.6538434833635</c:v>
                </c:pt>
                <c:pt idx="836">
                  <c:v>1578.9491974827886</c:v>
                </c:pt>
                <c:pt idx="837">
                  <c:v>1566.1955031612115</c:v>
                </c:pt>
                <c:pt idx="838">
                  <c:v>1553.3931994878194</c:v>
                </c:pt>
                <c:pt idx="839">
                  <c:v>1540.5427247716289</c:v>
                </c:pt>
                <c:pt idx="840">
                  <c:v>1527.6445166264484</c:v>
                </c:pt>
                <c:pt idx="841">
                  <c:v>1514.6990119362558</c:v>
                </c:pt>
                <c:pt idx="842">
                  <c:v>1501.7066468209935</c:v>
                </c:pt>
                <c:pt idx="843">
                  <c:v>1488.6678566027852</c:v>
                </c:pt>
                <c:pt idx="844">
                  <c:v>1475.5830757725755</c:v>
                </c:pt>
                <c:pt idx="845">
                  <c:v>1462.4527379571969</c:v>
                </c:pt>
                <c:pt idx="846">
                  <c:v>1449.2772758868634</c:v>
                </c:pt>
                <c:pt idx="847">
                  <c:v>1436.0571213630976</c:v>
                </c:pt>
                <c:pt idx="848">
                  <c:v>1422.7927052270882</c:v>
                </c:pt>
                <c:pt idx="849">
                  <c:v>1409.4844573284843</c:v>
                </c:pt>
                <c:pt idx="850">
                  <c:v>1396.1328064946258</c:v>
                </c:pt>
                <c:pt idx="851">
                  <c:v>1382.7381805002126</c:v>
                </c:pt>
                <c:pt idx="852">
                  <c:v>1369.3010060374133</c:v>
                </c:pt>
                <c:pt idx="853">
                  <c:v>1355.8217086864167</c:v>
                </c:pt>
                <c:pt idx="854">
                  <c:v>1342.3007128864249</c:v>
                </c:pt>
                <c:pt idx="855">
                  <c:v>1328.7384419070909</c:v>
                </c:pt>
                <c:pt idx="856">
                  <c:v>1315.1353178204015</c:v>
                </c:pt>
                <c:pt idx="857">
                  <c:v>1301.4917614730061</c:v>
                </c:pt>
                <c:pt idx="858">
                  <c:v>1287.8081924589917</c:v>
                </c:pt>
                <c:pt idx="859">
                  <c:v>1274.085029093106</c:v>
                </c:pt>
                <c:pt idx="860">
                  <c:v>1260.3226883844277</c:v>
                </c:pt>
                <c:pt idx="861">
                  <c:v>1246.5215860104861</c:v>
                </c:pt>
                <c:pt idx="862">
                  <c:v>1232.6821362918274</c:v>
                </c:pt>
                <c:pt idx="863">
                  <c:v>1218.8047521670321</c:v>
                </c:pt>
                <c:pt idx="864">
                  <c:v>1204.8898451681791</c:v>
                </c:pt>
                <c:pt idx="865">
                  <c:v>1190.9378253967591</c:v>
                </c:pt>
                <c:pt idx="866">
                  <c:v>1176.9491015000365</c:v>
                </c:pt>
                <c:pt idx="867">
                  <c:v>1162.9240806478595</c:v>
                </c:pt>
                <c:pt idx="868">
                  <c:v>1148.8631685099169</c:v>
                </c:pt>
                <c:pt idx="869">
                  <c:v>1134.766769233443</c:v>
                </c:pt>
                <c:pt idx="870">
                  <c:v>1120.6352854213678</c:v>
                </c:pt>
                <c:pt idx="871">
                  <c:v>1106.469118110914</c:v>
                </c:pt>
                <c:pt idx="872">
                  <c:v>1092.2686667526366</c:v>
                </c:pt>
                <c:pt idx="873">
                  <c:v>1078.0343291899087</c:v>
                </c:pt>
                <c:pt idx="874">
                  <c:v>1063.7665016388476</c:v>
                </c:pt>
                <c:pt idx="875">
                  <c:v>1049.4655786686831</c:v>
                </c:pt>
                <c:pt idx="876">
                  <c:v>1035.1319531825661</c:v>
                </c:pt>
                <c:pt idx="877">
                  <c:v>1020.7660163988155</c:v>
                </c:pt>
                <c:pt idx="878">
                  <c:v>1006.3681578326011</c:v>
                </c:pt>
                <c:pt idx="879">
                  <c:v>991.9387652780639</c:v>
                </c:pt>
                <c:pt idx="880">
                  <c:v>977.47822479086813</c:v>
                </c:pt>
                <c:pt idx="881">
                  <c:v>962.98692067118679</c:v>
                </c:pt>
                <c:pt idx="882">
                  <c:v>948.46523544711613</c:v>
                </c:pt>
                <c:pt idx="883">
                  <c:v>933.91354985851888</c:v>
                </c:pt>
                <c:pt idx="884">
                  <c:v>919.3322428412929</c:v>
                </c:pt>
                <c:pt idx="885">
                  <c:v>904.72169151206401</c:v>
                </c:pt>
                <c:pt idx="886">
                  <c:v>890.08227115330044</c:v>
                </c:pt>
                <c:pt idx="887">
                  <c:v>875.41435519884647</c:v>
                </c:pt>
                <c:pt idx="888">
                  <c:v>860.71831521987292</c:v>
                </c:pt>
                <c:pt idx="889">
                  <c:v>845.99452091124215</c:v>
                </c:pt>
                <c:pt idx="890">
                  <c:v>831.24334007828497</c:v>
                </c:pt>
                <c:pt idx="891">
                  <c:v>816.46513862398695</c:v>
                </c:pt>
                <c:pt idx="892">
                  <c:v>801.6602805365809</c:v>
                </c:pt>
                <c:pt idx="893">
                  <c:v>786.82912787754367</c:v>
                </c:pt>
                <c:pt idx="894">
                  <c:v>771.97204076999367</c:v>
                </c:pt>
                <c:pt idx="895">
                  <c:v>757.08937738748682</c:v>
                </c:pt>
                <c:pt idx="896">
                  <c:v>742.18149394320722</c:v>
                </c:pt>
                <c:pt idx="897">
                  <c:v>727.24874467955033</c:v>
                </c:pt>
                <c:pt idx="898">
                  <c:v>712.29148185809527</c:v>
                </c:pt>
                <c:pt idx="899">
                  <c:v>697.31005574996288</c:v>
                </c:pt>
                <c:pt idx="900">
                  <c:v>682.30481462655666</c:v>
                </c:pt>
                <c:pt idx="901">
                  <c:v>667.27610475068332</c:v>
                </c:pt>
                <c:pt idx="902">
                  <c:v>652.22427036804947</c:v>
                </c:pt>
                <c:pt idx="903">
                  <c:v>637.1496536991317</c:v>
                </c:pt>
                <c:pt idx="904">
                  <c:v>622.05259493141534</c:v>
                </c:pt>
                <c:pt idx="905">
                  <c:v>606.93343221199996</c:v>
                </c:pt>
                <c:pt idx="906">
                  <c:v>591.79250164056759</c:v>
                </c:pt>
                <c:pt idx="907">
                  <c:v>576.63013726270958</c:v>
                </c:pt>
                <c:pt idx="908">
                  <c:v>561.44667106360953</c:v>
                </c:pt>
                <c:pt idx="909">
                  <c:v>546.24243296207783</c:v>
                </c:pt>
                <c:pt idx="910">
                  <c:v>531.01775080493462</c:v>
                </c:pt>
                <c:pt idx="911">
                  <c:v>515.77295036173746</c:v>
                </c:pt>
                <c:pt idx="912">
                  <c:v>500.50835531985018</c:v>
                </c:pt>
                <c:pt idx="913">
                  <c:v>485.22428727984862</c:v>
                </c:pt>
                <c:pt idx="914">
                  <c:v>469.92106575126002</c:v>
                </c:pt>
                <c:pt idx="915">
                  <c:v>454.59900814863209</c:v>
                </c:pt>
                <c:pt idx="916">
                  <c:v>439.25842978792804</c:v>
                </c:pt>
                <c:pt idx="917">
                  <c:v>423.89964388324353</c:v>
                </c:pt>
                <c:pt idx="918">
                  <c:v>408.52296154384186</c:v>
                </c:pt>
                <c:pt idx="919">
                  <c:v>393.1286917715035</c:v>
                </c:pt>
                <c:pt idx="920">
                  <c:v>377.71714145818578</c:v>
                </c:pt>
                <c:pt idx="921">
                  <c:v>362.28861538398957</c:v>
                </c:pt>
                <c:pt idx="922">
                  <c:v>346.84341621542785</c:v>
                </c:pt>
                <c:pt idx="923">
                  <c:v>331.38184450399336</c:v>
                </c:pt>
                <c:pt idx="924">
                  <c:v>315.90419868502067</c:v>
                </c:pt>
                <c:pt idx="925">
                  <c:v>300.410775076839</c:v>
                </c:pt>
                <c:pt idx="926">
                  <c:v>284.90186788021157</c:v>
                </c:pt>
                <c:pt idx="927">
                  <c:v>269.37776917805775</c:v>
                </c:pt>
                <c:pt idx="928">
                  <c:v>253.83876893545366</c:v>
                </c:pt>
                <c:pt idx="929">
                  <c:v>238.28515499990777</c:v>
                </c:pt>
                <c:pt idx="930">
                  <c:v>222.71721310190696</c:v>
                </c:pt>
                <c:pt idx="931">
                  <c:v>207.13522685572906</c:v>
                </c:pt>
                <c:pt idx="932">
                  <c:v>191.53947776051825</c:v>
                </c:pt>
                <c:pt idx="933">
                  <c:v>175.93024520161896</c:v>
                </c:pt>
                <c:pt idx="934">
                  <c:v>160.30780645216433</c:v>
                </c:pt>
                <c:pt idx="935">
                  <c:v>144.67243667491525</c:v>
                </c:pt>
                <c:pt idx="936">
                  <c:v>129.02440892434592</c:v>
                </c:pt>
                <c:pt idx="937">
                  <c:v>113.36399414897203</c:v>
                </c:pt>
                <c:pt idx="938">
                  <c:v>97.691461193917377</c:v>
                </c:pt>
                <c:pt idx="939">
                  <c:v>82.007076803715151</c:v>
                </c:pt>
                <c:pt idx="940">
                  <c:v>66.311105625339664</c:v>
                </c:pt>
                <c:pt idx="941">
                  <c:v>50.603810211464726</c:v>
                </c:pt>
                <c:pt idx="942">
                  <c:v>34.885451023944647</c:v>
                </c:pt>
                <c:pt idx="943">
                  <c:v>19.15628643751387</c:v>
                </c:pt>
                <c:pt idx="944">
                  <c:v>3.4165727437013285</c:v>
                </c:pt>
                <c:pt idx="945">
                  <c:v>-12.33343584504439</c:v>
                </c:pt>
                <c:pt idx="946">
                  <c:v>-12.349190942745714</c:v>
                </c:pt>
                <c:pt idx="947">
                  <c:v>-12.364946050364122</c:v>
                </c:pt>
                <c:pt idx="948">
                  <c:v>-12.380701167899362</c:v>
                </c:pt>
                <c:pt idx="949">
                  <c:v>-12.396456295351188</c:v>
                </c:pt>
                <c:pt idx="950">
                  <c:v>-12.412211432719349</c:v>
                </c:pt>
                <c:pt idx="951">
                  <c:v>-12.427966580003599</c:v>
                </c:pt>
                <c:pt idx="952">
                  <c:v>-12.443721737203687</c:v>
                </c:pt>
                <c:pt idx="953">
                  <c:v>-12.459476904319365</c:v>
                </c:pt>
                <c:pt idx="954">
                  <c:v>-12.475232081350384</c:v>
                </c:pt>
                <c:pt idx="955">
                  <c:v>-12.490987268296497</c:v>
                </c:pt>
                <c:pt idx="956">
                  <c:v>-12.506742465157453</c:v>
                </c:pt>
                <c:pt idx="957">
                  <c:v>-12.522497671933005</c:v>
                </c:pt>
                <c:pt idx="958">
                  <c:v>-12.538252888622903</c:v>
                </c:pt>
                <c:pt idx="959">
                  <c:v>-12.5540081152269</c:v>
                </c:pt>
                <c:pt idx="960">
                  <c:v>-12.569763351744745</c:v>
                </c:pt>
                <c:pt idx="961">
                  <c:v>-12.585518598176193</c:v>
                </c:pt>
                <c:pt idx="962">
                  <c:v>-12.601273854520993</c:v>
                </c:pt>
                <c:pt idx="963">
                  <c:v>-12.617029120778897</c:v>
                </c:pt>
                <c:pt idx="964">
                  <c:v>-12.632784396949656</c:v>
                </c:pt>
                <c:pt idx="965">
                  <c:v>-12.648539683033022</c:v>
                </c:pt>
                <c:pt idx="966">
                  <c:v>-12.664294979028744</c:v>
                </c:pt>
                <c:pt idx="967">
                  <c:v>-12.680050284936577</c:v>
                </c:pt>
                <c:pt idx="968">
                  <c:v>-12.69580560075627</c:v>
                </c:pt>
                <c:pt idx="969">
                  <c:v>-12.711560926487575</c:v>
                </c:pt>
                <c:pt idx="970">
                  <c:v>-12.727316262130243</c:v>
                </c:pt>
                <c:pt idx="971">
                  <c:v>-12.743071607684026</c:v>
                </c:pt>
                <c:pt idx="972">
                  <c:v>-12.758826963148675</c:v>
                </c:pt>
                <c:pt idx="973">
                  <c:v>-12.774582328523941</c:v>
                </c:pt>
                <c:pt idx="974">
                  <c:v>-12.790337703809577</c:v>
                </c:pt>
                <c:pt idx="975">
                  <c:v>-12.806093089005332</c:v>
                </c:pt>
                <c:pt idx="976">
                  <c:v>-12.821848484110959</c:v>
                </c:pt>
                <c:pt idx="977">
                  <c:v>-12.837603889126209</c:v>
                </c:pt>
                <c:pt idx="978">
                  <c:v>-12.853359304050834</c:v>
                </c:pt>
                <c:pt idx="979">
                  <c:v>-12.869114728884584</c:v>
                </c:pt>
                <c:pt idx="980">
                  <c:v>-12.884870163627212</c:v>
                </c:pt>
                <c:pt idx="981">
                  <c:v>-12.900625608278469</c:v>
                </c:pt>
                <c:pt idx="982">
                  <c:v>-12.916381062838106</c:v>
                </c:pt>
                <c:pt idx="983">
                  <c:v>-12.932136527305873</c:v>
                </c:pt>
                <c:pt idx="984">
                  <c:v>-12.947892001681524</c:v>
                </c:pt>
                <c:pt idx="985">
                  <c:v>-12.963647485964808</c:v>
                </c:pt>
                <c:pt idx="986">
                  <c:v>-12.979402980155479</c:v>
                </c:pt>
                <c:pt idx="987">
                  <c:v>-12.995158484253286</c:v>
                </c:pt>
                <c:pt idx="988">
                  <c:v>-13.010913998257982</c:v>
                </c:pt>
                <c:pt idx="989">
                  <c:v>-13.026669522169318</c:v>
                </c:pt>
                <c:pt idx="990">
                  <c:v>-13.042425055987044</c:v>
                </c:pt>
                <c:pt idx="991">
                  <c:v>-13.058180599710914</c:v>
                </c:pt>
                <c:pt idx="992">
                  <c:v>-13.073936153340679</c:v>
                </c:pt>
                <c:pt idx="993">
                  <c:v>-13.089691716876088</c:v>
                </c:pt>
                <c:pt idx="994">
                  <c:v>-13.105447290316894</c:v>
                </c:pt>
                <c:pt idx="995">
                  <c:v>-13.121202873662849</c:v>
                </c:pt>
                <c:pt idx="996">
                  <c:v>-13.136958466913704</c:v>
                </c:pt>
                <c:pt idx="997">
                  <c:v>-13.15271407006921</c:v>
                </c:pt>
                <c:pt idx="998">
                  <c:v>-13.168469683129119</c:v>
                </c:pt>
                <c:pt idx="999">
                  <c:v>-13.184225306093182</c:v>
                </c:pt>
                <c:pt idx="1000">
                  <c:v>-13.199980938961151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BC-E84B-8A2E-77A3E8DE6A60}"/>
            </c:ext>
          </c:extLst>
        </c:ser>
        <c:ser>
          <c:idx val="2"/>
          <c:order val="3"/>
          <c:tx>
            <c:strRef>
              <c:f>Trajecto!$B$108</c:f>
              <c:strCache>
                <c:ptCount val="1"/>
                <c:pt idx="0">
                  <c:v>Fusée sous parachute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BC-E84B-8A2E-77A3E8DE6A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Trajecto!$B$131:$B$137</c:f>
              <c:numCache>
                <c:formatCode>0.0</c:formatCode>
                <c:ptCount val="7"/>
                <c:pt idx="0">
                  <c:v>22</c:v>
                </c:pt>
                <c:pt idx="1">
                  <c:v>159.32219023826519</c:v>
                </c:pt>
                <c:pt idx="2">
                  <c:v>296.64438047653039</c:v>
                </c:pt>
                <c:pt idx="3">
                  <c:v>294.53648670596596</c:v>
                </c:pt>
                <c:pt idx="4">
                  <c:v>296.64438047653039</c:v>
                </c:pt>
                <c:pt idx="5">
                  <c:v>289.58648670596591</c:v>
                </c:pt>
                <c:pt idx="6">
                  <c:v>296.64438047653039</c:v>
                </c:pt>
              </c:numCache>
            </c:numRef>
          </c:xVal>
          <c:yVal>
            <c:numRef>
              <c:f>Trajecto!$C$129:$C$135</c:f>
              <c:numCache>
                <c:formatCode>0</c:formatCode>
                <c:ptCount val="7"/>
                <c:pt idx="0">
                  <c:v>2706.5771108179933</c:v>
                </c:pt>
                <c:pt idx="1">
                  <c:v>1353.2885554089967</c:v>
                </c:pt>
                <c:pt idx="2">
                  <c:v>0</c:v>
                </c:pt>
                <c:pt idx="3">
                  <c:v>66.111427367540315</c:v>
                </c:pt>
                <c:pt idx="4">
                  <c:v>0</c:v>
                </c:pt>
                <c:pt idx="5">
                  <c:v>24.27149490023011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BC-E84B-8A2E-77A3E8DE6A60}"/>
            </c:ext>
          </c:extLst>
        </c:ser>
        <c:ser>
          <c:idx val="3"/>
          <c:order val="4"/>
          <c:tx>
            <c:strRef>
              <c:f>Trajecto!$B$109</c:f>
              <c:strCache>
                <c:ptCount val="1"/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FF66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BC-E84B-8A2E-77A3E8DE6A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Trajecto!$B$148:$B$154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Trajecto!$C$146:$C$152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BC-E84B-8A2E-77A3E8DE6A60}"/>
            </c:ext>
          </c:extLst>
        </c:ser>
        <c:ser>
          <c:idx val="5"/>
          <c:order val="5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5.0999999999999375</c:v>
                </c:pt>
                <c:pt idx="502">
                  <c:v>5.1999999999999371</c:v>
                </c:pt>
                <c:pt idx="503">
                  <c:v>5.2999999999999368</c:v>
                </c:pt>
                <c:pt idx="504">
                  <c:v>5.3999999999999364</c:v>
                </c:pt>
                <c:pt idx="505">
                  <c:v>5.4999999999999361</c:v>
                </c:pt>
                <c:pt idx="506">
                  <c:v>5.5999999999999357</c:v>
                </c:pt>
                <c:pt idx="507">
                  <c:v>5.6999999999999353</c:v>
                </c:pt>
                <c:pt idx="508">
                  <c:v>5.799999999999935</c:v>
                </c:pt>
                <c:pt idx="509">
                  <c:v>5.8999999999999346</c:v>
                </c:pt>
                <c:pt idx="510">
                  <c:v>5.9999999999999343</c:v>
                </c:pt>
                <c:pt idx="511">
                  <c:v>6.0999999999999339</c:v>
                </c:pt>
                <c:pt idx="512">
                  <c:v>6.1999999999999336</c:v>
                </c:pt>
                <c:pt idx="513">
                  <c:v>6.2999999999999332</c:v>
                </c:pt>
                <c:pt idx="514">
                  <c:v>6.3999999999999329</c:v>
                </c:pt>
                <c:pt idx="515">
                  <c:v>6.4999999999999325</c:v>
                </c:pt>
                <c:pt idx="516">
                  <c:v>6.5999999999999321</c:v>
                </c:pt>
                <c:pt idx="517">
                  <c:v>6.6999999999999318</c:v>
                </c:pt>
                <c:pt idx="518">
                  <c:v>6.7999999999999314</c:v>
                </c:pt>
                <c:pt idx="519">
                  <c:v>6.8999999999999311</c:v>
                </c:pt>
                <c:pt idx="520">
                  <c:v>6.9999999999999307</c:v>
                </c:pt>
                <c:pt idx="521">
                  <c:v>7.0999999999999304</c:v>
                </c:pt>
                <c:pt idx="522">
                  <c:v>7.19999999999993</c:v>
                </c:pt>
                <c:pt idx="523">
                  <c:v>7.2999999999999297</c:v>
                </c:pt>
                <c:pt idx="524">
                  <c:v>7.3999999999999293</c:v>
                </c:pt>
                <c:pt idx="525">
                  <c:v>7.4999999999999289</c:v>
                </c:pt>
                <c:pt idx="526">
                  <c:v>7.5999999999999286</c:v>
                </c:pt>
                <c:pt idx="527">
                  <c:v>7.6999999999999282</c:v>
                </c:pt>
                <c:pt idx="528">
                  <c:v>7.7999999999999279</c:v>
                </c:pt>
                <c:pt idx="529">
                  <c:v>7.8999999999999275</c:v>
                </c:pt>
                <c:pt idx="530">
                  <c:v>7.9999999999999272</c:v>
                </c:pt>
                <c:pt idx="531">
                  <c:v>8.0999999999999268</c:v>
                </c:pt>
                <c:pt idx="532">
                  <c:v>8.1999999999999265</c:v>
                </c:pt>
                <c:pt idx="533">
                  <c:v>8.2999999999999261</c:v>
                </c:pt>
                <c:pt idx="534">
                  <c:v>8.3999999999999257</c:v>
                </c:pt>
                <c:pt idx="535">
                  <c:v>8.4999999999999254</c:v>
                </c:pt>
                <c:pt idx="536">
                  <c:v>8.599999999999925</c:v>
                </c:pt>
                <c:pt idx="537">
                  <c:v>8.6999999999999247</c:v>
                </c:pt>
                <c:pt idx="538">
                  <c:v>8.7999999999999243</c:v>
                </c:pt>
                <c:pt idx="539">
                  <c:v>8.899999999999924</c:v>
                </c:pt>
                <c:pt idx="540">
                  <c:v>8.9999999999999236</c:v>
                </c:pt>
                <c:pt idx="541">
                  <c:v>9.0999999999999233</c:v>
                </c:pt>
                <c:pt idx="542">
                  <c:v>9.1999999999999229</c:v>
                </c:pt>
                <c:pt idx="543">
                  <c:v>9.2999999999999226</c:v>
                </c:pt>
                <c:pt idx="544">
                  <c:v>9.3999999999999222</c:v>
                </c:pt>
                <c:pt idx="545">
                  <c:v>9.4999999999999218</c:v>
                </c:pt>
                <c:pt idx="546">
                  <c:v>9.5999999999999215</c:v>
                </c:pt>
                <c:pt idx="547">
                  <c:v>9.6999999999999211</c:v>
                </c:pt>
                <c:pt idx="548">
                  <c:v>9.7999999999999208</c:v>
                </c:pt>
                <c:pt idx="549">
                  <c:v>9.8999999999999204</c:v>
                </c:pt>
                <c:pt idx="550">
                  <c:v>9.9999999999999201</c:v>
                </c:pt>
                <c:pt idx="551">
                  <c:v>10.09999999999992</c:v>
                </c:pt>
                <c:pt idx="552">
                  <c:v>10.199999999999919</c:v>
                </c:pt>
                <c:pt idx="553">
                  <c:v>10.299999999999919</c:v>
                </c:pt>
                <c:pt idx="554">
                  <c:v>10.399999999999919</c:v>
                </c:pt>
                <c:pt idx="555">
                  <c:v>10.499999999999918</c:v>
                </c:pt>
                <c:pt idx="556">
                  <c:v>10.599999999999918</c:v>
                </c:pt>
                <c:pt idx="557">
                  <c:v>10.699999999999918</c:v>
                </c:pt>
                <c:pt idx="558">
                  <c:v>10.799999999999917</c:v>
                </c:pt>
                <c:pt idx="559">
                  <c:v>10.899999999999917</c:v>
                </c:pt>
                <c:pt idx="560">
                  <c:v>10.999999999999917</c:v>
                </c:pt>
                <c:pt idx="561">
                  <c:v>11.099999999999916</c:v>
                </c:pt>
                <c:pt idx="562">
                  <c:v>11.199999999999916</c:v>
                </c:pt>
                <c:pt idx="563">
                  <c:v>11.299999999999915</c:v>
                </c:pt>
                <c:pt idx="564">
                  <c:v>11.399999999999915</c:v>
                </c:pt>
                <c:pt idx="565">
                  <c:v>11.499999999999915</c:v>
                </c:pt>
                <c:pt idx="566">
                  <c:v>11.599999999999914</c:v>
                </c:pt>
                <c:pt idx="567">
                  <c:v>11.699999999999914</c:v>
                </c:pt>
                <c:pt idx="568">
                  <c:v>11.799999999999914</c:v>
                </c:pt>
                <c:pt idx="569">
                  <c:v>11.899999999999913</c:v>
                </c:pt>
                <c:pt idx="570">
                  <c:v>11.999999999999913</c:v>
                </c:pt>
                <c:pt idx="571">
                  <c:v>12.099999999999913</c:v>
                </c:pt>
                <c:pt idx="572">
                  <c:v>12.199999999999912</c:v>
                </c:pt>
                <c:pt idx="573">
                  <c:v>12.299999999999912</c:v>
                </c:pt>
                <c:pt idx="574">
                  <c:v>12.399999999999912</c:v>
                </c:pt>
                <c:pt idx="575">
                  <c:v>12.499999999999911</c:v>
                </c:pt>
                <c:pt idx="576">
                  <c:v>12.599999999999911</c:v>
                </c:pt>
                <c:pt idx="577">
                  <c:v>12.69999999999991</c:v>
                </c:pt>
                <c:pt idx="578">
                  <c:v>12.79999999999991</c:v>
                </c:pt>
                <c:pt idx="579">
                  <c:v>12.89999999999991</c:v>
                </c:pt>
                <c:pt idx="580">
                  <c:v>12.999999999999909</c:v>
                </c:pt>
                <c:pt idx="581">
                  <c:v>13.099999999999909</c:v>
                </c:pt>
                <c:pt idx="582">
                  <c:v>13.199999999999909</c:v>
                </c:pt>
                <c:pt idx="583">
                  <c:v>13.299999999999908</c:v>
                </c:pt>
                <c:pt idx="584">
                  <c:v>13.399999999999908</c:v>
                </c:pt>
                <c:pt idx="585">
                  <c:v>13.499999999999908</c:v>
                </c:pt>
                <c:pt idx="586">
                  <c:v>13.599999999999907</c:v>
                </c:pt>
                <c:pt idx="587">
                  <c:v>13.699999999999907</c:v>
                </c:pt>
                <c:pt idx="588">
                  <c:v>13.799999999999907</c:v>
                </c:pt>
                <c:pt idx="589">
                  <c:v>13.899999999999906</c:v>
                </c:pt>
                <c:pt idx="590">
                  <c:v>13.999999999999906</c:v>
                </c:pt>
                <c:pt idx="591">
                  <c:v>14.099999999999905</c:v>
                </c:pt>
                <c:pt idx="592">
                  <c:v>14.199999999999905</c:v>
                </c:pt>
                <c:pt idx="593">
                  <c:v>14.299999999999905</c:v>
                </c:pt>
                <c:pt idx="594">
                  <c:v>14.399999999999904</c:v>
                </c:pt>
                <c:pt idx="595">
                  <c:v>14.499999999999904</c:v>
                </c:pt>
                <c:pt idx="596">
                  <c:v>14.599999999999904</c:v>
                </c:pt>
                <c:pt idx="597">
                  <c:v>14.699999999999903</c:v>
                </c:pt>
                <c:pt idx="598">
                  <c:v>14.799999999999903</c:v>
                </c:pt>
                <c:pt idx="599">
                  <c:v>14.899999999999903</c:v>
                </c:pt>
                <c:pt idx="600">
                  <c:v>14.999999999999902</c:v>
                </c:pt>
                <c:pt idx="601">
                  <c:v>15.099999999999902</c:v>
                </c:pt>
                <c:pt idx="602">
                  <c:v>15.199999999999902</c:v>
                </c:pt>
                <c:pt idx="603">
                  <c:v>15.299999999999901</c:v>
                </c:pt>
                <c:pt idx="604">
                  <c:v>15.399999999999901</c:v>
                </c:pt>
                <c:pt idx="605">
                  <c:v>15.499999999999901</c:v>
                </c:pt>
                <c:pt idx="606">
                  <c:v>15.5999999999999</c:v>
                </c:pt>
                <c:pt idx="607">
                  <c:v>15.6999999999999</c:v>
                </c:pt>
                <c:pt idx="608">
                  <c:v>15.799999999999899</c:v>
                </c:pt>
                <c:pt idx="609">
                  <c:v>15.899999999999899</c:v>
                </c:pt>
                <c:pt idx="610">
                  <c:v>15.999999999999899</c:v>
                </c:pt>
                <c:pt idx="611">
                  <c:v>16.099999999999898</c:v>
                </c:pt>
                <c:pt idx="612">
                  <c:v>16.1999999999999</c:v>
                </c:pt>
                <c:pt idx="613">
                  <c:v>16.299999999999901</c:v>
                </c:pt>
                <c:pt idx="614">
                  <c:v>16.399999999999903</c:v>
                </c:pt>
                <c:pt idx="615">
                  <c:v>16.499999999999904</c:v>
                </c:pt>
                <c:pt idx="616">
                  <c:v>16.599999999999905</c:v>
                </c:pt>
                <c:pt idx="617">
                  <c:v>16.699999999999907</c:v>
                </c:pt>
                <c:pt idx="618">
                  <c:v>16.799999999999908</c:v>
                </c:pt>
                <c:pt idx="619">
                  <c:v>16.89999999999991</c:v>
                </c:pt>
                <c:pt idx="620">
                  <c:v>16.999999999999911</c:v>
                </c:pt>
                <c:pt idx="621">
                  <c:v>17.099999999999913</c:v>
                </c:pt>
                <c:pt idx="622">
                  <c:v>17.199999999999914</c:v>
                </c:pt>
                <c:pt idx="623">
                  <c:v>17.299999999999915</c:v>
                </c:pt>
                <c:pt idx="624">
                  <c:v>17.399999999999917</c:v>
                </c:pt>
                <c:pt idx="625">
                  <c:v>17.499999999999918</c:v>
                </c:pt>
                <c:pt idx="626">
                  <c:v>17.59999999999992</c:v>
                </c:pt>
                <c:pt idx="627">
                  <c:v>17.699999999999921</c:v>
                </c:pt>
                <c:pt idx="628">
                  <c:v>17.799999999999923</c:v>
                </c:pt>
                <c:pt idx="629">
                  <c:v>17.899999999999924</c:v>
                </c:pt>
                <c:pt idx="630">
                  <c:v>17.999999999999925</c:v>
                </c:pt>
                <c:pt idx="631">
                  <c:v>18.099999999999927</c:v>
                </c:pt>
                <c:pt idx="632">
                  <c:v>18.199999999999928</c:v>
                </c:pt>
                <c:pt idx="633">
                  <c:v>18.29999999999993</c:v>
                </c:pt>
                <c:pt idx="634">
                  <c:v>18.399999999999931</c:v>
                </c:pt>
                <c:pt idx="635">
                  <c:v>18.499999999999932</c:v>
                </c:pt>
                <c:pt idx="636">
                  <c:v>18.599999999999934</c:v>
                </c:pt>
                <c:pt idx="637">
                  <c:v>18.699999999999935</c:v>
                </c:pt>
                <c:pt idx="638">
                  <c:v>18.799999999999937</c:v>
                </c:pt>
                <c:pt idx="639">
                  <c:v>18.899999999999938</c:v>
                </c:pt>
                <c:pt idx="640">
                  <c:v>18.99999999999994</c:v>
                </c:pt>
                <c:pt idx="641">
                  <c:v>19.099999999999941</c:v>
                </c:pt>
                <c:pt idx="642">
                  <c:v>19.199999999999942</c:v>
                </c:pt>
                <c:pt idx="643">
                  <c:v>19.299999999999944</c:v>
                </c:pt>
                <c:pt idx="644">
                  <c:v>19.399999999999945</c:v>
                </c:pt>
                <c:pt idx="645">
                  <c:v>19.499999999999947</c:v>
                </c:pt>
                <c:pt idx="646">
                  <c:v>19.599999999999948</c:v>
                </c:pt>
                <c:pt idx="647">
                  <c:v>19.69999999999995</c:v>
                </c:pt>
                <c:pt idx="648">
                  <c:v>19.799999999999951</c:v>
                </c:pt>
                <c:pt idx="649">
                  <c:v>19.899999999999952</c:v>
                </c:pt>
                <c:pt idx="650">
                  <c:v>19.999999999999954</c:v>
                </c:pt>
                <c:pt idx="651">
                  <c:v>20.099999999999955</c:v>
                </c:pt>
                <c:pt idx="652">
                  <c:v>20.199999999999957</c:v>
                </c:pt>
                <c:pt idx="653">
                  <c:v>20.299999999999958</c:v>
                </c:pt>
                <c:pt idx="654">
                  <c:v>20.399999999999959</c:v>
                </c:pt>
                <c:pt idx="655">
                  <c:v>20.499999999999961</c:v>
                </c:pt>
                <c:pt idx="656">
                  <c:v>20.599999999999962</c:v>
                </c:pt>
                <c:pt idx="657">
                  <c:v>20.699999999999964</c:v>
                </c:pt>
                <c:pt idx="658">
                  <c:v>20.799999999999965</c:v>
                </c:pt>
                <c:pt idx="659">
                  <c:v>20.899999999999967</c:v>
                </c:pt>
                <c:pt idx="660">
                  <c:v>20.999999999999968</c:v>
                </c:pt>
                <c:pt idx="661">
                  <c:v>21.099999999999969</c:v>
                </c:pt>
                <c:pt idx="662">
                  <c:v>21.199999999999971</c:v>
                </c:pt>
                <c:pt idx="663">
                  <c:v>21.299999999999972</c:v>
                </c:pt>
                <c:pt idx="664">
                  <c:v>21.399999999999974</c:v>
                </c:pt>
                <c:pt idx="665">
                  <c:v>21.499999999999975</c:v>
                </c:pt>
                <c:pt idx="666">
                  <c:v>21.599999999999977</c:v>
                </c:pt>
                <c:pt idx="667">
                  <c:v>21.699999999999978</c:v>
                </c:pt>
                <c:pt idx="668">
                  <c:v>21.799999999999979</c:v>
                </c:pt>
                <c:pt idx="669">
                  <c:v>21.899999999999981</c:v>
                </c:pt>
                <c:pt idx="670">
                  <c:v>21.999999999999982</c:v>
                </c:pt>
                <c:pt idx="671">
                  <c:v>22.099999999999984</c:v>
                </c:pt>
                <c:pt idx="672">
                  <c:v>22.199999999999985</c:v>
                </c:pt>
                <c:pt idx="673">
                  <c:v>22.299999999999986</c:v>
                </c:pt>
                <c:pt idx="674">
                  <c:v>22.399999999999988</c:v>
                </c:pt>
                <c:pt idx="675">
                  <c:v>22.499999999999989</c:v>
                </c:pt>
                <c:pt idx="676">
                  <c:v>22.599999999999991</c:v>
                </c:pt>
                <c:pt idx="677">
                  <c:v>22.699999999999992</c:v>
                </c:pt>
                <c:pt idx="678">
                  <c:v>22.799999999999994</c:v>
                </c:pt>
                <c:pt idx="679">
                  <c:v>22.899999999999995</c:v>
                </c:pt>
                <c:pt idx="680">
                  <c:v>22.999999999999996</c:v>
                </c:pt>
                <c:pt idx="681">
                  <c:v>23.099999999999998</c:v>
                </c:pt>
                <c:pt idx="682">
                  <c:v>23.2</c:v>
                </c:pt>
                <c:pt idx="683">
                  <c:v>23.3</c:v>
                </c:pt>
                <c:pt idx="684">
                  <c:v>23.400000000000002</c:v>
                </c:pt>
                <c:pt idx="685">
                  <c:v>23.500000000000004</c:v>
                </c:pt>
                <c:pt idx="686">
                  <c:v>23.600000000000005</c:v>
                </c:pt>
                <c:pt idx="687">
                  <c:v>23.700000000000006</c:v>
                </c:pt>
                <c:pt idx="688">
                  <c:v>23.800000000000008</c:v>
                </c:pt>
                <c:pt idx="689">
                  <c:v>23.900000000000009</c:v>
                </c:pt>
                <c:pt idx="690">
                  <c:v>24.000000000000011</c:v>
                </c:pt>
                <c:pt idx="691">
                  <c:v>24.100000000000012</c:v>
                </c:pt>
                <c:pt idx="692">
                  <c:v>24.200000000000014</c:v>
                </c:pt>
                <c:pt idx="693">
                  <c:v>24.300000000000015</c:v>
                </c:pt>
                <c:pt idx="694">
                  <c:v>24.400000000000016</c:v>
                </c:pt>
                <c:pt idx="695">
                  <c:v>24.500000000000018</c:v>
                </c:pt>
                <c:pt idx="696">
                  <c:v>24.600000000000019</c:v>
                </c:pt>
                <c:pt idx="697">
                  <c:v>24.700000000000021</c:v>
                </c:pt>
                <c:pt idx="698">
                  <c:v>24.800000000000022</c:v>
                </c:pt>
                <c:pt idx="699">
                  <c:v>24.900000000000023</c:v>
                </c:pt>
                <c:pt idx="700">
                  <c:v>25.000000000000025</c:v>
                </c:pt>
                <c:pt idx="701">
                  <c:v>25.100000000000026</c:v>
                </c:pt>
                <c:pt idx="702">
                  <c:v>25.200000000000028</c:v>
                </c:pt>
                <c:pt idx="703">
                  <c:v>25.300000000000029</c:v>
                </c:pt>
                <c:pt idx="704">
                  <c:v>25.400000000000031</c:v>
                </c:pt>
                <c:pt idx="705">
                  <c:v>25.500000000000032</c:v>
                </c:pt>
                <c:pt idx="706">
                  <c:v>25.600000000000033</c:v>
                </c:pt>
                <c:pt idx="707">
                  <c:v>25.700000000000035</c:v>
                </c:pt>
                <c:pt idx="708">
                  <c:v>25.800000000000036</c:v>
                </c:pt>
                <c:pt idx="709">
                  <c:v>25.900000000000038</c:v>
                </c:pt>
                <c:pt idx="710">
                  <c:v>26.000000000000039</c:v>
                </c:pt>
                <c:pt idx="711">
                  <c:v>26.100000000000041</c:v>
                </c:pt>
                <c:pt idx="712">
                  <c:v>26.200000000000042</c:v>
                </c:pt>
                <c:pt idx="713">
                  <c:v>26.300000000000043</c:v>
                </c:pt>
                <c:pt idx="714">
                  <c:v>26.400000000000045</c:v>
                </c:pt>
                <c:pt idx="715">
                  <c:v>26.500000000000046</c:v>
                </c:pt>
                <c:pt idx="716">
                  <c:v>26.600000000000048</c:v>
                </c:pt>
                <c:pt idx="717">
                  <c:v>26.700000000000049</c:v>
                </c:pt>
                <c:pt idx="718">
                  <c:v>26.80000000000005</c:v>
                </c:pt>
                <c:pt idx="719">
                  <c:v>26.900000000000052</c:v>
                </c:pt>
                <c:pt idx="720">
                  <c:v>27.000000000000053</c:v>
                </c:pt>
                <c:pt idx="721">
                  <c:v>27.100000000000055</c:v>
                </c:pt>
                <c:pt idx="722">
                  <c:v>27.200000000000056</c:v>
                </c:pt>
                <c:pt idx="723">
                  <c:v>27.300000000000058</c:v>
                </c:pt>
                <c:pt idx="724">
                  <c:v>27.400000000000059</c:v>
                </c:pt>
                <c:pt idx="725">
                  <c:v>27.50000000000006</c:v>
                </c:pt>
                <c:pt idx="726">
                  <c:v>27.600000000000062</c:v>
                </c:pt>
                <c:pt idx="727">
                  <c:v>27.700000000000063</c:v>
                </c:pt>
                <c:pt idx="728">
                  <c:v>27.800000000000065</c:v>
                </c:pt>
                <c:pt idx="729">
                  <c:v>27.900000000000066</c:v>
                </c:pt>
                <c:pt idx="730">
                  <c:v>28.000000000000068</c:v>
                </c:pt>
                <c:pt idx="731">
                  <c:v>28.100000000000069</c:v>
                </c:pt>
                <c:pt idx="732">
                  <c:v>28.20000000000007</c:v>
                </c:pt>
                <c:pt idx="733">
                  <c:v>28.300000000000072</c:v>
                </c:pt>
                <c:pt idx="734">
                  <c:v>28.400000000000073</c:v>
                </c:pt>
                <c:pt idx="735">
                  <c:v>28.500000000000075</c:v>
                </c:pt>
                <c:pt idx="736">
                  <c:v>28.600000000000076</c:v>
                </c:pt>
                <c:pt idx="737">
                  <c:v>28.700000000000077</c:v>
                </c:pt>
                <c:pt idx="738">
                  <c:v>28.800000000000079</c:v>
                </c:pt>
                <c:pt idx="739">
                  <c:v>28.90000000000008</c:v>
                </c:pt>
                <c:pt idx="740">
                  <c:v>29.000000000000082</c:v>
                </c:pt>
                <c:pt idx="741">
                  <c:v>29.100000000000083</c:v>
                </c:pt>
                <c:pt idx="742">
                  <c:v>29.200000000000085</c:v>
                </c:pt>
                <c:pt idx="743">
                  <c:v>29.300000000000086</c:v>
                </c:pt>
                <c:pt idx="744">
                  <c:v>29.400000000000087</c:v>
                </c:pt>
                <c:pt idx="745">
                  <c:v>29.500000000000089</c:v>
                </c:pt>
                <c:pt idx="746">
                  <c:v>29.60000000000009</c:v>
                </c:pt>
                <c:pt idx="747">
                  <c:v>29.700000000000092</c:v>
                </c:pt>
                <c:pt idx="748">
                  <c:v>29.800000000000093</c:v>
                </c:pt>
                <c:pt idx="749">
                  <c:v>29.900000000000095</c:v>
                </c:pt>
                <c:pt idx="750">
                  <c:v>30.000000000000096</c:v>
                </c:pt>
                <c:pt idx="751">
                  <c:v>30.100000000000097</c:v>
                </c:pt>
                <c:pt idx="752">
                  <c:v>30.200000000000099</c:v>
                </c:pt>
                <c:pt idx="753">
                  <c:v>30.3000000000001</c:v>
                </c:pt>
                <c:pt idx="754">
                  <c:v>30.400000000000102</c:v>
                </c:pt>
                <c:pt idx="755">
                  <c:v>30.500000000000103</c:v>
                </c:pt>
                <c:pt idx="756">
                  <c:v>30.600000000000104</c:v>
                </c:pt>
                <c:pt idx="757">
                  <c:v>30.700000000000106</c:v>
                </c:pt>
                <c:pt idx="758">
                  <c:v>30.800000000000107</c:v>
                </c:pt>
                <c:pt idx="759">
                  <c:v>30.900000000000109</c:v>
                </c:pt>
                <c:pt idx="760">
                  <c:v>31.00000000000011</c:v>
                </c:pt>
                <c:pt idx="761">
                  <c:v>31.100000000000112</c:v>
                </c:pt>
                <c:pt idx="762">
                  <c:v>31.200000000000113</c:v>
                </c:pt>
                <c:pt idx="763">
                  <c:v>31.300000000000114</c:v>
                </c:pt>
                <c:pt idx="764">
                  <c:v>31.400000000000116</c:v>
                </c:pt>
                <c:pt idx="765">
                  <c:v>31.500000000000117</c:v>
                </c:pt>
                <c:pt idx="766">
                  <c:v>31.600000000000119</c:v>
                </c:pt>
                <c:pt idx="767">
                  <c:v>31.70000000000012</c:v>
                </c:pt>
                <c:pt idx="768">
                  <c:v>31.800000000000122</c:v>
                </c:pt>
                <c:pt idx="769">
                  <c:v>31.900000000000123</c:v>
                </c:pt>
                <c:pt idx="770">
                  <c:v>32.000000000000121</c:v>
                </c:pt>
                <c:pt idx="771">
                  <c:v>32.100000000000122</c:v>
                </c:pt>
                <c:pt idx="772">
                  <c:v>32.200000000000124</c:v>
                </c:pt>
                <c:pt idx="773">
                  <c:v>32.300000000000125</c:v>
                </c:pt>
                <c:pt idx="774">
                  <c:v>32.400000000000126</c:v>
                </c:pt>
                <c:pt idx="775">
                  <c:v>32.500000000000128</c:v>
                </c:pt>
                <c:pt idx="776">
                  <c:v>32.600000000000129</c:v>
                </c:pt>
                <c:pt idx="777">
                  <c:v>32.700000000000131</c:v>
                </c:pt>
                <c:pt idx="778">
                  <c:v>32.800000000000132</c:v>
                </c:pt>
                <c:pt idx="779">
                  <c:v>32.900000000000134</c:v>
                </c:pt>
                <c:pt idx="780">
                  <c:v>33.000000000000135</c:v>
                </c:pt>
                <c:pt idx="781">
                  <c:v>33.100000000000136</c:v>
                </c:pt>
                <c:pt idx="782">
                  <c:v>33.200000000000138</c:v>
                </c:pt>
                <c:pt idx="783">
                  <c:v>33.300000000000139</c:v>
                </c:pt>
                <c:pt idx="784">
                  <c:v>33.400000000000141</c:v>
                </c:pt>
                <c:pt idx="785">
                  <c:v>33.500000000000142</c:v>
                </c:pt>
                <c:pt idx="786">
                  <c:v>33.600000000000144</c:v>
                </c:pt>
                <c:pt idx="787">
                  <c:v>33.700000000000145</c:v>
                </c:pt>
                <c:pt idx="788">
                  <c:v>33.800000000000146</c:v>
                </c:pt>
                <c:pt idx="789">
                  <c:v>33.900000000000148</c:v>
                </c:pt>
                <c:pt idx="790">
                  <c:v>34.000000000000149</c:v>
                </c:pt>
                <c:pt idx="791">
                  <c:v>34.100000000000151</c:v>
                </c:pt>
                <c:pt idx="792">
                  <c:v>34.200000000000152</c:v>
                </c:pt>
                <c:pt idx="793">
                  <c:v>34.300000000000153</c:v>
                </c:pt>
                <c:pt idx="794">
                  <c:v>34.400000000000155</c:v>
                </c:pt>
                <c:pt idx="795">
                  <c:v>34.500000000000156</c:v>
                </c:pt>
                <c:pt idx="796">
                  <c:v>34.600000000000158</c:v>
                </c:pt>
                <c:pt idx="797">
                  <c:v>34.700000000000159</c:v>
                </c:pt>
                <c:pt idx="798">
                  <c:v>34.800000000000161</c:v>
                </c:pt>
                <c:pt idx="799">
                  <c:v>34.900000000000162</c:v>
                </c:pt>
                <c:pt idx="800">
                  <c:v>35.000000000000163</c:v>
                </c:pt>
                <c:pt idx="801">
                  <c:v>35.100000000000165</c:v>
                </c:pt>
                <c:pt idx="802">
                  <c:v>35.200000000000166</c:v>
                </c:pt>
                <c:pt idx="803">
                  <c:v>35.300000000000168</c:v>
                </c:pt>
                <c:pt idx="804">
                  <c:v>35.400000000000169</c:v>
                </c:pt>
                <c:pt idx="805">
                  <c:v>35.500000000000171</c:v>
                </c:pt>
                <c:pt idx="806">
                  <c:v>35.600000000000172</c:v>
                </c:pt>
                <c:pt idx="807">
                  <c:v>35.700000000000173</c:v>
                </c:pt>
                <c:pt idx="808">
                  <c:v>35.800000000000175</c:v>
                </c:pt>
                <c:pt idx="809">
                  <c:v>35.900000000000176</c:v>
                </c:pt>
                <c:pt idx="810">
                  <c:v>36.000000000000178</c:v>
                </c:pt>
                <c:pt idx="811">
                  <c:v>36.100000000000179</c:v>
                </c:pt>
                <c:pt idx="812">
                  <c:v>36.20000000000018</c:v>
                </c:pt>
                <c:pt idx="813">
                  <c:v>36.300000000000182</c:v>
                </c:pt>
                <c:pt idx="814">
                  <c:v>36.400000000000183</c:v>
                </c:pt>
                <c:pt idx="815">
                  <c:v>36.500000000000185</c:v>
                </c:pt>
                <c:pt idx="816">
                  <c:v>36.600000000000186</c:v>
                </c:pt>
                <c:pt idx="817">
                  <c:v>36.700000000000188</c:v>
                </c:pt>
                <c:pt idx="818">
                  <c:v>36.800000000000189</c:v>
                </c:pt>
                <c:pt idx="819">
                  <c:v>36.90000000000019</c:v>
                </c:pt>
                <c:pt idx="820">
                  <c:v>37.000000000000192</c:v>
                </c:pt>
                <c:pt idx="821">
                  <c:v>37.100000000000193</c:v>
                </c:pt>
                <c:pt idx="822">
                  <c:v>37.200000000000195</c:v>
                </c:pt>
                <c:pt idx="823">
                  <c:v>37.300000000000196</c:v>
                </c:pt>
                <c:pt idx="824">
                  <c:v>37.400000000000198</c:v>
                </c:pt>
                <c:pt idx="825">
                  <c:v>37.500000000000199</c:v>
                </c:pt>
                <c:pt idx="826">
                  <c:v>37.6000000000002</c:v>
                </c:pt>
                <c:pt idx="827">
                  <c:v>37.700000000000202</c:v>
                </c:pt>
                <c:pt idx="828">
                  <c:v>37.800000000000203</c:v>
                </c:pt>
                <c:pt idx="829">
                  <c:v>37.900000000000205</c:v>
                </c:pt>
                <c:pt idx="830">
                  <c:v>38.000000000000206</c:v>
                </c:pt>
                <c:pt idx="831">
                  <c:v>38.100000000000207</c:v>
                </c:pt>
                <c:pt idx="832">
                  <c:v>38.200000000000209</c:v>
                </c:pt>
                <c:pt idx="833">
                  <c:v>38.30000000000021</c:v>
                </c:pt>
                <c:pt idx="834">
                  <c:v>38.400000000000212</c:v>
                </c:pt>
                <c:pt idx="835">
                  <c:v>38.500000000000213</c:v>
                </c:pt>
                <c:pt idx="836">
                  <c:v>38.600000000000215</c:v>
                </c:pt>
                <c:pt idx="837">
                  <c:v>38.700000000000216</c:v>
                </c:pt>
                <c:pt idx="838">
                  <c:v>38.800000000000217</c:v>
                </c:pt>
                <c:pt idx="839">
                  <c:v>38.900000000000219</c:v>
                </c:pt>
                <c:pt idx="840">
                  <c:v>39.00000000000022</c:v>
                </c:pt>
                <c:pt idx="841">
                  <c:v>39.100000000000222</c:v>
                </c:pt>
                <c:pt idx="842">
                  <c:v>39.200000000000223</c:v>
                </c:pt>
                <c:pt idx="843">
                  <c:v>39.300000000000225</c:v>
                </c:pt>
                <c:pt idx="844">
                  <c:v>39.400000000000226</c:v>
                </c:pt>
                <c:pt idx="845">
                  <c:v>39.500000000000227</c:v>
                </c:pt>
                <c:pt idx="846">
                  <c:v>39.600000000000229</c:v>
                </c:pt>
                <c:pt idx="847">
                  <c:v>39.70000000000023</c:v>
                </c:pt>
                <c:pt idx="848">
                  <c:v>39.800000000000232</c:v>
                </c:pt>
                <c:pt idx="849">
                  <c:v>39.900000000000233</c:v>
                </c:pt>
                <c:pt idx="850">
                  <c:v>40.000000000000234</c:v>
                </c:pt>
                <c:pt idx="851">
                  <c:v>40.100000000000236</c:v>
                </c:pt>
                <c:pt idx="852">
                  <c:v>40.200000000000237</c:v>
                </c:pt>
                <c:pt idx="853">
                  <c:v>40.300000000000239</c:v>
                </c:pt>
                <c:pt idx="854">
                  <c:v>40.40000000000024</c:v>
                </c:pt>
                <c:pt idx="855">
                  <c:v>40.500000000000242</c:v>
                </c:pt>
                <c:pt idx="856">
                  <c:v>40.600000000000243</c:v>
                </c:pt>
                <c:pt idx="857">
                  <c:v>40.700000000000244</c:v>
                </c:pt>
                <c:pt idx="858">
                  <c:v>40.800000000000246</c:v>
                </c:pt>
                <c:pt idx="859">
                  <c:v>40.900000000000247</c:v>
                </c:pt>
                <c:pt idx="860">
                  <c:v>41.000000000000249</c:v>
                </c:pt>
                <c:pt idx="861">
                  <c:v>41.10000000000025</c:v>
                </c:pt>
                <c:pt idx="862">
                  <c:v>41.200000000000252</c:v>
                </c:pt>
                <c:pt idx="863">
                  <c:v>41.300000000000253</c:v>
                </c:pt>
                <c:pt idx="864">
                  <c:v>41.400000000000254</c:v>
                </c:pt>
                <c:pt idx="865">
                  <c:v>41.500000000000256</c:v>
                </c:pt>
                <c:pt idx="866">
                  <c:v>41.600000000000257</c:v>
                </c:pt>
                <c:pt idx="867">
                  <c:v>41.700000000000259</c:v>
                </c:pt>
                <c:pt idx="868">
                  <c:v>41.80000000000026</c:v>
                </c:pt>
                <c:pt idx="869">
                  <c:v>41.900000000000261</c:v>
                </c:pt>
                <c:pt idx="870">
                  <c:v>42.000000000000263</c:v>
                </c:pt>
                <c:pt idx="871">
                  <c:v>42.100000000000264</c:v>
                </c:pt>
                <c:pt idx="872">
                  <c:v>42.200000000000266</c:v>
                </c:pt>
                <c:pt idx="873">
                  <c:v>42.300000000000267</c:v>
                </c:pt>
                <c:pt idx="874">
                  <c:v>42.400000000000269</c:v>
                </c:pt>
                <c:pt idx="875">
                  <c:v>42.50000000000027</c:v>
                </c:pt>
                <c:pt idx="876">
                  <c:v>42.600000000000271</c:v>
                </c:pt>
                <c:pt idx="877">
                  <c:v>42.700000000000273</c:v>
                </c:pt>
                <c:pt idx="878">
                  <c:v>42.800000000000274</c:v>
                </c:pt>
                <c:pt idx="879">
                  <c:v>42.900000000000276</c:v>
                </c:pt>
                <c:pt idx="880">
                  <c:v>43.000000000000277</c:v>
                </c:pt>
                <c:pt idx="881">
                  <c:v>43.100000000000279</c:v>
                </c:pt>
                <c:pt idx="882">
                  <c:v>43.20000000000028</c:v>
                </c:pt>
                <c:pt idx="883">
                  <c:v>43.300000000000281</c:v>
                </c:pt>
                <c:pt idx="884">
                  <c:v>43.400000000000283</c:v>
                </c:pt>
                <c:pt idx="885">
                  <c:v>43.500000000000284</c:v>
                </c:pt>
                <c:pt idx="886">
                  <c:v>43.600000000000286</c:v>
                </c:pt>
                <c:pt idx="887">
                  <c:v>43.700000000000287</c:v>
                </c:pt>
                <c:pt idx="888">
                  <c:v>43.800000000000288</c:v>
                </c:pt>
                <c:pt idx="889">
                  <c:v>43.90000000000029</c:v>
                </c:pt>
                <c:pt idx="890">
                  <c:v>44.000000000000291</c:v>
                </c:pt>
                <c:pt idx="891">
                  <c:v>44.100000000000293</c:v>
                </c:pt>
                <c:pt idx="892">
                  <c:v>44.200000000000294</c:v>
                </c:pt>
                <c:pt idx="893">
                  <c:v>44.300000000000296</c:v>
                </c:pt>
                <c:pt idx="894">
                  <c:v>44.400000000000297</c:v>
                </c:pt>
                <c:pt idx="895">
                  <c:v>44.500000000000298</c:v>
                </c:pt>
                <c:pt idx="896">
                  <c:v>44.6000000000003</c:v>
                </c:pt>
                <c:pt idx="897">
                  <c:v>44.700000000000301</c:v>
                </c:pt>
                <c:pt idx="898">
                  <c:v>44.800000000000303</c:v>
                </c:pt>
                <c:pt idx="899">
                  <c:v>44.900000000000304</c:v>
                </c:pt>
                <c:pt idx="900">
                  <c:v>45.000000000000306</c:v>
                </c:pt>
                <c:pt idx="901">
                  <c:v>45.100000000000307</c:v>
                </c:pt>
                <c:pt idx="902">
                  <c:v>45.200000000000308</c:v>
                </c:pt>
                <c:pt idx="903">
                  <c:v>45.30000000000031</c:v>
                </c:pt>
                <c:pt idx="904">
                  <c:v>45.400000000000311</c:v>
                </c:pt>
                <c:pt idx="905">
                  <c:v>45.500000000000313</c:v>
                </c:pt>
                <c:pt idx="906">
                  <c:v>45.600000000000314</c:v>
                </c:pt>
                <c:pt idx="907">
                  <c:v>45.700000000000315</c:v>
                </c:pt>
                <c:pt idx="908">
                  <c:v>45.800000000000317</c:v>
                </c:pt>
                <c:pt idx="909">
                  <c:v>45.900000000000318</c:v>
                </c:pt>
                <c:pt idx="910">
                  <c:v>46.00000000000032</c:v>
                </c:pt>
                <c:pt idx="911">
                  <c:v>46.100000000000321</c:v>
                </c:pt>
                <c:pt idx="912">
                  <c:v>46.200000000000323</c:v>
                </c:pt>
                <c:pt idx="913">
                  <c:v>46.300000000000324</c:v>
                </c:pt>
                <c:pt idx="914">
                  <c:v>46.400000000000325</c:v>
                </c:pt>
                <c:pt idx="915">
                  <c:v>46.500000000000327</c:v>
                </c:pt>
                <c:pt idx="916">
                  <c:v>46.600000000000328</c:v>
                </c:pt>
                <c:pt idx="917">
                  <c:v>46.70000000000033</c:v>
                </c:pt>
                <c:pt idx="918">
                  <c:v>46.800000000000331</c:v>
                </c:pt>
                <c:pt idx="919">
                  <c:v>46.900000000000333</c:v>
                </c:pt>
                <c:pt idx="920">
                  <c:v>47.000000000000334</c:v>
                </c:pt>
                <c:pt idx="921">
                  <c:v>47.100000000000335</c:v>
                </c:pt>
                <c:pt idx="922">
                  <c:v>47.200000000000337</c:v>
                </c:pt>
                <c:pt idx="923">
                  <c:v>47.300000000000338</c:v>
                </c:pt>
                <c:pt idx="924">
                  <c:v>47.40000000000034</c:v>
                </c:pt>
                <c:pt idx="925">
                  <c:v>47.500000000000341</c:v>
                </c:pt>
                <c:pt idx="926">
                  <c:v>47.600000000000342</c:v>
                </c:pt>
                <c:pt idx="927">
                  <c:v>47.700000000000344</c:v>
                </c:pt>
                <c:pt idx="928">
                  <c:v>47.800000000000345</c:v>
                </c:pt>
                <c:pt idx="929">
                  <c:v>47.900000000000347</c:v>
                </c:pt>
                <c:pt idx="930">
                  <c:v>48.000000000000348</c:v>
                </c:pt>
                <c:pt idx="931">
                  <c:v>48.10000000000035</c:v>
                </c:pt>
                <c:pt idx="932">
                  <c:v>48.200000000000351</c:v>
                </c:pt>
                <c:pt idx="933">
                  <c:v>48.300000000000352</c:v>
                </c:pt>
                <c:pt idx="934">
                  <c:v>48.400000000000354</c:v>
                </c:pt>
                <c:pt idx="935">
                  <c:v>48.500000000000355</c:v>
                </c:pt>
                <c:pt idx="936">
                  <c:v>48.600000000000357</c:v>
                </c:pt>
                <c:pt idx="937">
                  <c:v>48.700000000000358</c:v>
                </c:pt>
                <c:pt idx="938">
                  <c:v>48.80000000000036</c:v>
                </c:pt>
                <c:pt idx="939">
                  <c:v>48.900000000000361</c:v>
                </c:pt>
                <c:pt idx="940">
                  <c:v>49.000000000000362</c:v>
                </c:pt>
                <c:pt idx="941">
                  <c:v>49.100000000000364</c:v>
                </c:pt>
                <c:pt idx="942">
                  <c:v>49.200000000000365</c:v>
                </c:pt>
                <c:pt idx="943">
                  <c:v>49.300000000000367</c:v>
                </c:pt>
                <c:pt idx="944">
                  <c:v>49.400000000000368</c:v>
                </c:pt>
                <c:pt idx="945">
                  <c:v>49.500000000000369</c:v>
                </c:pt>
                <c:pt idx="946">
                  <c:v>49.500100000000373</c:v>
                </c:pt>
                <c:pt idx="947">
                  <c:v>49.500200000000376</c:v>
                </c:pt>
                <c:pt idx="948">
                  <c:v>49.500300000000379</c:v>
                </c:pt>
                <c:pt idx="949">
                  <c:v>49.500400000000383</c:v>
                </c:pt>
                <c:pt idx="950">
                  <c:v>49.500500000000386</c:v>
                </c:pt>
                <c:pt idx="951">
                  <c:v>49.500600000000389</c:v>
                </c:pt>
                <c:pt idx="952">
                  <c:v>49.500700000000393</c:v>
                </c:pt>
                <c:pt idx="953">
                  <c:v>49.500800000000396</c:v>
                </c:pt>
                <c:pt idx="954">
                  <c:v>49.500900000000399</c:v>
                </c:pt>
                <c:pt idx="955">
                  <c:v>49.501000000000403</c:v>
                </c:pt>
                <c:pt idx="956">
                  <c:v>49.501100000000406</c:v>
                </c:pt>
                <c:pt idx="957">
                  <c:v>49.501200000000409</c:v>
                </c:pt>
                <c:pt idx="958">
                  <c:v>49.501300000000413</c:v>
                </c:pt>
                <c:pt idx="959">
                  <c:v>49.501400000000416</c:v>
                </c:pt>
                <c:pt idx="960">
                  <c:v>49.501500000000419</c:v>
                </c:pt>
                <c:pt idx="961">
                  <c:v>49.501600000000423</c:v>
                </c:pt>
                <c:pt idx="962">
                  <c:v>49.501700000000426</c:v>
                </c:pt>
                <c:pt idx="963">
                  <c:v>49.501800000000429</c:v>
                </c:pt>
                <c:pt idx="964">
                  <c:v>49.501900000000433</c:v>
                </c:pt>
                <c:pt idx="965">
                  <c:v>49.502000000000436</c:v>
                </c:pt>
                <c:pt idx="966">
                  <c:v>49.502100000000439</c:v>
                </c:pt>
                <c:pt idx="967">
                  <c:v>49.502200000000443</c:v>
                </c:pt>
                <c:pt idx="968">
                  <c:v>49.502300000000446</c:v>
                </c:pt>
                <c:pt idx="969">
                  <c:v>49.502400000000449</c:v>
                </c:pt>
                <c:pt idx="970">
                  <c:v>49.502500000000452</c:v>
                </c:pt>
                <c:pt idx="971">
                  <c:v>49.502600000000456</c:v>
                </c:pt>
                <c:pt idx="972">
                  <c:v>49.502700000000459</c:v>
                </c:pt>
                <c:pt idx="973">
                  <c:v>49.502800000000462</c:v>
                </c:pt>
                <c:pt idx="974">
                  <c:v>49.502900000000466</c:v>
                </c:pt>
                <c:pt idx="975">
                  <c:v>49.503000000000469</c:v>
                </c:pt>
                <c:pt idx="976">
                  <c:v>49.503100000000472</c:v>
                </c:pt>
                <c:pt idx="977">
                  <c:v>49.503200000000476</c:v>
                </c:pt>
                <c:pt idx="978">
                  <c:v>49.503300000000479</c:v>
                </c:pt>
                <c:pt idx="979">
                  <c:v>49.503400000000482</c:v>
                </c:pt>
                <c:pt idx="980">
                  <c:v>49.503500000000486</c:v>
                </c:pt>
                <c:pt idx="981">
                  <c:v>49.503600000000489</c:v>
                </c:pt>
                <c:pt idx="982">
                  <c:v>49.503700000000492</c:v>
                </c:pt>
                <c:pt idx="983">
                  <c:v>49.503800000000496</c:v>
                </c:pt>
                <c:pt idx="984">
                  <c:v>49.503900000000499</c:v>
                </c:pt>
                <c:pt idx="985">
                  <c:v>49.504000000000502</c:v>
                </c:pt>
                <c:pt idx="986">
                  <c:v>49.504100000000506</c:v>
                </c:pt>
                <c:pt idx="987">
                  <c:v>49.504200000000509</c:v>
                </c:pt>
                <c:pt idx="988">
                  <c:v>49.504300000000512</c:v>
                </c:pt>
                <c:pt idx="989">
                  <c:v>49.504400000000516</c:v>
                </c:pt>
                <c:pt idx="990">
                  <c:v>49.504500000000519</c:v>
                </c:pt>
                <c:pt idx="991">
                  <c:v>49.504600000000522</c:v>
                </c:pt>
                <c:pt idx="992">
                  <c:v>49.504700000000526</c:v>
                </c:pt>
                <c:pt idx="993">
                  <c:v>49.504800000000529</c:v>
                </c:pt>
                <c:pt idx="994">
                  <c:v>49.504900000000532</c:v>
                </c:pt>
                <c:pt idx="995">
                  <c:v>49.505000000000535</c:v>
                </c:pt>
                <c:pt idx="996">
                  <c:v>49.505100000000539</c:v>
                </c:pt>
                <c:pt idx="997">
                  <c:v>49.505200000000542</c:v>
                </c:pt>
                <c:pt idx="998">
                  <c:v>49.505300000000545</c:v>
                </c:pt>
                <c:pt idx="999">
                  <c:v>49.505400000000549</c:v>
                </c:pt>
                <c:pt idx="1000">
                  <c:v>49.505500000000552</c:v>
                </c:pt>
              </c:numCache>
            </c:numRef>
          </c:xVal>
          <c:yVal>
            <c:numRef>
              <c:f>Calculs!$AE$4:$AE$1004</c:f>
              <c:numCache>
                <c:formatCode>0</c:formatCode>
                <c:ptCount val="1001"/>
                <c:pt idx="0">
                  <c:v>0</c:v>
                </c:pt>
                <c:pt idx="1">
                  <c:v>4.8454537426533613E-4</c:v>
                </c:pt>
                <c:pt idx="2">
                  <c:v>3.0098523531846906E-3</c:v>
                </c:pt>
                <c:pt idx="3">
                  <c:v>9.0924669372744408E-3</c:v>
                </c:pt>
                <c:pt idx="4">
                  <c:v>1.9622488329450273E-2</c:v>
                </c:pt>
                <c:pt idx="5">
                  <c:v>3.5490770437777167E-2</c:v>
                </c:pt>
                <c:pt idx="6">
                  <c:v>5.7589035102754378E-2</c:v>
                </c:pt>
                <c:pt idx="7">
                  <c:v>8.6809984293011788E-2</c:v>
                </c:pt>
                <c:pt idx="8">
                  <c:v>0.12404741131150263</c:v>
                </c:pt>
                <c:pt idx="9">
                  <c:v>0.17019631105286553</c:v>
                </c:pt>
                <c:pt idx="10">
                  <c:v>0.22615298935126302</c:v>
                </c:pt>
                <c:pt idx="11">
                  <c:v>0.29255910031611482</c:v>
                </c:pt>
                <c:pt idx="12">
                  <c:v>0.36954504731527471</c:v>
                </c:pt>
                <c:pt idx="13">
                  <c:v>0.45698322648663359</c:v>
                </c:pt>
                <c:pt idx="14">
                  <c:v>0.55474185008536059</c:v>
                </c:pt>
                <c:pt idx="15">
                  <c:v>0.66268689479262965</c:v>
                </c:pt>
                <c:pt idx="16">
                  <c:v>0.78068405450253586</c:v>
                </c:pt>
                <c:pt idx="17">
                  <c:v>0.90859874514596273</c:v>
                </c:pt>
                <c:pt idx="18">
                  <c:v>1.0462961095112582</c:v>
                </c:pt>
                <c:pt idx="19">
                  <c:v>1.1936410220609734</c:v>
                </c:pt>
                <c:pt idx="20">
                  <c:v>1.3504980937439244</c:v>
                </c:pt>
                <c:pt idx="21">
                  <c:v>1.5167316768018404</c:v>
                </c:pt>
                <c:pt idx="22">
                  <c:v>1.6922058695698703</c:v>
                </c:pt>
                <c:pt idx="23">
                  <c:v>1.8767845212702179</c:v>
                </c:pt>
                <c:pt idx="24">
                  <c:v>2.070331236798189</c:v>
                </c:pt>
                <c:pt idx="25">
                  <c:v>2.2727093814999333</c:v>
                </c:pt>
                <c:pt idx="26">
                  <c:v>2.4837820859411726</c:v>
                </c:pt>
                <c:pt idx="27">
                  <c:v>2.7034466785245099</c:v>
                </c:pt>
                <c:pt idx="28">
                  <c:v>2.9316691784966009</c:v>
                </c:pt>
                <c:pt idx="29">
                  <c:v>3.1684499594633553</c:v>
                </c:pt>
                <c:pt idx="30">
                  <c:v>3.4137893501040186</c:v>
                </c:pt>
                <c:pt idx="31">
                  <c:v>3.6676876341132512</c:v>
                </c:pt>
                <c:pt idx="32">
                  <c:v>3.9301450501442883</c:v>
                </c:pt>
                <c:pt idx="33">
                  <c:v>4.2011617917531918</c:v>
                </c:pt>
                <c:pt idx="34">
                  <c:v>4.4807342796552891</c:v>
                </c:pt>
                <c:pt idx="35">
                  <c:v>4.7688587659544588</c:v>
                </c:pt>
                <c:pt idx="36">
                  <c:v>5.0655350626862239</c:v>
                </c:pt>
                <c:pt idx="37">
                  <c:v>5.37076294017763</c:v>
                </c:pt>
                <c:pt idx="38">
                  <c:v>5.684542128653665</c:v>
                </c:pt>
                <c:pt idx="39">
                  <c:v>6.0068723179364136</c:v>
                </c:pt>
                <c:pt idx="40">
                  <c:v>6.3377531571639567</c:v>
                </c:pt>
                <c:pt idx="41">
                  <c:v>6.6771842545272015</c:v>
                </c:pt>
                <c:pt idx="42">
                  <c:v>7.0251651770230428</c:v>
                </c:pt>
                <c:pt idx="43">
                  <c:v>7.3816954502224439</c:v>
                </c:pt>
                <c:pt idx="44">
                  <c:v>7.7467745580521896</c:v>
                </c:pt>
                <c:pt idx="45">
                  <c:v>8.1204019425892007</c:v>
                </c:pt>
                <c:pt idx="46">
                  <c:v>8.5025770038664259</c:v>
                </c:pt>
                <c:pt idx="47">
                  <c:v>8.8932990996894254</c:v>
                </c:pt>
                <c:pt idx="48">
                  <c:v>9.2925675454628678</c:v>
                </c:pt>
                <c:pt idx="49">
                  <c:v>9.7003816140262167</c:v>
                </c:pt>
                <c:pt idx="50">
                  <c:v>10.116740535497987</c:v>
                </c:pt>
                <c:pt idx="51">
                  <c:v>10.541643497127991</c:v>
                </c:pt>
                <c:pt idx="52">
                  <c:v>10.975089643157048</c:v>
                </c:pt>
                <c:pt idx="53">
                  <c:v>11.417078074683706</c:v>
                </c:pt>
                <c:pt idx="54">
                  <c:v>11.867607849537535</c:v>
                </c:pt>
                <c:pt idx="55">
                  <c:v>12.326677982158607</c:v>
                </c:pt>
                <c:pt idx="56">
                  <c:v>12.794287443482824</c:v>
                </c:pt>
                <c:pt idx="57">
                  <c:v>13.270435160832752</c:v>
                </c:pt>
                <c:pt idx="58">
                  <c:v>13.755120017813685</c:v>
                </c:pt>
                <c:pt idx="59">
                  <c:v>14.248340854214662</c:v>
                </c:pt>
                <c:pt idx="60">
                  <c:v>14.750096465914199</c:v>
                </c:pt>
                <c:pt idx="61">
                  <c:v>15.260385604790489</c:v>
                </c:pt>
                <c:pt idx="62">
                  <c:v>15.779206978635896</c:v>
                </c:pt>
                <c:pt idx="63">
                  <c:v>16.30655925107552</c:v>
                </c:pt>
                <c:pt idx="64">
                  <c:v>16.842441041489678</c:v>
                </c:pt>
                <c:pt idx="65">
                  <c:v>17.38685092494012</c:v>
                </c:pt>
                <c:pt idx="66">
                  <c:v>17.939787432099855</c:v>
                </c:pt>
                <c:pt idx="67">
                  <c:v>18.50124904918642</c:v>
                </c:pt>
                <c:pt idx="68">
                  <c:v>19.071234217898471</c:v>
                </c:pt>
                <c:pt idx="69">
                  <c:v>19.649741335355603</c:v>
                </c:pt>
                <c:pt idx="70">
                  <c:v>20.236768754041247</c:v>
                </c:pt>
                <c:pt idx="71">
                  <c:v>20.832314781748551</c:v>
                </c:pt>
                <c:pt idx="72">
                  <c:v>21.436377287415919</c:v>
                </c:pt>
                <c:pt idx="73">
                  <c:v>22.048953306369146</c:v>
                </c:pt>
                <c:pt idx="74">
                  <c:v>22.670039433573695</c:v>
                </c:pt>
                <c:pt idx="75">
                  <c:v>23.299632217497475</c:v>
                </c:pt>
                <c:pt idx="76">
                  <c:v>23.937728160093723</c:v>
                </c:pt>
                <c:pt idx="77">
                  <c:v>24.584323716786518</c:v>
                </c:pt>
                <c:pt idx="78">
                  <c:v>25.239415296458819</c:v>
                </c:pt>
                <c:pt idx="79">
                  <c:v>25.902999261443011</c:v>
                </c:pt>
                <c:pt idx="80">
                  <c:v>26.57507192751385</c:v>
                </c:pt>
                <c:pt idx="81">
                  <c:v>27.25562956388379</c:v>
                </c:pt>
                <c:pt idx="82">
                  <c:v>27.944668393200619</c:v>
                </c:pt>
                <c:pt idx="83">
                  <c:v>28.642184591547345</c:v>
                </c:pt>
                <c:pt idx="84">
                  <c:v>29.348174288444326</c:v>
                </c:pt>
                <c:pt idx="85">
                  <c:v>30.062633566853549</c:v>
                </c:pt>
                <c:pt idx="86">
                  <c:v>30.785558463185041</c:v>
                </c:pt>
                <c:pt idx="87">
                  <c:v>31.516944967305385</c:v>
                </c:pt>
                <c:pt idx="88">
                  <c:v>32.256789022548269</c:v>
                </c:pt>
                <c:pt idx="89">
                  <c:v>33.005086525727073</c:v>
                </c:pt>
                <c:pt idx="90">
                  <c:v>33.761833327149418</c:v>
                </c:pt>
                <c:pt idx="91">
                  <c:v>34.527025230633676</c:v>
                </c:pt>
                <c:pt idx="92">
                  <c:v>35.300657993527402</c:v>
                </c:pt>
                <c:pt idx="93">
                  <c:v>36.082727326727664</c:v>
                </c:pt>
                <c:pt idx="94">
                  <c:v>36.87322889470321</c:v>
                </c:pt>
                <c:pt idx="95">
                  <c:v>37.672158315518516</c:v>
                </c:pt>
                <c:pt idx="96">
                  <c:v>38.479511160859595</c:v>
                </c:pt>
                <c:pt idx="97">
                  <c:v>39.295282956061627</c:v>
                </c:pt>
                <c:pt idx="98">
                  <c:v>40.119469180138367</c:v>
                </c:pt>
                <c:pt idx="99">
                  <c:v>40.952065265813246</c:v>
                </c:pt>
                <c:pt idx="100">
                  <c:v>41.793066599552247</c:v>
                </c:pt>
                <c:pt idx="101">
                  <c:v>42.64246852159846</c:v>
                </c:pt>
                <c:pt idx="102">
                  <c:v>43.500266326008301</c:v>
                </c:pt>
                <c:pt idx="103">
                  <c:v>44.366455260689435</c:v>
                </c:pt>
                <c:pt idx="104">
                  <c:v>45.241030527440309</c:v>
                </c:pt>
                <c:pt idx="105">
                  <c:v>46.12398728199134</c:v>
                </c:pt>
                <c:pt idx="106">
                  <c:v>47.015320634047697</c:v>
                </c:pt>
                <c:pt idx="107">
                  <c:v>47.915025647333692</c:v>
                </c:pt>
                <c:pt idx="108">
                  <c:v>48.823097339638743</c:v>
                </c:pt>
                <c:pt idx="109">
                  <c:v>49.739530682864903</c:v>
                </c:pt>
                <c:pt idx="110">
                  <c:v>50.66432060307595</c:v>
                </c:pt>
                <c:pt idx="111">
                  <c:v>51.597461980548005</c:v>
                </c:pt>
                <c:pt idx="112">
                  <c:v>52.53894964982166</c:v>
                </c:pt>
                <c:pt idx="113">
                  <c:v>53.488778399755667</c:v>
                </c:pt>
                <c:pt idx="114">
                  <c:v>54.446942973582054</c:v>
                </c:pt>
                <c:pt idx="115">
                  <c:v>55.413438068962783</c:v>
                </c:pt>
                <c:pt idx="116">
                  <c:v>56.388258338047869</c:v>
                </c:pt>
                <c:pt idx="117">
                  <c:v>57.371398387534924</c:v>
                </c:pt>
                <c:pt idx="118">
                  <c:v>58.362852778730208</c:v>
                </c:pt>
                <c:pt idx="119">
                  <c:v>59.362616027611068</c:v>
                </c:pt>
                <c:pt idx="120">
                  <c:v>60.370682604889844</c:v>
                </c:pt>
                <c:pt idx="121">
                  <c:v>61.387046936079166</c:v>
                </c:pt>
                <c:pt idx="122">
                  <c:v>62.411703401558675</c:v>
                </c:pt>
                <c:pt idx="123">
                  <c:v>63.444646336643125</c:v>
                </c:pt>
                <c:pt idx="124">
                  <c:v>64.485870031651871</c:v>
                </c:pt>
                <c:pt idx="125">
                  <c:v>65.535368731979773</c:v>
                </c:pt>
                <c:pt idx="126">
                  <c:v>66.593136638169398</c:v>
                </c:pt>
                <c:pt idx="127">
                  <c:v>67.659167905984631</c:v>
                </c:pt>
                <c:pt idx="128">
                  <c:v>68.733456646485635</c:v>
                </c:pt>
                <c:pt idx="129">
                  <c:v>69.815995104083711</c:v>
                </c:pt>
                <c:pt idx="130">
                  <c:v>70.906771832403919</c:v>
                </c:pt>
                <c:pt idx="131">
                  <c:v>72.005773513763401</c:v>
                </c:pt>
                <c:pt idx="132">
                  <c:v>73.112986780907136</c:v>
                </c:pt>
                <c:pt idx="133">
                  <c:v>74.228398217214703</c:v>
                </c:pt>
                <c:pt idx="134">
                  <c:v>75.351994356908321</c:v>
                </c:pt>
                <c:pt idx="135">
                  <c:v>76.483761685262238</c:v>
                </c:pt>
                <c:pt idx="136">
                  <c:v>77.623686638813453</c:v>
                </c:pt>
                <c:pt idx="137">
                  <c:v>78.771755605573759</c:v>
                </c:pt>
                <c:pt idx="138">
                  <c:v>79.927954925243043</c:v>
                </c:pt>
                <c:pt idx="139">
                  <c:v>81.092270889423858</c:v>
                </c:pt>
                <c:pt idx="140">
                  <c:v>82.264689741837287</c:v>
                </c:pt>
                <c:pt idx="141">
                  <c:v>83.445197678539955</c:v>
                </c:pt>
                <c:pt idx="142">
                  <c:v>84.633780848142365</c:v>
                </c:pt>
                <c:pt idx="143">
                  <c:v>85.830425352028371</c:v>
                </c:pt>
                <c:pt idx="144">
                  <c:v>87.035117244575844</c:v>
                </c:pt>
                <c:pt idx="145">
                  <c:v>88.247842533378517</c:v>
                </c:pt>
                <c:pt idx="146">
                  <c:v>89.468587179469012</c:v>
                </c:pt>
                <c:pt idx="147">
                  <c:v>90.697337097542928</c:v>
                </c:pt>
                <c:pt idx="148">
                  <c:v>91.934078156184114</c:v>
                </c:pt>
                <c:pt idx="149">
                  <c:v>93.178796178091048</c:v>
                </c:pt>
                <c:pt idx="150">
                  <c:v>94.431476940304236</c:v>
                </c:pt>
                <c:pt idx="151">
                  <c:v>95.692106174434784</c:v>
                </c:pt>
                <c:pt idx="152">
                  <c:v>96.960669566893927</c:v>
                </c:pt>
                <c:pt idx="153">
                  <c:v>98.237152759123688</c:v>
                </c:pt>
                <c:pt idx="154">
                  <c:v>99.521541347828489</c:v>
                </c:pt>
                <c:pt idx="155">
                  <c:v>100.81382088520783</c:v>
                </c:pt>
                <c:pt idx="156">
                  <c:v>102.11397687918991</c:v>
                </c:pt>
                <c:pt idx="157">
                  <c:v>103.42199479366624</c:v>
                </c:pt>
                <c:pt idx="158">
                  <c:v>104.7378600487273</c:v>
                </c:pt>
                <c:pt idx="159">
                  <c:v>106.06155802089899</c:v>
                </c:pt>
                <c:pt idx="160">
                  <c:v>107.39307404338014</c:v>
                </c:pt>
                <c:pt idx="161">
                  <c:v>108.73239340628091</c:v>
                </c:pt>
                <c:pt idx="162">
                  <c:v>110.07950135686204</c:v>
                </c:pt>
                <c:pt idx="163">
                  <c:v>111.43438309977505</c:v>
                </c:pt>
                <c:pt idx="164">
                  <c:v>112.79702379730327</c:v>
                </c:pt>
                <c:pt idx="165">
                  <c:v>114.16740856960375</c:v>
                </c:pt>
                <c:pt idx="166">
                  <c:v>115.54552249494999</c:v>
                </c:pt>
                <c:pt idx="167">
                  <c:v>116.93135060997554</c:v>
                </c:pt>
                <c:pt idx="168">
                  <c:v>118.32487790991833</c:v>
                </c:pt>
                <c:pt idx="169">
                  <c:v>119.72608934886588</c:v>
                </c:pt>
                <c:pt idx="170">
                  <c:v>121.13496984000126</c:v>
                </c:pt>
                <c:pt idx="171">
                  <c:v>122.55150425584981</c:v>
                </c:pt>
                <c:pt idx="172">
                  <c:v>123.97567742852658</c:v>
                </c:pt>
                <c:pt idx="173">
                  <c:v>125.40747414998459</c:v>
                </c:pt>
                <c:pt idx="174">
                  <c:v>126.84687917226375</c:v>
                </c:pt>
                <c:pt idx="175">
                  <c:v>128.29387720774048</c:v>
                </c:pt>
                <c:pt idx="176">
                  <c:v>129.74845292937806</c:v>
                </c:pt>
                <c:pt idx="177">
                  <c:v>131.21059097097768</c:v>
                </c:pt>
                <c:pt idx="178">
                  <c:v>132.68027592743002</c:v>
                </c:pt>
                <c:pt idx="179">
                  <c:v>134.15749235496764</c:v>
                </c:pt>
                <c:pt idx="180">
                  <c:v>135.642224771418</c:v>
                </c:pt>
                <c:pt idx="181">
                  <c:v>137.13445765645687</c:v>
                </c:pt>
                <c:pt idx="182">
                  <c:v>138.63417545186266</c:v>
                </c:pt>
                <c:pt idx="183">
                  <c:v>140.14136256177113</c:v>
                </c:pt>
                <c:pt idx="184">
                  <c:v>141.65600335293078</c:v>
                </c:pt>
                <c:pt idx="185">
                  <c:v>143.1780821549587</c:v>
                </c:pt>
                <c:pt idx="186">
                  <c:v>144.70758326059709</c:v>
                </c:pt>
                <c:pt idx="187">
                  <c:v>146.24449092597021</c:v>
                </c:pt>
                <c:pt idx="188">
                  <c:v>147.7887893708419</c:v>
                </c:pt>
                <c:pt idx="189">
                  <c:v>149.34046277887364</c:v>
                </c:pt>
                <c:pt idx="190">
                  <c:v>150.89949529788302</c:v>
                </c:pt>
                <c:pt idx="191">
                  <c:v>152.46587104010274</c:v>
                </c:pt>
                <c:pt idx="192">
                  <c:v>154.03957408244</c:v>
                </c:pt>
                <c:pt idx="193">
                  <c:v>155.62058846673645</c:v>
                </c:pt>
                <c:pt idx="194">
                  <c:v>157.20889820002856</c:v>
                </c:pt>
                <c:pt idx="195">
                  <c:v>158.80448725480827</c:v>
                </c:pt>
                <c:pt idx="196">
                  <c:v>160.40733956928423</c:v>
                </c:pt>
                <c:pt idx="197">
                  <c:v>162.01743904764328</c:v>
                </c:pt>
                <c:pt idx="198">
                  <c:v>163.63476956031244</c:v>
                </c:pt>
                <c:pt idx="199">
                  <c:v>165.25931494422113</c:v>
                </c:pt>
                <c:pt idx="200">
                  <c:v>166.8910590030639</c:v>
                </c:pt>
                <c:pt idx="201">
                  <c:v>168.52998550756334</c:v>
                </c:pt>
                <c:pt idx="202">
                  <c:v>170.1760781957334</c:v>
                </c:pt>
                <c:pt idx="203">
                  <c:v>171.82932077314302</c:v>
                </c:pt>
                <c:pt idx="204">
                  <c:v>173.48969691318004</c:v>
                </c:pt>
                <c:pt idx="205">
                  <c:v>175.15719025731531</c:v>
                </c:pt>
                <c:pt idx="206">
                  <c:v>176.83178396925146</c:v>
                </c:pt>
                <c:pt idx="207">
                  <c:v>178.51346028877683</c:v>
                </c:pt>
                <c:pt idx="208">
                  <c:v>180.20220097796303</c:v>
                </c:pt>
                <c:pt idx="209">
                  <c:v>181.8979877676733</c:v>
                </c:pt>
                <c:pt idx="210">
                  <c:v>183.60080235785898</c:v>
                </c:pt>
                <c:pt idx="211">
                  <c:v>185.31062641785618</c:v>
                </c:pt>
                <c:pt idx="212">
                  <c:v>187.0274415866825</c:v>
                </c:pt>
                <c:pt idx="213">
                  <c:v>188.75122947333372</c:v>
                </c:pt>
                <c:pt idx="214">
                  <c:v>190.48197165708078</c:v>
                </c:pt>
                <c:pt idx="215">
                  <c:v>192.21964968776649</c:v>
                </c:pt>
                <c:pt idx="216">
                  <c:v>193.96424508610258</c:v>
                </c:pt>
                <c:pt idx="217">
                  <c:v>195.71573934396656</c:v>
                </c:pt>
                <c:pt idx="218">
                  <c:v>197.4741139246986</c:v>
                </c:pt>
                <c:pt idx="219">
                  <c:v>199.23935026339851</c:v>
                </c:pt>
                <c:pt idx="220">
                  <c:v>201.0114297672225</c:v>
                </c:pt>
                <c:pt idx="221">
                  <c:v>202.7903338156801</c:v>
                </c:pt>
                <c:pt idx="222">
                  <c:v>204.57604376093084</c:v>
                </c:pt>
                <c:pt idx="223">
                  <c:v>206.36854092808099</c:v>
                </c:pt>
                <c:pt idx="224">
                  <c:v>208.16780661548012</c:v>
                </c:pt>
                <c:pt idx="225">
                  <c:v>209.97382209501762</c:v>
                </c:pt>
                <c:pt idx="226">
                  <c:v>211.78656861241902</c:v>
                </c:pt>
                <c:pt idx="227">
                  <c:v>213.6060273875423</c:v>
                </c:pt>
                <c:pt idx="228">
                  <c:v>215.43217961467394</c:v>
                </c:pt>
                <c:pt idx="229">
                  <c:v>217.26500646282491</c:v>
                </c:pt>
                <c:pt idx="230">
                  <c:v>219.10448907602637</c:v>
                </c:pt>
                <c:pt idx="231">
                  <c:v>220.95060857362526</c:v>
                </c:pt>
                <c:pt idx="232">
                  <c:v>222.80334605057973</c:v>
                </c:pt>
                <c:pt idx="233">
                  <c:v>224.66268257775425</c:v>
                </c:pt>
                <c:pt idx="234">
                  <c:v>226.52859920221459</c:v>
                </c:pt>
                <c:pt idx="235">
                  <c:v>228.40107694752251</c:v>
                </c:pt>
                <c:pt idx="236">
                  <c:v>230.28009681403012</c:v>
                </c:pt>
                <c:pt idx="237">
                  <c:v>232.1656397791742</c:v>
                </c:pt>
                <c:pt idx="238">
                  <c:v>234.05768679776997</c:v>
                </c:pt>
                <c:pt idx="239">
                  <c:v>235.95621880230479</c:v>
                </c:pt>
                <c:pt idx="240">
                  <c:v>237.86121670323132</c:v>
                </c:pt>
                <c:pt idx="241">
                  <c:v>239.77266138926066</c:v>
                </c:pt>
                <c:pt idx="242">
                  <c:v>241.69053218186937</c:v>
                </c:pt>
                <c:pt idx="243">
                  <c:v>243.614805289185</c:v>
                </c:pt>
                <c:pt idx="244">
                  <c:v>245.54545535217216</c:v>
                </c:pt>
                <c:pt idx="245">
                  <c:v>247.48245699149339</c:v>
                </c:pt>
                <c:pt idx="246">
                  <c:v>249.42578480790837</c:v>
                </c:pt>
                <c:pt idx="247">
                  <c:v>251.37541338267218</c:v>
                </c:pt>
                <c:pt idx="248">
                  <c:v>253.33131727793264</c:v>
                </c:pt>
                <c:pt idx="249">
                  <c:v>255.29347103712661</c:v>
                </c:pt>
                <c:pt idx="250">
                  <c:v>257.26184918537524</c:v>
                </c:pt>
                <c:pt idx="251">
                  <c:v>259.23642622987842</c:v>
                </c:pt>
                <c:pt idx="252">
                  <c:v>261.21717666030787</c:v>
                </c:pt>
                <c:pt idx="253">
                  <c:v>263.20407494919942</c:v>
                </c:pt>
                <c:pt idx="254">
                  <c:v>265.19709555234425</c:v>
                </c:pt>
                <c:pt idx="255">
                  <c:v>267.19621290917883</c:v>
                </c:pt>
                <c:pt idx="256">
                  <c:v>269.20140144317384</c:v>
                </c:pt>
                <c:pt idx="257">
                  <c:v>271.21263556222209</c:v>
                </c:pt>
                <c:pt idx="258">
                  <c:v>273.22988965902528</c:v>
                </c:pt>
                <c:pt idx="259">
                  <c:v>275.25313811147947</c:v>
                </c:pt>
                <c:pt idx="260">
                  <c:v>277.28235528305947</c:v>
                </c:pt>
                <c:pt idx="261">
                  <c:v>279.31751552320202</c:v>
                </c:pt>
                <c:pt idx="262">
                  <c:v>281.35859316768796</c:v>
                </c:pt>
                <c:pt idx="263">
                  <c:v>283.40556253902292</c:v>
                </c:pt>
                <c:pt idx="264">
                  <c:v>285.45839794681694</c:v>
                </c:pt>
                <c:pt idx="265">
                  <c:v>287.51707368816284</c:v>
                </c:pt>
                <c:pt idx="266">
                  <c:v>289.58156404801326</c:v>
                </c:pt>
                <c:pt idx="267">
                  <c:v>291.65184329955656</c:v>
                </c:pt>
                <c:pt idx="268">
                  <c:v>293.7278857045913</c:v>
                </c:pt>
                <c:pt idx="269">
                  <c:v>295.80966551389957</c:v>
                </c:pt>
                <c:pt idx="270">
                  <c:v>297.89715696761886</c:v>
                </c:pt>
                <c:pt idx="271">
                  <c:v>299.99033429561274</c:v>
                </c:pt>
                <c:pt idx="272">
                  <c:v>302.08917171784014</c:v>
                </c:pt>
                <c:pt idx="273">
                  <c:v>304.19364344472331</c:v>
                </c:pt>
                <c:pt idx="274">
                  <c:v>306.30372367751431</c:v>
                </c:pt>
                <c:pt idx="275">
                  <c:v>308.41938660866032</c:v>
                </c:pt>
                <c:pt idx="276">
                  <c:v>310.54060642216734</c:v>
                </c:pt>
                <c:pt idx="277">
                  <c:v>312.66735729396277</c:v>
                </c:pt>
                <c:pt idx="278">
                  <c:v>314.79961339225622</c:v>
                </c:pt>
                <c:pt idx="279">
                  <c:v>316.9373488778993</c:v>
                </c:pt>
                <c:pt idx="280">
                  <c:v>319.08053790474361</c:v>
                </c:pt>
                <c:pt idx="281">
                  <c:v>321.22915461999747</c:v>
                </c:pt>
                <c:pt idx="282">
                  <c:v>323.38317316458125</c:v>
                </c:pt>
                <c:pt idx="283">
                  <c:v>325.54256767348102</c:v>
                </c:pt>
                <c:pt idx="284">
                  <c:v>327.70731409559357</c:v>
                </c:pt>
                <c:pt idx="285">
                  <c:v>329.87739201368942</c:v>
                </c:pt>
                <c:pt idx="286">
                  <c:v>332.05278282405664</c:v>
                </c:pt>
                <c:pt idx="287">
                  <c:v>334.23346791596867</c:v>
                </c:pt>
                <c:pt idx="288">
                  <c:v>336.41942867192046</c:v>
                </c:pt>
                <c:pt idx="289">
                  <c:v>338.61064646786394</c:v>
                </c:pt>
                <c:pt idx="290">
                  <c:v>340.8071026734425</c:v>
                </c:pt>
                <c:pt idx="291">
                  <c:v>343.00877865222498</c:v>
                </c:pt>
                <c:pt idx="292">
                  <c:v>345.21565576193865</c:v>
                </c:pt>
                <c:pt idx="293">
                  <c:v>347.42771535470143</c:v>
                </c:pt>
                <c:pt idx="294">
                  <c:v>349.64493877725334</c:v>
                </c:pt>
                <c:pt idx="295">
                  <c:v>351.86730737118722</c:v>
                </c:pt>
                <c:pt idx="296">
                  <c:v>354.09480247317839</c:v>
                </c:pt>
                <c:pt idx="297">
                  <c:v>356.32740541521378</c:v>
                </c:pt>
                <c:pt idx="298">
                  <c:v>358.56509752481992</c:v>
                </c:pt>
                <c:pt idx="299">
                  <c:v>360.80786012529046</c:v>
                </c:pt>
                <c:pt idx="300">
                  <c:v>363.05567453591249</c:v>
                </c:pt>
                <c:pt idx="301">
                  <c:v>365.3085220721922</c:v>
                </c:pt>
                <c:pt idx="302">
                  <c:v>367.56638404607969</c:v>
                </c:pt>
                <c:pt idx="303">
                  <c:v>369.82924176619287</c:v>
                </c:pt>
                <c:pt idx="304">
                  <c:v>372.09707653804043</c:v>
                </c:pt>
                <c:pt idx="305">
                  <c:v>374.36986966424411</c:v>
                </c:pt>
                <c:pt idx="306">
                  <c:v>376.64760244475997</c:v>
                </c:pt>
                <c:pt idx="307">
                  <c:v>378.93025617709873</c:v>
                </c:pt>
                <c:pt idx="308">
                  <c:v>381.21781215654545</c:v>
                </c:pt>
                <c:pt idx="309">
                  <c:v>383.51025167637795</c:v>
                </c:pt>
                <c:pt idx="310">
                  <c:v>385.80755602808472</c:v>
                </c:pt>
                <c:pt idx="311">
                  <c:v>388.10970650158168</c:v>
                </c:pt>
                <c:pt idx="312">
                  <c:v>390.41668438542808</c:v>
                </c:pt>
                <c:pt idx="313">
                  <c:v>392.72847096704157</c:v>
                </c:pt>
                <c:pt idx="314">
                  <c:v>395.04504753291218</c:v>
                </c:pt>
                <c:pt idx="315">
                  <c:v>397.36639536881552</c:v>
                </c:pt>
                <c:pt idx="316">
                  <c:v>399.69249576002517</c:v>
                </c:pt>
                <c:pt idx="317">
                  <c:v>402.02332999152372</c:v>
                </c:pt>
                <c:pt idx="318">
                  <c:v>404.35887934821341</c:v>
                </c:pt>
                <c:pt idx="319">
                  <c:v>406.69912511512524</c:v>
                </c:pt>
                <c:pt idx="320">
                  <c:v>409.04404857762779</c:v>
                </c:pt>
                <c:pt idx="321">
                  <c:v>411.39363102163452</c:v>
                </c:pt>
                <c:pt idx="322">
                  <c:v>413.74785373381036</c:v>
                </c:pt>
                <c:pt idx="323">
                  <c:v>416.10669800177743</c:v>
                </c:pt>
                <c:pt idx="324">
                  <c:v>418.47014511431968</c:v>
                </c:pt>
                <c:pt idx="325">
                  <c:v>420.83817636158648</c:v>
                </c:pt>
                <c:pt idx="326">
                  <c:v>423.21077314732901</c:v>
                </c:pt>
                <c:pt idx="327">
                  <c:v>425.58791710111495</c:v>
                </c:pt>
                <c:pt idx="328">
                  <c:v>427.96958996636937</c:v>
                </c:pt>
                <c:pt idx="329">
                  <c:v>430.35577348843356</c:v>
                </c:pt>
                <c:pt idx="330">
                  <c:v>432.74644941475805</c:v>
                </c:pt>
                <c:pt idx="331">
                  <c:v>435.14159949509531</c:v>
                </c:pt>
                <c:pt idx="332">
                  <c:v>437.54120548169107</c:v>
                </c:pt>
                <c:pt idx="333">
                  <c:v>439.94524912947475</c:v>
                </c:pt>
                <c:pt idx="334">
                  <c:v>442.35371219624915</c:v>
                </c:pt>
                <c:pt idx="335">
                  <c:v>444.766576442879</c:v>
                </c:pt>
                <c:pt idx="336">
                  <c:v>447.18382363347854</c:v>
                </c:pt>
                <c:pt idx="337">
                  <c:v>449.60543553559825</c:v>
                </c:pt>
                <c:pt idx="338">
                  <c:v>452.03139392041049</c:v>
                </c:pt>
                <c:pt idx="339">
                  <c:v>454.46168056289434</c:v>
                </c:pt>
                <c:pt idx="340">
                  <c:v>456.89627724201915</c:v>
                </c:pt>
                <c:pt idx="341">
                  <c:v>459.33516574092761</c:v>
                </c:pt>
                <c:pt idx="342">
                  <c:v>461.77832784711728</c:v>
                </c:pt>
                <c:pt idx="343">
                  <c:v>464.22574535262163</c:v>
                </c:pt>
                <c:pt idx="344">
                  <c:v>466.67740005418972</c:v>
                </c:pt>
                <c:pt idx="345">
                  <c:v>469.13327375346523</c:v>
                </c:pt>
                <c:pt idx="346">
                  <c:v>471.59334825716422</c:v>
                </c:pt>
                <c:pt idx="347">
                  <c:v>474.057605377252</c:v>
                </c:pt>
                <c:pt idx="348">
                  <c:v>476.52602693111908</c:v>
                </c:pt>
                <c:pt idx="349">
                  <c:v>478.99859474175605</c:v>
                </c:pt>
                <c:pt idx="350">
                  <c:v>481.47529063792751</c:v>
                </c:pt>
                <c:pt idx="351">
                  <c:v>483.95609645434496</c:v>
                </c:pt>
                <c:pt idx="352">
                  <c:v>486.44099403183867</c:v>
                </c:pt>
                <c:pt idx="353">
                  <c:v>488.92996521752866</c:v>
                </c:pt>
                <c:pt idx="354">
                  <c:v>491.42299186499451</c:v>
                </c:pt>
                <c:pt idx="355">
                  <c:v>493.92005583444438</c:v>
                </c:pt>
                <c:pt idx="356">
                  <c:v>496.42113899288273</c:v>
                </c:pt>
                <c:pt idx="357">
                  <c:v>498.9262232142774</c:v>
                </c:pt>
                <c:pt idx="358">
                  <c:v>501.43529037972542</c:v>
                </c:pt>
                <c:pt idx="359">
                  <c:v>503.94832237761779</c:v>
                </c:pt>
                <c:pt idx="360">
                  <c:v>506.46530110380343</c:v>
                </c:pt>
                <c:pt idx="361">
                  <c:v>508.98620846175203</c:v>
                </c:pt>
                <c:pt idx="362">
                  <c:v>511.51102636271577</c:v>
                </c:pt>
                <c:pt idx="363">
                  <c:v>514.03973672589018</c:v>
                </c:pt>
                <c:pt idx="364">
                  <c:v>516.57232147857417</c:v>
                </c:pt>
                <c:pt idx="365">
                  <c:v>519.10876255632832</c:v>
                </c:pt>
                <c:pt idx="366">
                  <c:v>521.64904474905177</c:v>
                </c:pt>
                <c:pt idx="367">
                  <c:v>524.19315854590275</c:v>
                </c:pt>
                <c:pt idx="368">
                  <c:v>526.74109728523047</c:v>
                </c:pt>
                <c:pt idx="369">
                  <c:v>529.29285430561185</c:v>
                </c:pt>
                <c:pt idx="370">
                  <c:v>531.84842294590771</c:v>
                </c:pt>
                <c:pt idx="371">
                  <c:v>534.40779654531786</c:v>
                </c:pt>
                <c:pt idx="372">
                  <c:v>536.97096844343707</c:v>
                </c:pt>
                <c:pt idx="373">
                  <c:v>539.53793198030962</c:v>
                </c:pt>
                <c:pt idx="374">
                  <c:v>542.10868049648502</c:v>
                </c:pt>
                <c:pt idx="375">
                  <c:v>544.68320733307235</c:v>
                </c:pt>
                <c:pt idx="376">
                  <c:v>547.26150583179526</c:v>
                </c:pt>
                <c:pt idx="377">
                  <c:v>549.84356933504614</c:v>
                </c:pt>
                <c:pt idx="378">
                  <c:v>552.42939118594063</c:v>
                </c:pt>
                <c:pt idx="379">
                  <c:v>555.01896472837166</c:v>
                </c:pt>
                <c:pt idx="380">
                  <c:v>557.61228330706342</c:v>
                </c:pt>
                <c:pt idx="381">
                  <c:v>560.2093371937342</c:v>
                </c:pt>
                <c:pt idx="382">
                  <c:v>562.81011051464532</c:v>
                </c:pt>
                <c:pt idx="383">
                  <c:v>565.4145843294715</c:v>
                </c:pt>
                <c:pt idx="384">
                  <c:v>568.02273970883641</c:v>
                </c:pt>
                <c:pt idx="385">
                  <c:v>570.63455773446969</c:v>
                </c:pt>
                <c:pt idx="386">
                  <c:v>573.25001949936211</c:v>
                </c:pt>
                <c:pt idx="387">
                  <c:v>575.86910610791949</c:v>
                </c:pt>
                <c:pt idx="388">
                  <c:v>578.49179867611633</c:v>
                </c:pt>
                <c:pt idx="389">
                  <c:v>581.11807833164733</c:v>
                </c:pt>
                <c:pt idx="390">
                  <c:v>583.74792621407823</c:v>
                </c:pt>
                <c:pt idx="391">
                  <c:v>586.38132347499595</c:v>
                </c:pt>
                <c:pt idx="392">
                  <c:v>589.01825127815653</c:v>
                </c:pt>
                <c:pt idx="393">
                  <c:v>591.65869079963295</c:v>
                </c:pt>
                <c:pt idx="394">
                  <c:v>594.30262322796125</c:v>
                </c:pt>
                <c:pt idx="395">
                  <c:v>596.95002976428589</c:v>
                </c:pt>
                <c:pt idx="396">
                  <c:v>599.60089162250347</c:v>
                </c:pt>
                <c:pt idx="397">
                  <c:v>602.25519002940598</c:v>
                </c:pt>
                <c:pt idx="398">
                  <c:v>604.91290622482234</c:v>
                </c:pt>
                <c:pt idx="399">
                  <c:v>607.57402146175912</c:v>
                </c:pt>
                <c:pt idx="400">
                  <c:v>610.23851700654006</c:v>
                </c:pt>
                <c:pt idx="401">
                  <c:v>612.90637172400773</c:v>
                </c:pt>
                <c:pt idx="402">
                  <c:v>615.5775596640807</c:v>
                </c:pt>
                <c:pt idx="403">
                  <c:v>618.2520524811755</c:v>
                </c:pt>
                <c:pt idx="404">
                  <c:v>620.92982185232142</c:v>
                </c:pt>
                <c:pt idx="405">
                  <c:v>623.61083947739746</c:v>
                </c:pt>
                <c:pt idx="406">
                  <c:v>626.29507707936659</c:v>
                </c:pt>
                <c:pt idx="407">
                  <c:v>628.98250640450806</c:v>
                </c:pt>
                <c:pt idx="408">
                  <c:v>631.67309922264712</c:v>
                </c:pt>
                <c:pt idx="409">
                  <c:v>634.36682732738257</c:v>
                </c:pt>
                <c:pt idx="410">
                  <c:v>637.06366253631154</c:v>
                </c:pt>
                <c:pt idx="411">
                  <c:v>639.76356335697892</c:v>
                </c:pt>
                <c:pt idx="412">
                  <c:v>642.46646166144524</c:v>
                </c:pt>
                <c:pt idx="413">
                  <c:v>645.1722760468158</c:v>
                </c:pt>
                <c:pt idx="414">
                  <c:v>647.88092518766075</c:v>
                </c:pt>
                <c:pt idx="415">
                  <c:v>650.59232783725099</c:v>
                </c:pt>
                <c:pt idx="416">
                  <c:v>653.3064028287771</c:v>
                </c:pt>
                <c:pt idx="417">
                  <c:v>656.023069076551</c:v>
                </c:pt>
                <c:pt idx="418">
                  <c:v>658.74224557719106</c:v>
                </c:pt>
                <c:pt idx="419">
                  <c:v>661.4638514107902</c:v>
                </c:pt>
                <c:pt idx="420">
                  <c:v>664.18779816192296</c:v>
                </c:pt>
                <c:pt idx="421">
                  <c:v>666.91398234686756</c:v>
                </c:pt>
                <c:pt idx="422">
                  <c:v>669.64229301185446</c:v>
                </c:pt>
                <c:pt idx="423">
                  <c:v>672.37261932551746</c:v>
                </c:pt>
                <c:pt idx="424">
                  <c:v>675.10485058087602</c:v>
                </c:pt>
                <c:pt idx="425">
                  <c:v>677.83887619728694</c:v>
                </c:pt>
                <c:pt idx="426">
                  <c:v>680.57458572236442</c:v>
                </c:pt>
                <c:pt idx="427">
                  <c:v>683.31186883386931</c:v>
                </c:pt>
                <c:pt idx="428">
                  <c:v>686.05061534156766</c:v>
                </c:pt>
                <c:pt idx="429">
                  <c:v>688.79071518905801</c:v>
                </c:pt>
                <c:pt idx="430">
                  <c:v>691.53205845556806</c:v>
                </c:pt>
                <c:pt idx="431">
                  <c:v>694.27453535772065</c:v>
                </c:pt>
                <c:pt idx="432">
                  <c:v>697.01802404696218</c:v>
                </c:pt>
                <c:pt idx="433">
                  <c:v>699.7623784205523</c:v>
                </c:pt>
                <c:pt idx="434">
                  <c:v>702.50744036046444</c:v>
                </c:pt>
                <c:pt idx="435">
                  <c:v>705.25305195959697</c:v>
                </c:pt>
                <c:pt idx="436">
                  <c:v>707.99905552523455</c:v>
                </c:pt>
                <c:pt idx="437">
                  <c:v>710.74529358244638</c:v>
                </c:pt>
                <c:pt idx="438">
                  <c:v>713.49160887742107</c:v>
                </c:pt>
                <c:pt idx="439">
                  <c:v>716.23784438073869</c:v>
                </c:pt>
                <c:pt idx="440">
                  <c:v>718.98384329057956</c:v>
                </c:pt>
                <c:pt idx="441">
                  <c:v>721.72944903587063</c:v>
                </c:pt>
                <c:pt idx="442">
                  <c:v>724.47451268687644</c:v>
                </c:pt>
                <c:pt idx="443">
                  <c:v>727.21890035510876</c:v>
                </c:pt>
                <c:pt idx="444">
                  <c:v>729.96248576525772</c:v>
                </c:pt>
                <c:pt idx="445">
                  <c:v>732.70514283713146</c:v>
                </c:pt>
                <c:pt idx="446">
                  <c:v>735.4467456874072</c:v>
                </c:pt>
                <c:pt idx="447">
                  <c:v>738.18716863134216</c:v>
                </c:pt>
                <c:pt idx="448">
                  <c:v>740.92628618444496</c:v>
                </c:pt>
                <c:pt idx="449">
                  <c:v>743.66397306410681</c:v>
                </c:pt>
                <c:pt idx="450">
                  <c:v>746.40010419119403</c:v>
                </c:pt>
                <c:pt idx="451">
                  <c:v>749.13455469160044</c:v>
                </c:pt>
                <c:pt idx="452">
                  <c:v>751.86719989776157</c:v>
                </c:pt>
                <c:pt idx="453">
                  <c:v>754.59792595167778</c:v>
                </c:pt>
                <c:pt idx="454">
                  <c:v>757.32664039002009</c:v>
                </c:pt>
                <c:pt idx="455">
                  <c:v>760.05326150658777</c:v>
                </c:pt>
                <c:pt idx="456">
                  <c:v>762.77770773212467</c:v>
                </c:pt>
                <c:pt idx="457">
                  <c:v>765.49989763468864</c:v>
                </c:pt>
                <c:pt idx="458">
                  <c:v>768.21974992000605</c:v>
                </c:pt>
                <c:pt idx="459">
                  <c:v>770.93718343181092</c:v>
                </c:pt>
                <c:pt idx="460">
                  <c:v>773.65211715216822</c:v>
                </c:pt>
                <c:pt idx="461">
                  <c:v>776.36447973960242</c:v>
                </c:pt>
                <c:pt idx="462">
                  <c:v>779.07421905014326</c:v>
                </c:pt>
                <c:pt idx="463">
                  <c:v>781.78129256493651</c:v>
                </c:pt>
                <c:pt idx="464">
                  <c:v>784.48565783473327</c:v>
                </c:pt>
                <c:pt idx="465">
                  <c:v>787.18727247979427</c:v>
                </c:pt>
                <c:pt idx="466">
                  <c:v>789.88608617832358</c:v>
                </c:pt>
                <c:pt idx="467">
                  <c:v>792.58203266951068</c:v>
                </c:pt>
                <c:pt idx="468">
                  <c:v>795.2749485806055</c:v>
                </c:pt>
                <c:pt idx="469">
                  <c:v>797.96460158357081</c:v>
                </c:pt>
                <c:pt idx="470">
                  <c:v>800.65088891350365</c:v>
                </c:pt>
                <c:pt idx="471">
                  <c:v>803.33381716255894</c:v>
                </c:pt>
                <c:pt idx="472">
                  <c:v>806.01339289964346</c:v>
                </c:pt>
                <c:pt idx="473">
                  <c:v>808.68962267052541</c:v>
                </c:pt>
                <c:pt idx="474">
                  <c:v>811.3625129979431</c:v>
                </c:pt>
                <c:pt idx="475">
                  <c:v>814.0320703817132</c:v>
                </c:pt>
                <c:pt idx="476">
                  <c:v>816.69830129883837</c:v>
                </c:pt>
                <c:pt idx="477">
                  <c:v>819.36121220361417</c:v>
                </c:pt>
                <c:pt idx="478">
                  <c:v>822.02080952773531</c:v>
                </c:pt>
                <c:pt idx="479">
                  <c:v>824.67709968040117</c:v>
                </c:pt>
                <c:pt idx="480">
                  <c:v>827.33008904842109</c:v>
                </c:pt>
                <c:pt idx="481">
                  <c:v>829.97978399631859</c:v>
                </c:pt>
                <c:pt idx="482">
                  <c:v>832.62619086643519</c:v>
                </c:pt>
                <c:pt idx="483">
                  <c:v>835.26931597903388</c:v>
                </c:pt>
                <c:pt idx="484">
                  <c:v>837.90916563240137</c:v>
                </c:pt>
                <c:pt idx="485">
                  <c:v>840.54574610295015</c:v>
                </c:pt>
                <c:pt idx="486">
                  <c:v>843.17906364531996</c:v>
                </c:pt>
                <c:pt idx="487">
                  <c:v>845.80912449247853</c:v>
                </c:pt>
                <c:pt idx="488">
                  <c:v>848.43593485582187</c:v>
                </c:pt>
                <c:pt idx="489">
                  <c:v>851.05950092527371</c:v>
                </c:pt>
                <c:pt idx="490">
                  <c:v>853.67982886938466</c:v>
                </c:pt>
                <c:pt idx="491">
                  <c:v>856.29692483543079</c:v>
                </c:pt>
                <c:pt idx="492">
                  <c:v>858.91079494951111</c:v>
                </c:pt>
                <c:pt idx="493">
                  <c:v>861.52144531664555</c:v>
                </c:pt>
                <c:pt idx="494">
                  <c:v>864.12888202087106</c:v>
                </c:pt>
                <c:pt idx="495">
                  <c:v>866.73311112533816</c:v>
                </c:pt>
                <c:pt idx="496">
                  <c:v>869.33413867240654</c:v>
                </c:pt>
                <c:pt idx="497">
                  <c:v>871.93197068374013</c:v>
                </c:pt>
                <c:pt idx="498">
                  <c:v>874.52661316040155</c:v>
                </c:pt>
                <c:pt idx="499">
                  <c:v>877.11807208294613</c:v>
                </c:pt>
                <c:pt idx="500">
                  <c:v>879.70635341151558</c:v>
                </c:pt>
                <c:pt idx="501">
                  <c:v>905.41485913659324</c:v>
                </c:pt>
                <c:pt idx="502">
                  <c:v>930.80942794625344</c:v>
                </c:pt>
                <c:pt idx="503">
                  <c:v>955.89582565768217</c:v>
                </c:pt>
                <c:pt idx="504">
                  <c:v>980.67962600729425</c:v>
                </c:pt>
                <c:pt idx="505">
                  <c:v>1005.166219106284</c:v>
                </c:pt>
                <c:pt idx="506">
                  <c:v>1029.3608194301369</c:v>
                </c:pt>
                <c:pt idx="507">
                  <c:v>1053.2684733727758</c:v>
                </c:pt>
                <c:pt idx="508">
                  <c:v>1076.8940663936735</c:v>
                </c:pt>
                <c:pt idx="509">
                  <c:v>1100.2423297841258</c:v>
                </c:pt>
                <c:pt idx="510">
                  <c:v>1123.3178470769235</c:v>
                </c:pt>
                <c:pt idx="511">
                  <c:v>1146.1250601218715</c:v>
                </c:pt>
                <c:pt idx="512">
                  <c:v>1168.6682748479654</c:v>
                </c:pt>
                <c:pt idx="513">
                  <c:v>1190.9516667315308</c:v>
                </c:pt>
                <c:pt idx="514">
                  <c:v>1212.9792859882482</c:v>
                </c:pt>
                <c:pt idx="515">
                  <c:v>1234.7550625057245</c:v>
                </c:pt>
                <c:pt idx="516">
                  <c:v>1256.2828105320978</c:v>
                </c:pt>
                <c:pt idx="517">
                  <c:v>1277.5662331350941</c:v>
                </c:pt>
                <c:pt idx="518">
                  <c:v>1298.6089264449627</c:v>
                </c:pt>
                <c:pt idx="519">
                  <c:v>1319.4143836938065</c:v>
                </c:pt>
                <c:pt idx="520">
                  <c:v>1339.9859990629805</c:v>
                </c:pt>
                <c:pt idx="521">
                  <c:v>1360.3270713494551</c:v>
                </c:pt>
                <c:pt idx="522">
                  <c:v>1380.4408074613225</c:v>
                </c:pt>
                <c:pt idx="523">
                  <c:v>1400.3303257519585</c:v>
                </c:pt>
                <c:pt idx="524">
                  <c:v>1419.9986592017376</c:v>
                </c:pt>
                <c:pt idx="525">
                  <c:v>1439.4487584556293</c:v>
                </c:pt>
                <c:pt idx="526">
                  <c:v>1458.6834947244754</c:v>
                </c:pt>
                <c:pt idx="527">
                  <c:v>1477.7056625572534</c:v>
                </c:pt>
                <c:pt idx="528">
                  <c:v>1496.5179824911829</c:v>
                </c:pt>
                <c:pt idx="529">
                  <c:v>1515.1231035861019</c:v>
                </c:pt>
                <c:pt idx="530">
                  <c:v>1533.5236058491505</c:v>
                </c:pt>
                <c:pt idx="531">
                  <c:v>1551.7220025554323</c:v>
                </c:pt>
                <c:pt idx="532">
                  <c:v>1569.7207424699809</c:v>
                </c:pt>
                <c:pt idx="533">
                  <c:v>1587.5222119760467</c:v>
                </c:pt>
                <c:pt idx="534">
                  <c:v>1605.1287371144158</c:v>
                </c:pt>
                <c:pt idx="535">
                  <c:v>1622.5425855382023</c:v>
                </c:pt>
                <c:pt idx="536">
                  <c:v>1639.7659683872967</c:v>
                </c:pt>
                <c:pt idx="537">
                  <c:v>1656.8010420864096</c:v>
                </c:pt>
                <c:pt idx="538">
                  <c:v>1673.649910070427</c:v>
                </c:pt>
                <c:pt idx="539">
                  <c:v>1690.3146244405834</c:v>
                </c:pt>
                <c:pt idx="540">
                  <c:v>1706.7971875547607</c:v>
                </c:pt>
                <c:pt idx="541">
                  <c:v>1723.0995535550385</c:v>
                </c:pt>
                <c:pt idx="542">
                  <c:v>1739.2236298354453</c:v>
                </c:pt>
                <c:pt idx="543">
                  <c:v>1755.1712784527042</c:v>
                </c:pt>
                <c:pt idx="544">
                  <c:v>1770.9443174826076</c:v>
                </c:pt>
                <c:pt idx="545">
                  <c:v>1786.5445223245208</c:v>
                </c:pt>
                <c:pt idx="546">
                  <c:v>1801.9736269563734</c:v>
                </c:pt>
                <c:pt idx="547">
                  <c:v>1817.2333251423788</c:v>
                </c:pt>
                <c:pt idx="548">
                  <c:v>1832.3252715955996</c:v>
                </c:pt>
                <c:pt idx="549">
                  <c:v>1847.251083097367</c:v>
                </c:pt>
                <c:pt idx="550">
                  <c:v>1862.0123395754586</c:v>
                </c:pt>
                <c:pt idx="551">
                  <c:v>1876.6105851428426</c:v>
                </c:pt>
                <c:pt idx="552">
                  <c:v>1891.0473290986997</c:v>
                </c:pt>
                <c:pt idx="553">
                  <c:v>1905.3240468933507</c:v>
                </c:pt>
                <c:pt idx="554">
                  <c:v>1919.4421810586357</c:v>
                </c:pt>
                <c:pt idx="555">
                  <c:v>1933.4031421052114</c:v>
                </c:pt>
                <c:pt idx="556">
                  <c:v>1947.208309388162</c:v>
                </c:pt>
                <c:pt idx="557">
                  <c:v>1960.859031942249</c:v>
                </c:pt>
                <c:pt idx="558">
                  <c:v>1974.3566292880639</c:v>
                </c:pt>
                <c:pt idx="559">
                  <c:v>1987.7023922102801</c:v>
                </c:pt>
                <c:pt idx="560">
                  <c:v>2000.8975835091485</c:v>
                </c:pt>
                <c:pt idx="561">
                  <c:v>2013.9434387263243</c:v>
                </c:pt>
                <c:pt idx="562">
                  <c:v>2026.8411668460594</c:v>
                </c:pt>
                <c:pt idx="563">
                  <c:v>2039.5919509727485</c:v>
                </c:pt>
                <c:pt idx="564">
                  <c:v>2052.1969489857684</c:v>
                </c:pt>
                <c:pt idx="565">
                  <c:v>2064.6572941725067</c:v>
                </c:pt>
                <c:pt idx="566">
                  <c:v>2076.9740958404386</c:v>
                </c:pt>
                <c:pt idx="567">
                  <c:v>2089.1484399090614</c:v>
                </c:pt>
                <c:pt idx="568">
                  <c:v>2101.1813894824709</c:v>
                </c:pt>
                <c:pt idx="569">
                  <c:v>2113.0739854033186</c:v>
                </c:pt>
                <c:pt idx="570">
                  <c:v>2124.8272467888651</c:v>
                </c:pt>
                <c:pt idx="571">
                  <c:v>2136.4421715497988</c:v>
                </c:pt>
                <c:pt idx="572">
                  <c:v>2147.9197368924774</c:v>
                </c:pt>
                <c:pt idx="573">
                  <c:v>2159.2608998052028</c:v>
                </c:pt>
                <c:pt idx="574">
                  <c:v>2170.4665975291277</c:v>
                </c:pt>
                <c:pt idx="575">
                  <c:v>2181.5377480143552</c:v>
                </c:pt>
                <c:pt idx="576">
                  <c:v>2192.475250361776</c:v>
                </c:pt>
                <c:pt idx="577">
                  <c:v>2203.2799852511585</c:v>
                </c:pt>
                <c:pt idx="578">
                  <c:v>2213.9528153559904</c:v>
                </c:pt>
                <c:pt idx="579">
                  <c:v>2224.4945857455455</c:v>
                </c:pt>
                <c:pt idx="580">
                  <c:v>2234.9061242746275</c:v>
                </c:pt>
                <c:pt idx="581">
                  <c:v>2245.1882419614312</c:v>
                </c:pt>
                <c:pt idx="582">
                  <c:v>2255.3417333539351</c:v>
                </c:pt>
                <c:pt idx="583">
                  <c:v>2265.3673768852241</c:v>
                </c:pt>
                <c:pt idx="584">
                  <c:v>2275.2659352181313</c:v>
                </c:pt>
                <c:pt idx="585">
                  <c:v>2285.038155579558</c:v>
                </c:pt>
                <c:pt idx="586">
                  <c:v>2294.6847700848321</c:v>
                </c:pt>
                <c:pt idx="587">
                  <c:v>2304.2064960524385</c:v>
                </c:pt>
                <c:pt idx="588">
                  <c:v>2313.6040363094485</c:v>
                </c:pt>
                <c:pt idx="589">
                  <c:v>2322.8780794879558</c:v>
                </c:pt>
                <c:pt idx="590">
                  <c:v>2332.0293003128254</c:v>
                </c:pt>
                <c:pt idx="591">
                  <c:v>2341.0583598810326</c:v>
                </c:pt>
                <c:pt idx="592">
                  <c:v>2349.9659059328783</c:v>
                </c:pt>
                <c:pt idx="593">
                  <c:v>2358.7525731153364</c:v>
                </c:pt>
                <c:pt idx="594">
                  <c:v>2367.4189832377942</c:v>
                </c:pt>
                <c:pt idx="595">
                  <c:v>2375.9657455204278</c:v>
                </c:pt>
                <c:pt idx="596">
                  <c:v>2384.393456835448</c:v>
                </c:pt>
                <c:pt idx="597">
                  <c:v>2392.7027019414427</c:v>
                </c:pt>
                <c:pt idx="598">
                  <c:v>2400.8940537110357</c:v>
                </c:pt>
                <c:pt idx="599">
                  <c:v>2408.9680733520663</c:v>
                </c:pt>
                <c:pt idx="600">
                  <c:v>2416.9253106224974</c:v>
                </c:pt>
                <c:pt idx="601">
                  <c:v>2424.7663040392408</c:v>
                </c:pt>
                <c:pt idx="602">
                  <c:v>2432.4915810810885</c:v>
                </c:pt>
                <c:pt idx="603">
                  <c:v>2440.1016583859314</c:v>
                </c:pt>
                <c:pt idx="604">
                  <c:v>2447.5970419424352</c:v>
                </c:pt>
                <c:pt idx="605">
                  <c:v>2454.9782272763432</c:v>
                </c:pt>
                <c:pt idx="606">
                  <c:v>2462.2456996315645</c:v>
                </c:pt>
                <c:pt idx="607">
                  <c:v>2469.3999341462063</c:v>
                </c:pt>
                <c:pt idx="608">
                  <c:v>2476.4413960236948</c:v>
                </c:pt>
                <c:pt idx="609">
                  <c:v>2483.3705406991344</c:v>
                </c:pt>
                <c:pt idx="610">
                  <c:v>2490.1878140010399</c:v>
                </c:pt>
                <c:pt idx="611">
                  <c:v>2496.8936523085804</c:v>
                </c:pt>
                <c:pt idx="612">
                  <c:v>2503.4884827044611</c:v>
                </c:pt>
                <c:pt idx="613">
                  <c:v>2509.9727231235706</c:v>
                </c:pt>
                <c:pt idx="614">
                  <c:v>2516.3467824975155</c:v>
                </c:pt>
                <c:pt idx="615">
                  <c:v>2522.6110608951585</c:v>
                </c:pt>
                <c:pt idx="616">
                  <c:v>2528.765949659276</c:v>
                </c:pt>
                <c:pt idx="617">
                  <c:v>2534.8118315394418</c:v>
                </c:pt>
                <c:pt idx="618">
                  <c:v>2540.7490808212488</c:v>
                </c:pt>
                <c:pt idx="619">
                  <c:v>2546.5780634519679</c:v>
                </c:pt>
                <c:pt idx="620">
                  <c:v>2552.2991371627481</c:v>
                </c:pt>
                <c:pt idx="621">
                  <c:v>2557.9126515874564</c:v>
                </c:pt>
                <c:pt idx="622">
                  <c:v>2563.4189483782502</c:v>
                </c:pt>
                <c:pt idx="623">
                  <c:v>2568.818361317979</c:v>
                </c:pt>
                <c:pt idx="624">
                  <c:v>2574.1112164295046</c:v>
                </c:pt>
                <c:pt idx="625">
                  <c:v>2579.297832082033</c:v>
                </c:pt>
                <c:pt idx="626">
                  <c:v>2584.3785190945405</c:v>
                </c:pt>
                <c:pt idx="627">
                  <c:v>2589.3535808363858</c:v>
                </c:pt>
                <c:pt idx="628">
                  <c:v>2594.223313325193</c:v>
                </c:pt>
                <c:pt idx="629">
                  <c:v>2598.9880053220886</c:v>
                </c:pt>
                <c:pt idx="630">
                  <c:v>2603.6479384243803</c:v>
                </c:pt>
                <c:pt idx="631">
                  <c:v>2608.2033871557592</c:v>
                </c:pt>
                <c:pt idx="632">
                  <c:v>2612.6546190541144</c:v>
                </c:pt>
                <c:pt idx="633">
                  <c:v>2617.0018947570452</c:v>
                </c:pt>
                <c:pt idx="634">
                  <c:v>2621.2454680851556</c:v>
                </c:pt>
                <c:pt idx="635">
                  <c:v>2625.3855861232259</c:v>
                </c:pt>
                <c:pt idx="636">
                  <c:v>2629.4224892993516</c:v>
                </c:pt>
                <c:pt idx="637">
                  <c:v>2633.3564114621449</c:v>
                </c:pt>
                <c:pt idx="638">
                  <c:v>2637.1875799561021</c:v>
                </c:pt>
                <c:pt idx="639">
                  <c:v>2640.9162156952402</c:v>
                </c:pt>
                <c:pt idx="640">
                  <c:v>2644.5425332351178</c:v>
                </c:pt>
                <c:pt idx="641">
                  <c:v>2648.0667408433587</c:v>
                </c:pt>
                <c:pt idx="642">
                  <c:v>2651.4890405688125</c:v>
                </c:pt>
                <c:pt idx="643">
                  <c:v>2654.8096283094892</c:v>
                </c:pt>
                <c:pt idx="644">
                  <c:v>2658.028693879427</c:v>
                </c:pt>
                <c:pt idx="645">
                  <c:v>2661.1464210746649</c:v>
                </c:pt>
                <c:pt idx="646">
                  <c:v>2664.1629877385076</c:v>
                </c:pt>
                <c:pt idx="647">
                  <c:v>2667.0785658263017</c:v>
                </c:pt>
                <c:pt idx="648">
                  <c:v>2669.8933214699578</c:v>
                </c:pt>
                <c:pt idx="649">
                  <c:v>2672.607415042492</c:v>
                </c:pt>
                <c:pt idx="650">
                  <c:v>2675.2210012228948</c:v>
                </c:pt>
                <c:pt idx="651">
                  <c:v>2677.7342290616766</c:v>
                </c:pt>
                <c:pt idx="652">
                  <c:v>2680.1472420474902</c:v>
                </c:pt>
                <c:pt idx="653">
                  <c:v>2682.4601781752872</c:v>
                </c:pt>
                <c:pt idx="654">
                  <c:v>2684.6731700165351</c:v>
                </c:pt>
                <c:pt idx="655">
                  <c:v>2686.7863447920968</c:v>
                </c:pt>
                <c:pt idx="656">
                  <c:v>2688.7998244484629</c:v>
                </c:pt>
                <c:pt idx="657">
                  <c:v>2690.7137257381282</c:v>
                </c:pt>
                <c:pt idx="658">
                  <c:v>2692.528160305023</c:v>
                </c:pt>
                <c:pt idx="659">
                  <c:v>2694.2432347760264</c:v>
                </c:pt>
                <c:pt idx="660">
                  <c:v>2695.8590508597376</c:v>
                </c:pt>
                <c:pt idx="661">
                  <c:v>2697.3757054538255</c:v>
                </c:pt>
                <c:pt idx="662">
                  <c:v>2698.7932907624336</c:v>
                </c:pt>
                <c:pt idx="663">
                  <c:v>2700.1118944252758</c:v>
                </c:pt>
                <c:pt idx="664">
                  <c:v>2701.3315996602023</c:v>
                </c:pt>
                <c:pt idx="665">
                  <c:v>2702.4524854211468</c:v>
                </c:pt>
                <c:pt idx="666">
                  <c:v>2703.4746265734448</c:v>
                </c:pt>
                <c:pt idx="667">
                  <c:v>2704.3980940885499</c:v>
                </c:pt>
                <c:pt idx="668">
                  <c:v>2705.2229552601057</c:v>
                </c:pt>
                <c:pt idx="669">
                  <c:v>2705.9492739431603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BC-E84B-8A2E-77A3E8DE6A60}"/>
            </c:ext>
          </c:extLst>
        </c:ser>
        <c:ser>
          <c:idx val="6"/>
          <c:order val="6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Trajecto!$B$157</c:f>
              <c:numCache>
                <c:formatCode>General</c:formatCode>
                <c:ptCount val="1"/>
                <c:pt idx="0">
                  <c:v>5.5</c:v>
                </c:pt>
              </c:numCache>
            </c:numRef>
          </c:xVal>
          <c:yVal>
            <c:numRef>
              <c:f>Trajecto!$C$155</c:f>
              <c:numCache>
                <c:formatCode>0</c:formatCode>
                <c:ptCount val="1"/>
                <c:pt idx="0">
                  <c:v>1353.2885554089967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BC-E84B-8A2E-77A3E8DE6A60}"/>
            </c:ext>
          </c:extLst>
        </c:ser>
        <c:ser>
          <c:idx val="7"/>
          <c:order val="7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808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Trajecto!$B$158</c:f>
              <c:numCache>
                <c:formatCode>General</c:formatCode>
                <c:ptCount val="1"/>
                <c:pt idx="0">
                  <c:v>36.000000000000178</c:v>
                </c:pt>
              </c:numCache>
            </c:numRef>
          </c:xVal>
          <c:yVal>
            <c:numRef>
              <c:f>Trajecto!$C$156</c:f>
              <c:numCache>
                <c:formatCode>0</c:formatCode>
                <c:ptCount val="1"/>
                <c:pt idx="0">
                  <c:v>1354.1205041303517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BC-E84B-8A2E-77A3E8DE6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430064"/>
        <c:axId val="1"/>
      </c:scatterChart>
      <c:valAx>
        <c:axId val="18064300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Trajecto!$B$112</c:f>
              <c:strCache>
                <c:ptCount val="1"/>
                <c:pt idx="0">
                  <c:v>Temps [s]</c:v>
                </c:pt>
              </c:strCache>
            </c:strRef>
          </c:tx>
          <c:layout>
            <c:manualLayout>
              <c:xMode val="edge"/>
              <c:yMode val="edge"/>
              <c:x val="0.60555551848391831"/>
              <c:y val="0.85139305699995049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800" b="1" i="0" u="none" strike="noStrike" baseline="0">
                  <a:solidFill>
                    <a:srgbClr val="0000FF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Altitude z [m]</a:t>
                </a:r>
              </a:p>
            </c:rich>
          </c:tx>
          <c:layout>
            <c:manualLayout>
              <c:xMode val="edge"/>
              <c:yMode val="edge"/>
              <c:x val="9.0000333644735087E-2"/>
              <c:y val="6.8111391736410301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6430064"/>
        <c:crosses val="autoZero"/>
        <c:crossBetween val="midCat"/>
      </c:valAx>
      <c:spPr>
        <a:gradFill rotWithShape="0">
          <a:gsLst>
            <a:gs pos="0">
              <a:srgbClr val="99CC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Forces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674528301886802"/>
          <c:y val="9.4771544282144501E-2"/>
          <c:w val="0.86438679245283023"/>
          <c:h val="0.74183243282920064"/>
        </c:manualLayout>
      </c:layout>
      <c:scatterChart>
        <c:scatterStyle val="lineMarker"/>
        <c:varyColors val="0"/>
        <c:ser>
          <c:idx val="1"/>
          <c:order val="0"/>
          <c:tx>
            <c:strRef>
              <c:f>Courbes!$B$134</c:f>
              <c:strCache>
                <c:ptCount val="1"/>
                <c:pt idx="0">
                  <c:v>Poussée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5.0999999999999375</c:v>
                </c:pt>
                <c:pt idx="502">
                  <c:v>5.1999999999999371</c:v>
                </c:pt>
                <c:pt idx="503">
                  <c:v>5.2999999999999368</c:v>
                </c:pt>
                <c:pt idx="504">
                  <c:v>5.3999999999999364</c:v>
                </c:pt>
                <c:pt idx="505">
                  <c:v>5.4999999999999361</c:v>
                </c:pt>
                <c:pt idx="506">
                  <c:v>5.5999999999999357</c:v>
                </c:pt>
                <c:pt idx="507">
                  <c:v>5.6999999999999353</c:v>
                </c:pt>
                <c:pt idx="508">
                  <c:v>5.799999999999935</c:v>
                </c:pt>
                <c:pt idx="509">
                  <c:v>5.8999999999999346</c:v>
                </c:pt>
                <c:pt idx="510">
                  <c:v>5.9999999999999343</c:v>
                </c:pt>
                <c:pt idx="511">
                  <c:v>6.0999999999999339</c:v>
                </c:pt>
                <c:pt idx="512">
                  <c:v>6.1999999999999336</c:v>
                </c:pt>
                <c:pt idx="513">
                  <c:v>6.2999999999999332</c:v>
                </c:pt>
                <c:pt idx="514">
                  <c:v>6.3999999999999329</c:v>
                </c:pt>
                <c:pt idx="515">
                  <c:v>6.4999999999999325</c:v>
                </c:pt>
                <c:pt idx="516">
                  <c:v>6.5999999999999321</c:v>
                </c:pt>
                <c:pt idx="517">
                  <c:v>6.6999999999999318</c:v>
                </c:pt>
                <c:pt idx="518">
                  <c:v>6.7999999999999314</c:v>
                </c:pt>
                <c:pt idx="519">
                  <c:v>6.8999999999999311</c:v>
                </c:pt>
                <c:pt idx="520">
                  <c:v>6.9999999999999307</c:v>
                </c:pt>
                <c:pt idx="521">
                  <c:v>7.0999999999999304</c:v>
                </c:pt>
                <c:pt idx="522">
                  <c:v>7.19999999999993</c:v>
                </c:pt>
                <c:pt idx="523">
                  <c:v>7.2999999999999297</c:v>
                </c:pt>
                <c:pt idx="524">
                  <c:v>7.3999999999999293</c:v>
                </c:pt>
                <c:pt idx="525">
                  <c:v>7.4999999999999289</c:v>
                </c:pt>
                <c:pt idx="526">
                  <c:v>7.5999999999999286</c:v>
                </c:pt>
                <c:pt idx="527">
                  <c:v>7.6999999999999282</c:v>
                </c:pt>
                <c:pt idx="528">
                  <c:v>7.7999999999999279</c:v>
                </c:pt>
                <c:pt idx="529">
                  <c:v>7.8999999999999275</c:v>
                </c:pt>
                <c:pt idx="530">
                  <c:v>7.9999999999999272</c:v>
                </c:pt>
                <c:pt idx="531">
                  <c:v>8.0999999999999268</c:v>
                </c:pt>
                <c:pt idx="532">
                  <c:v>8.1999999999999265</c:v>
                </c:pt>
                <c:pt idx="533">
                  <c:v>8.2999999999999261</c:v>
                </c:pt>
                <c:pt idx="534">
                  <c:v>8.3999999999999257</c:v>
                </c:pt>
                <c:pt idx="535">
                  <c:v>8.4999999999999254</c:v>
                </c:pt>
                <c:pt idx="536">
                  <c:v>8.599999999999925</c:v>
                </c:pt>
                <c:pt idx="537">
                  <c:v>8.6999999999999247</c:v>
                </c:pt>
                <c:pt idx="538">
                  <c:v>8.7999999999999243</c:v>
                </c:pt>
                <c:pt idx="539">
                  <c:v>8.899999999999924</c:v>
                </c:pt>
                <c:pt idx="540">
                  <c:v>8.9999999999999236</c:v>
                </c:pt>
                <c:pt idx="541">
                  <c:v>9.0999999999999233</c:v>
                </c:pt>
                <c:pt idx="542">
                  <c:v>9.1999999999999229</c:v>
                </c:pt>
                <c:pt idx="543">
                  <c:v>9.2999999999999226</c:v>
                </c:pt>
                <c:pt idx="544">
                  <c:v>9.3999999999999222</c:v>
                </c:pt>
                <c:pt idx="545">
                  <c:v>9.4999999999999218</c:v>
                </c:pt>
                <c:pt idx="546">
                  <c:v>9.5999999999999215</c:v>
                </c:pt>
                <c:pt idx="547">
                  <c:v>9.6999999999999211</c:v>
                </c:pt>
                <c:pt idx="548">
                  <c:v>9.7999999999999208</c:v>
                </c:pt>
                <c:pt idx="549">
                  <c:v>9.8999999999999204</c:v>
                </c:pt>
                <c:pt idx="550">
                  <c:v>9.9999999999999201</c:v>
                </c:pt>
                <c:pt idx="551">
                  <c:v>10.09999999999992</c:v>
                </c:pt>
                <c:pt idx="552">
                  <c:v>10.199999999999919</c:v>
                </c:pt>
                <c:pt idx="553">
                  <c:v>10.299999999999919</c:v>
                </c:pt>
                <c:pt idx="554">
                  <c:v>10.399999999999919</c:v>
                </c:pt>
                <c:pt idx="555">
                  <c:v>10.499999999999918</c:v>
                </c:pt>
                <c:pt idx="556">
                  <c:v>10.599999999999918</c:v>
                </c:pt>
                <c:pt idx="557">
                  <c:v>10.699999999999918</c:v>
                </c:pt>
                <c:pt idx="558">
                  <c:v>10.799999999999917</c:v>
                </c:pt>
                <c:pt idx="559">
                  <c:v>10.899999999999917</c:v>
                </c:pt>
                <c:pt idx="560">
                  <c:v>10.999999999999917</c:v>
                </c:pt>
                <c:pt idx="561">
                  <c:v>11.099999999999916</c:v>
                </c:pt>
                <c:pt idx="562">
                  <c:v>11.199999999999916</c:v>
                </c:pt>
                <c:pt idx="563">
                  <c:v>11.299999999999915</c:v>
                </c:pt>
                <c:pt idx="564">
                  <c:v>11.399999999999915</c:v>
                </c:pt>
                <c:pt idx="565">
                  <c:v>11.499999999999915</c:v>
                </c:pt>
                <c:pt idx="566">
                  <c:v>11.599999999999914</c:v>
                </c:pt>
                <c:pt idx="567">
                  <c:v>11.699999999999914</c:v>
                </c:pt>
                <c:pt idx="568">
                  <c:v>11.799999999999914</c:v>
                </c:pt>
                <c:pt idx="569">
                  <c:v>11.899999999999913</c:v>
                </c:pt>
                <c:pt idx="570">
                  <c:v>11.999999999999913</c:v>
                </c:pt>
                <c:pt idx="571">
                  <c:v>12.099999999999913</c:v>
                </c:pt>
                <c:pt idx="572">
                  <c:v>12.199999999999912</c:v>
                </c:pt>
                <c:pt idx="573">
                  <c:v>12.299999999999912</c:v>
                </c:pt>
                <c:pt idx="574">
                  <c:v>12.399999999999912</c:v>
                </c:pt>
                <c:pt idx="575">
                  <c:v>12.499999999999911</c:v>
                </c:pt>
                <c:pt idx="576">
                  <c:v>12.599999999999911</c:v>
                </c:pt>
                <c:pt idx="577">
                  <c:v>12.69999999999991</c:v>
                </c:pt>
                <c:pt idx="578">
                  <c:v>12.79999999999991</c:v>
                </c:pt>
                <c:pt idx="579">
                  <c:v>12.89999999999991</c:v>
                </c:pt>
                <c:pt idx="580">
                  <c:v>12.999999999999909</c:v>
                </c:pt>
                <c:pt idx="581">
                  <c:v>13.099999999999909</c:v>
                </c:pt>
                <c:pt idx="582">
                  <c:v>13.199999999999909</c:v>
                </c:pt>
                <c:pt idx="583">
                  <c:v>13.299999999999908</c:v>
                </c:pt>
                <c:pt idx="584">
                  <c:v>13.399999999999908</c:v>
                </c:pt>
                <c:pt idx="585">
                  <c:v>13.499999999999908</c:v>
                </c:pt>
                <c:pt idx="586">
                  <c:v>13.599999999999907</c:v>
                </c:pt>
                <c:pt idx="587">
                  <c:v>13.699999999999907</c:v>
                </c:pt>
                <c:pt idx="588">
                  <c:v>13.799999999999907</c:v>
                </c:pt>
                <c:pt idx="589">
                  <c:v>13.899999999999906</c:v>
                </c:pt>
                <c:pt idx="590">
                  <c:v>13.999999999999906</c:v>
                </c:pt>
                <c:pt idx="591">
                  <c:v>14.099999999999905</c:v>
                </c:pt>
                <c:pt idx="592">
                  <c:v>14.199999999999905</c:v>
                </c:pt>
                <c:pt idx="593">
                  <c:v>14.299999999999905</c:v>
                </c:pt>
                <c:pt idx="594">
                  <c:v>14.399999999999904</c:v>
                </c:pt>
                <c:pt idx="595">
                  <c:v>14.499999999999904</c:v>
                </c:pt>
                <c:pt idx="596">
                  <c:v>14.599999999999904</c:v>
                </c:pt>
                <c:pt idx="597">
                  <c:v>14.699999999999903</c:v>
                </c:pt>
                <c:pt idx="598">
                  <c:v>14.799999999999903</c:v>
                </c:pt>
                <c:pt idx="599">
                  <c:v>14.899999999999903</c:v>
                </c:pt>
                <c:pt idx="600">
                  <c:v>14.999999999999902</c:v>
                </c:pt>
                <c:pt idx="601">
                  <c:v>15.099999999999902</c:v>
                </c:pt>
                <c:pt idx="602">
                  <c:v>15.199999999999902</c:v>
                </c:pt>
                <c:pt idx="603">
                  <c:v>15.299999999999901</c:v>
                </c:pt>
                <c:pt idx="604">
                  <c:v>15.399999999999901</c:v>
                </c:pt>
                <c:pt idx="605">
                  <c:v>15.499999999999901</c:v>
                </c:pt>
                <c:pt idx="606">
                  <c:v>15.5999999999999</c:v>
                </c:pt>
                <c:pt idx="607">
                  <c:v>15.6999999999999</c:v>
                </c:pt>
                <c:pt idx="608">
                  <c:v>15.799999999999899</c:v>
                </c:pt>
                <c:pt idx="609">
                  <c:v>15.899999999999899</c:v>
                </c:pt>
                <c:pt idx="610">
                  <c:v>15.999999999999899</c:v>
                </c:pt>
                <c:pt idx="611">
                  <c:v>16.099999999999898</c:v>
                </c:pt>
                <c:pt idx="612">
                  <c:v>16.1999999999999</c:v>
                </c:pt>
                <c:pt idx="613">
                  <c:v>16.299999999999901</c:v>
                </c:pt>
                <c:pt idx="614">
                  <c:v>16.399999999999903</c:v>
                </c:pt>
                <c:pt idx="615">
                  <c:v>16.499999999999904</c:v>
                </c:pt>
                <c:pt idx="616">
                  <c:v>16.599999999999905</c:v>
                </c:pt>
                <c:pt idx="617">
                  <c:v>16.699999999999907</c:v>
                </c:pt>
                <c:pt idx="618">
                  <c:v>16.799999999999908</c:v>
                </c:pt>
                <c:pt idx="619">
                  <c:v>16.89999999999991</c:v>
                </c:pt>
                <c:pt idx="620">
                  <c:v>16.999999999999911</c:v>
                </c:pt>
                <c:pt idx="621">
                  <c:v>17.099999999999913</c:v>
                </c:pt>
                <c:pt idx="622">
                  <c:v>17.199999999999914</c:v>
                </c:pt>
                <c:pt idx="623">
                  <c:v>17.299999999999915</c:v>
                </c:pt>
                <c:pt idx="624">
                  <c:v>17.399999999999917</c:v>
                </c:pt>
                <c:pt idx="625">
                  <c:v>17.499999999999918</c:v>
                </c:pt>
                <c:pt idx="626">
                  <c:v>17.59999999999992</c:v>
                </c:pt>
                <c:pt idx="627">
                  <c:v>17.699999999999921</c:v>
                </c:pt>
                <c:pt idx="628">
                  <c:v>17.799999999999923</c:v>
                </c:pt>
                <c:pt idx="629">
                  <c:v>17.899999999999924</c:v>
                </c:pt>
                <c:pt idx="630">
                  <c:v>17.999999999999925</c:v>
                </c:pt>
                <c:pt idx="631">
                  <c:v>18.099999999999927</c:v>
                </c:pt>
                <c:pt idx="632">
                  <c:v>18.199999999999928</c:v>
                </c:pt>
                <c:pt idx="633">
                  <c:v>18.29999999999993</c:v>
                </c:pt>
                <c:pt idx="634">
                  <c:v>18.399999999999931</c:v>
                </c:pt>
                <c:pt idx="635">
                  <c:v>18.499999999999932</c:v>
                </c:pt>
                <c:pt idx="636">
                  <c:v>18.599999999999934</c:v>
                </c:pt>
                <c:pt idx="637">
                  <c:v>18.699999999999935</c:v>
                </c:pt>
                <c:pt idx="638">
                  <c:v>18.799999999999937</c:v>
                </c:pt>
                <c:pt idx="639">
                  <c:v>18.899999999999938</c:v>
                </c:pt>
                <c:pt idx="640">
                  <c:v>18.99999999999994</c:v>
                </c:pt>
                <c:pt idx="641">
                  <c:v>19.099999999999941</c:v>
                </c:pt>
                <c:pt idx="642">
                  <c:v>19.199999999999942</c:v>
                </c:pt>
                <c:pt idx="643">
                  <c:v>19.299999999999944</c:v>
                </c:pt>
                <c:pt idx="644">
                  <c:v>19.399999999999945</c:v>
                </c:pt>
                <c:pt idx="645">
                  <c:v>19.499999999999947</c:v>
                </c:pt>
                <c:pt idx="646">
                  <c:v>19.599999999999948</c:v>
                </c:pt>
                <c:pt idx="647">
                  <c:v>19.69999999999995</c:v>
                </c:pt>
                <c:pt idx="648">
                  <c:v>19.799999999999951</c:v>
                </c:pt>
                <c:pt idx="649">
                  <c:v>19.899999999999952</c:v>
                </c:pt>
                <c:pt idx="650">
                  <c:v>19.999999999999954</c:v>
                </c:pt>
                <c:pt idx="651">
                  <c:v>20.099999999999955</c:v>
                </c:pt>
                <c:pt idx="652">
                  <c:v>20.199999999999957</c:v>
                </c:pt>
                <c:pt idx="653">
                  <c:v>20.299999999999958</c:v>
                </c:pt>
                <c:pt idx="654">
                  <c:v>20.399999999999959</c:v>
                </c:pt>
                <c:pt idx="655">
                  <c:v>20.499999999999961</c:v>
                </c:pt>
                <c:pt idx="656">
                  <c:v>20.599999999999962</c:v>
                </c:pt>
                <c:pt idx="657">
                  <c:v>20.699999999999964</c:v>
                </c:pt>
                <c:pt idx="658">
                  <c:v>20.799999999999965</c:v>
                </c:pt>
                <c:pt idx="659">
                  <c:v>20.899999999999967</c:v>
                </c:pt>
                <c:pt idx="660">
                  <c:v>20.999999999999968</c:v>
                </c:pt>
                <c:pt idx="661">
                  <c:v>21.099999999999969</c:v>
                </c:pt>
                <c:pt idx="662">
                  <c:v>21.199999999999971</c:v>
                </c:pt>
                <c:pt idx="663">
                  <c:v>21.299999999999972</c:v>
                </c:pt>
                <c:pt idx="664">
                  <c:v>21.399999999999974</c:v>
                </c:pt>
                <c:pt idx="665">
                  <c:v>21.499999999999975</c:v>
                </c:pt>
                <c:pt idx="666">
                  <c:v>21.599999999999977</c:v>
                </c:pt>
                <c:pt idx="667">
                  <c:v>21.699999999999978</c:v>
                </c:pt>
                <c:pt idx="668">
                  <c:v>21.799999999999979</c:v>
                </c:pt>
                <c:pt idx="669">
                  <c:v>21.899999999999981</c:v>
                </c:pt>
                <c:pt idx="670">
                  <c:v>21.999999999999982</c:v>
                </c:pt>
                <c:pt idx="671">
                  <c:v>22.099999999999984</c:v>
                </c:pt>
                <c:pt idx="672">
                  <c:v>22.199999999999985</c:v>
                </c:pt>
                <c:pt idx="673">
                  <c:v>22.299999999999986</c:v>
                </c:pt>
                <c:pt idx="674">
                  <c:v>22.399999999999988</c:v>
                </c:pt>
                <c:pt idx="675">
                  <c:v>22.499999999999989</c:v>
                </c:pt>
                <c:pt idx="676">
                  <c:v>22.599999999999991</c:v>
                </c:pt>
                <c:pt idx="677">
                  <c:v>22.699999999999992</c:v>
                </c:pt>
                <c:pt idx="678">
                  <c:v>22.799999999999994</c:v>
                </c:pt>
                <c:pt idx="679">
                  <c:v>22.899999999999995</c:v>
                </c:pt>
                <c:pt idx="680">
                  <c:v>22.999999999999996</c:v>
                </c:pt>
                <c:pt idx="681">
                  <c:v>23.099999999999998</c:v>
                </c:pt>
                <c:pt idx="682">
                  <c:v>23.2</c:v>
                </c:pt>
                <c:pt idx="683">
                  <c:v>23.3</c:v>
                </c:pt>
                <c:pt idx="684">
                  <c:v>23.400000000000002</c:v>
                </c:pt>
                <c:pt idx="685">
                  <c:v>23.500000000000004</c:v>
                </c:pt>
                <c:pt idx="686">
                  <c:v>23.600000000000005</c:v>
                </c:pt>
                <c:pt idx="687">
                  <c:v>23.700000000000006</c:v>
                </c:pt>
                <c:pt idx="688">
                  <c:v>23.800000000000008</c:v>
                </c:pt>
                <c:pt idx="689">
                  <c:v>23.900000000000009</c:v>
                </c:pt>
                <c:pt idx="690">
                  <c:v>24.000000000000011</c:v>
                </c:pt>
                <c:pt idx="691">
                  <c:v>24.100000000000012</c:v>
                </c:pt>
                <c:pt idx="692">
                  <c:v>24.200000000000014</c:v>
                </c:pt>
                <c:pt idx="693">
                  <c:v>24.300000000000015</c:v>
                </c:pt>
                <c:pt idx="694">
                  <c:v>24.400000000000016</c:v>
                </c:pt>
                <c:pt idx="695">
                  <c:v>24.500000000000018</c:v>
                </c:pt>
                <c:pt idx="696">
                  <c:v>24.600000000000019</c:v>
                </c:pt>
                <c:pt idx="697">
                  <c:v>24.700000000000021</c:v>
                </c:pt>
                <c:pt idx="698">
                  <c:v>24.800000000000022</c:v>
                </c:pt>
                <c:pt idx="699">
                  <c:v>24.900000000000023</c:v>
                </c:pt>
                <c:pt idx="700">
                  <c:v>25.000000000000025</c:v>
                </c:pt>
                <c:pt idx="701">
                  <c:v>25.100000000000026</c:v>
                </c:pt>
                <c:pt idx="702">
                  <c:v>25.200000000000028</c:v>
                </c:pt>
                <c:pt idx="703">
                  <c:v>25.300000000000029</c:v>
                </c:pt>
                <c:pt idx="704">
                  <c:v>25.400000000000031</c:v>
                </c:pt>
                <c:pt idx="705">
                  <c:v>25.500000000000032</c:v>
                </c:pt>
                <c:pt idx="706">
                  <c:v>25.600000000000033</c:v>
                </c:pt>
                <c:pt idx="707">
                  <c:v>25.700000000000035</c:v>
                </c:pt>
                <c:pt idx="708">
                  <c:v>25.800000000000036</c:v>
                </c:pt>
                <c:pt idx="709">
                  <c:v>25.900000000000038</c:v>
                </c:pt>
                <c:pt idx="710">
                  <c:v>26.000000000000039</c:v>
                </c:pt>
                <c:pt idx="711">
                  <c:v>26.100000000000041</c:v>
                </c:pt>
                <c:pt idx="712">
                  <c:v>26.200000000000042</c:v>
                </c:pt>
                <c:pt idx="713">
                  <c:v>26.300000000000043</c:v>
                </c:pt>
                <c:pt idx="714">
                  <c:v>26.400000000000045</c:v>
                </c:pt>
                <c:pt idx="715">
                  <c:v>26.500000000000046</c:v>
                </c:pt>
                <c:pt idx="716">
                  <c:v>26.600000000000048</c:v>
                </c:pt>
                <c:pt idx="717">
                  <c:v>26.700000000000049</c:v>
                </c:pt>
                <c:pt idx="718">
                  <c:v>26.80000000000005</c:v>
                </c:pt>
                <c:pt idx="719">
                  <c:v>26.900000000000052</c:v>
                </c:pt>
                <c:pt idx="720">
                  <c:v>27.000000000000053</c:v>
                </c:pt>
                <c:pt idx="721">
                  <c:v>27.100000000000055</c:v>
                </c:pt>
                <c:pt idx="722">
                  <c:v>27.200000000000056</c:v>
                </c:pt>
                <c:pt idx="723">
                  <c:v>27.300000000000058</c:v>
                </c:pt>
                <c:pt idx="724">
                  <c:v>27.400000000000059</c:v>
                </c:pt>
                <c:pt idx="725">
                  <c:v>27.50000000000006</c:v>
                </c:pt>
                <c:pt idx="726">
                  <c:v>27.600000000000062</c:v>
                </c:pt>
                <c:pt idx="727">
                  <c:v>27.700000000000063</c:v>
                </c:pt>
                <c:pt idx="728">
                  <c:v>27.800000000000065</c:v>
                </c:pt>
                <c:pt idx="729">
                  <c:v>27.900000000000066</c:v>
                </c:pt>
                <c:pt idx="730">
                  <c:v>28.000000000000068</c:v>
                </c:pt>
                <c:pt idx="731">
                  <c:v>28.100000000000069</c:v>
                </c:pt>
                <c:pt idx="732">
                  <c:v>28.20000000000007</c:v>
                </c:pt>
                <c:pt idx="733">
                  <c:v>28.300000000000072</c:v>
                </c:pt>
                <c:pt idx="734">
                  <c:v>28.400000000000073</c:v>
                </c:pt>
                <c:pt idx="735">
                  <c:v>28.500000000000075</c:v>
                </c:pt>
                <c:pt idx="736">
                  <c:v>28.600000000000076</c:v>
                </c:pt>
                <c:pt idx="737">
                  <c:v>28.700000000000077</c:v>
                </c:pt>
                <c:pt idx="738">
                  <c:v>28.800000000000079</c:v>
                </c:pt>
                <c:pt idx="739">
                  <c:v>28.90000000000008</c:v>
                </c:pt>
                <c:pt idx="740">
                  <c:v>29.000000000000082</c:v>
                </c:pt>
                <c:pt idx="741">
                  <c:v>29.100000000000083</c:v>
                </c:pt>
                <c:pt idx="742">
                  <c:v>29.200000000000085</c:v>
                </c:pt>
                <c:pt idx="743">
                  <c:v>29.300000000000086</c:v>
                </c:pt>
                <c:pt idx="744">
                  <c:v>29.400000000000087</c:v>
                </c:pt>
                <c:pt idx="745">
                  <c:v>29.500000000000089</c:v>
                </c:pt>
                <c:pt idx="746">
                  <c:v>29.60000000000009</c:v>
                </c:pt>
                <c:pt idx="747">
                  <c:v>29.700000000000092</c:v>
                </c:pt>
                <c:pt idx="748">
                  <c:v>29.800000000000093</c:v>
                </c:pt>
                <c:pt idx="749">
                  <c:v>29.900000000000095</c:v>
                </c:pt>
                <c:pt idx="750">
                  <c:v>30.000000000000096</c:v>
                </c:pt>
                <c:pt idx="751">
                  <c:v>30.100000000000097</c:v>
                </c:pt>
                <c:pt idx="752">
                  <c:v>30.200000000000099</c:v>
                </c:pt>
                <c:pt idx="753">
                  <c:v>30.3000000000001</c:v>
                </c:pt>
                <c:pt idx="754">
                  <c:v>30.400000000000102</c:v>
                </c:pt>
                <c:pt idx="755">
                  <c:v>30.500000000000103</c:v>
                </c:pt>
                <c:pt idx="756">
                  <c:v>30.600000000000104</c:v>
                </c:pt>
                <c:pt idx="757">
                  <c:v>30.700000000000106</c:v>
                </c:pt>
                <c:pt idx="758">
                  <c:v>30.800000000000107</c:v>
                </c:pt>
                <c:pt idx="759">
                  <c:v>30.900000000000109</c:v>
                </c:pt>
                <c:pt idx="760">
                  <c:v>31.00000000000011</c:v>
                </c:pt>
                <c:pt idx="761">
                  <c:v>31.100000000000112</c:v>
                </c:pt>
                <c:pt idx="762">
                  <c:v>31.200000000000113</c:v>
                </c:pt>
                <c:pt idx="763">
                  <c:v>31.300000000000114</c:v>
                </c:pt>
                <c:pt idx="764">
                  <c:v>31.400000000000116</c:v>
                </c:pt>
                <c:pt idx="765">
                  <c:v>31.500000000000117</c:v>
                </c:pt>
                <c:pt idx="766">
                  <c:v>31.600000000000119</c:v>
                </c:pt>
                <c:pt idx="767">
                  <c:v>31.70000000000012</c:v>
                </c:pt>
                <c:pt idx="768">
                  <c:v>31.800000000000122</c:v>
                </c:pt>
                <c:pt idx="769">
                  <c:v>31.900000000000123</c:v>
                </c:pt>
                <c:pt idx="770">
                  <c:v>32.000000000000121</c:v>
                </c:pt>
                <c:pt idx="771">
                  <c:v>32.100000000000122</c:v>
                </c:pt>
                <c:pt idx="772">
                  <c:v>32.200000000000124</c:v>
                </c:pt>
                <c:pt idx="773">
                  <c:v>32.300000000000125</c:v>
                </c:pt>
                <c:pt idx="774">
                  <c:v>32.400000000000126</c:v>
                </c:pt>
                <c:pt idx="775">
                  <c:v>32.500000000000128</c:v>
                </c:pt>
                <c:pt idx="776">
                  <c:v>32.600000000000129</c:v>
                </c:pt>
                <c:pt idx="777">
                  <c:v>32.700000000000131</c:v>
                </c:pt>
                <c:pt idx="778">
                  <c:v>32.800000000000132</c:v>
                </c:pt>
                <c:pt idx="779">
                  <c:v>32.900000000000134</c:v>
                </c:pt>
                <c:pt idx="780">
                  <c:v>33.000000000000135</c:v>
                </c:pt>
                <c:pt idx="781">
                  <c:v>33.100000000000136</c:v>
                </c:pt>
                <c:pt idx="782">
                  <c:v>33.200000000000138</c:v>
                </c:pt>
                <c:pt idx="783">
                  <c:v>33.300000000000139</c:v>
                </c:pt>
                <c:pt idx="784">
                  <c:v>33.400000000000141</c:v>
                </c:pt>
                <c:pt idx="785">
                  <c:v>33.500000000000142</c:v>
                </c:pt>
                <c:pt idx="786">
                  <c:v>33.600000000000144</c:v>
                </c:pt>
                <c:pt idx="787">
                  <c:v>33.700000000000145</c:v>
                </c:pt>
                <c:pt idx="788">
                  <c:v>33.800000000000146</c:v>
                </c:pt>
                <c:pt idx="789">
                  <c:v>33.900000000000148</c:v>
                </c:pt>
                <c:pt idx="790">
                  <c:v>34.000000000000149</c:v>
                </c:pt>
                <c:pt idx="791">
                  <c:v>34.100000000000151</c:v>
                </c:pt>
                <c:pt idx="792">
                  <c:v>34.200000000000152</c:v>
                </c:pt>
                <c:pt idx="793">
                  <c:v>34.300000000000153</c:v>
                </c:pt>
                <c:pt idx="794">
                  <c:v>34.400000000000155</c:v>
                </c:pt>
                <c:pt idx="795">
                  <c:v>34.500000000000156</c:v>
                </c:pt>
                <c:pt idx="796">
                  <c:v>34.600000000000158</c:v>
                </c:pt>
                <c:pt idx="797">
                  <c:v>34.700000000000159</c:v>
                </c:pt>
                <c:pt idx="798">
                  <c:v>34.800000000000161</c:v>
                </c:pt>
                <c:pt idx="799">
                  <c:v>34.900000000000162</c:v>
                </c:pt>
                <c:pt idx="800">
                  <c:v>35.000000000000163</c:v>
                </c:pt>
                <c:pt idx="801">
                  <c:v>35.100000000000165</c:v>
                </c:pt>
                <c:pt idx="802">
                  <c:v>35.200000000000166</c:v>
                </c:pt>
                <c:pt idx="803">
                  <c:v>35.300000000000168</c:v>
                </c:pt>
                <c:pt idx="804">
                  <c:v>35.400000000000169</c:v>
                </c:pt>
                <c:pt idx="805">
                  <c:v>35.500000000000171</c:v>
                </c:pt>
                <c:pt idx="806">
                  <c:v>35.600000000000172</c:v>
                </c:pt>
                <c:pt idx="807">
                  <c:v>35.700000000000173</c:v>
                </c:pt>
                <c:pt idx="808">
                  <c:v>35.800000000000175</c:v>
                </c:pt>
                <c:pt idx="809">
                  <c:v>35.900000000000176</c:v>
                </c:pt>
                <c:pt idx="810">
                  <c:v>36.000000000000178</c:v>
                </c:pt>
                <c:pt idx="811">
                  <c:v>36.100000000000179</c:v>
                </c:pt>
                <c:pt idx="812">
                  <c:v>36.20000000000018</c:v>
                </c:pt>
                <c:pt idx="813">
                  <c:v>36.300000000000182</c:v>
                </c:pt>
                <c:pt idx="814">
                  <c:v>36.400000000000183</c:v>
                </c:pt>
                <c:pt idx="815">
                  <c:v>36.500000000000185</c:v>
                </c:pt>
                <c:pt idx="816">
                  <c:v>36.600000000000186</c:v>
                </c:pt>
                <c:pt idx="817">
                  <c:v>36.700000000000188</c:v>
                </c:pt>
                <c:pt idx="818">
                  <c:v>36.800000000000189</c:v>
                </c:pt>
                <c:pt idx="819">
                  <c:v>36.90000000000019</c:v>
                </c:pt>
                <c:pt idx="820">
                  <c:v>37.000000000000192</c:v>
                </c:pt>
                <c:pt idx="821">
                  <c:v>37.100000000000193</c:v>
                </c:pt>
                <c:pt idx="822">
                  <c:v>37.200000000000195</c:v>
                </c:pt>
                <c:pt idx="823">
                  <c:v>37.300000000000196</c:v>
                </c:pt>
                <c:pt idx="824">
                  <c:v>37.400000000000198</c:v>
                </c:pt>
                <c:pt idx="825">
                  <c:v>37.500000000000199</c:v>
                </c:pt>
                <c:pt idx="826">
                  <c:v>37.6000000000002</c:v>
                </c:pt>
                <c:pt idx="827">
                  <c:v>37.700000000000202</c:v>
                </c:pt>
                <c:pt idx="828">
                  <c:v>37.800000000000203</c:v>
                </c:pt>
                <c:pt idx="829">
                  <c:v>37.900000000000205</c:v>
                </c:pt>
                <c:pt idx="830">
                  <c:v>38.000000000000206</c:v>
                </c:pt>
                <c:pt idx="831">
                  <c:v>38.100000000000207</c:v>
                </c:pt>
                <c:pt idx="832">
                  <c:v>38.200000000000209</c:v>
                </c:pt>
                <c:pt idx="833">
                  <c:v>38.30000000000021</c:v>
                </c:pt>
                <c:pt idx="834">
                  <c:v>38.400000000000212</c:v>
                </c:pt>
                <c:pt idx="835">
                  <c:v>38.500000000000213</c:v>
                </c:pt>
                <c:pt idx="836">
                  <c:v>38.600000000000215</c:v>
                </c:pt>
                <c:pt idx="837">
                  <c:v>38.700000000000216</c:v>
                </c:pt>
                <c:pt idx="838">
                  <c:v>38.800000000000217</c:v>
                </c:pt>
                <c:pt idx="839">
                  <c:v>38.900000000000219</c:v>
                </c:pt>
                <c:pt idx="840">
                  <c:v>39.00000000000022</c:v>
                </c:pt>
                <c:pt idx="841">
                  <c:v>39.100000000000222</c:v>
                </c:pt>
                <c:pt idx="842">
                  <c:v>39.200000000000223</c:v>
                </c:pt>
                <c:pt idx="843">
                  <c:v>39.300000000000225</c:v>
                </c:pt>
                <c:pt idx="844">
                  <c:v>39.400000000000226</c:v>
                </c:pt>
                <c:pt idx="845">
                  <c:v>39.500000000000227</c:v>
                </c:pt>
                <c:pt idx="846">
                  <c:v>39.600000000000229</c:v>
                </c:pt>
                <c:pt idx="847">
                  <c:v>39.70000000000023</c:v>
                </c:pt>
                <c:pt idx="848">
                  <c:v>39.800000000000232</c:v>
                </c:pt>
                <c:pt idx="849">
                  <c:v>39.900000000000233</c:v>
                </c:pt>
                <c:pt idx="850">
                  <c:v>40.000000000000234</c:v>
                </c:pt>
                <c:pt idx="851">
                  <c:v>40.100000000000236</c:v>
                </c:pt>
                <c:pt idx="852">
                  <c:v>40.200000000000237</c:v>
                </c:pt>
                <c:pt idx="853">
                  <c:v>40.300000000000239</c:v>
                </c:pt>
                <c:pt idx="854">
                  <c:v>40.40000000000024</c:v>
                </c:pt>
                <c:pt idx="855">
                  <c:v>40.500000000000242</c:v>
                </c:pt>
                <c:pt idx="856">
                  <c:v>40.600000000000243</c:v>
                </c:pt>
                <c:pt idx="857">
                  <c:v>40.700000000000244</c:v>
                </c:pt>
                <c:pt idx="858">
                  <c:v>40.800000000000246</c:v>
                </c:pt>
                <c:pt idx="859">
                  <c:v>40.900000000000247</c:v>
                </c:pt>
                <c:pt idx="860">
                  <c:v>41.000000000000249</c:v>
                </c:pt>
                <c:pt idx="861">
                  <c:v>41.10000000000025</c:v>
                </c:pt>
                <c:pt idx="862">
                  <c:v>41.200000000000252</c:v>
                </c:pt>
                <c:pt idx="863">
                  <c:v>41.300000000000253</c:v>
                </c:pt>
                <c:pt idx="864">
                  <c:v>41.400000000000254</c:v>
                </c:pt>
                <c:pt idx="865">
                  <c:v>41.500000000000256</c:v>
                </c:pt>
                <c:pt idx="866">
                  <c:v>41.600000000000257</c:v>
                </c:pt>
                <c:pt idx="867">
                  <c:v>41.700000000000259</c:v>
                </c:pt>
                <c:pt idx="868">
                  <c:v>41.80000000000026</c:v>
                </c:pt>
                <c:pt idx="869">
                  <c:v>41.900000000000261</c:v>
                </c:pt>
                <c:pt idx="870">
                  <c:v>42.000000000000263</c:v>
                </c:pt>
                <c:pt idx="871">
                  <c:v>42.100000000000264</c:v>
                </c:pt>
                <c:pt idx="872">
                  <c:v>42.200000000000266</c:v>
                </c:pt>
                <c:pt idx="873">
                  <c:v>42.300000000000267</c:v>
                </c:pt>
                <c:pt idx="874">
                  <c:v>42.400000000000269</c:v>
                </c:pt>
                <c:pt idx="875">
                  <c:v>42.50000000000027</c:v>
                </c:pt>
                <c:pt idx="876">
                  <c:v>42.600000000000271</c:v>
                </c:pt>
                <c:pt idx="877">
                  <c:v>42.700000000000273</c:v>
                </c:pt>
                <c:pt idx="878">
                  <c:v>42.800000000000274</c:v>
                </c:pt>
                <c:pt idx="879">
                  <c:v>42.900000000000276</c:v>
                </c:pt>
                <c:pt idx="880">
                  <c:v>43.000000000000277</c:v>
                </c:pt>
                <c:pt idx="881">
                  <c:v>43.100000000000279</c:v>
                </c:pt>
                <c:pt idx="882">
                  <c:v>43.20000000000028</c:v>
                </c:pt>
                <c:pt idx="883">
                  <c:v>43.300000000000281</c:v>
                </c:pt>
                <c:pt idx="884">
                  <c:v>43.400000000000283</c:v>
                </c:pt>
                <c:pt idx="885">
                  <c:v>43.500000000000284</c:v>
                </c:pt>
                <c:pt idx="886">
                  <c:v>43.600000000000286</c:v>
                </c:pt>
                <c:pt idx="887">
                  <c:v>43.700000000000287</c:v>
                </c:pt>
                <c:pt idx="888">
                  <c:v>43.800000000000288</c:v>
                </c:pt>
                <c:pt idx="889">
                  <c:v>43.90000000000029</c:v>
                </c:pt>
                <c:pt idx="890">
                  <c:v>44.000000000000291</c:v>
                </c:pt>
                <c:pt idx="891">
                  <c:v>44.100000000000293</c:v>
                </c:pt>
                <c:pt idx="892">
                  <c:v>44.200000000000294</c:v>
                </c:pt>
                <c:pt idx="893">
                  <c:v>44.300000000000296</c:v>
                </c:pt>
                <c:pt idx="894">
                  <c:v>44.400000000000297</c:v>
                </c:pt>
                <c:pt idx="895">
                  <c:v>44.500000000000298</c:v>
                </c:pt>
                <c:pt idx="896">
                  <c:v>44.6000000000003</c:v>
                </c:pt>
                <c:pt idx="897">
                  <c:v>44.700000000000301</c:v>
                </c:pt>
                <c:pt idx="898">
                  <c:v>44.800000000000303</c:v>
                </c:pt>
                <c:pt idx="899">
                  <c:v>44.900000000000304</c:v>
                </c:pt>
                <c:pt idx="900">
                  <c:v>45.000000000000306</c:v>
                </c:pt>
                <c:pt idx="901">
                  <c:v>45.100000000000307</c:v>
                </c:pt>
                <c:pt idx="902">
                  <c:v>45.200000000000308</c:v>
                </c:pt>
                <c:pt idx="903">
                  <c:v>45.30000000000031</c:v>
                </c:pt>
                <c:pt idx="904">
                  <c:v>45.400000000000311</c:v>
                </c:pt>
                <c:pt idx="905">
                  <c:v>45.500000000000313</c:v>
                </c:pt>
                <c:pt idx="906">
                  <c:v>45.600000000000314</c:v>
                </c:pt>
                <c:pt idx="907">
                  <c:v>45.700000000000315</c:v>
                </c:pt>
                <c:pt idx="908">
                  <c:v>45.800000000000317</c:v>
                </c:pt>
                <c:pt idx="909">
                  <c:v>45.900000000000318</c:v>
                </c:pt>
                <c:pt idx="910">
                  <c:v>46.00000000000032</c:v>
                </c:pt>
                <c:pt idx="911">
                  <c:v>46.100000000000321</c:v>
                </c:pt>
                <c:pt idx="912">
                  <c:v>46.200000000000323</c:v>
                </c:pt>
                <c:pt idx="913">
                  <c:v>46.300000000000324</c:v>
                </c:pt>
                <c:pt idx="914">
                  <c:v>46.400000000000325</c:v>
                </c:pt>
                <c:pt idx="915">
                  <c:v>46.500000000000327</c:v>
                </c:pt>
                <c:pt idx="916">
                  <c:v>46.600000000000328</c:v>
                </c:pt>
                <c:pt idx="917">
                  <c:v>46.70000000000033</c:v>
                </c:pt>
                <c:pt idx="918">
                  <c:v>46.800000000000331</c:v>
                </c:pt>
                <c:pt idx="919">
                  <c:v>46.900000000000333</c:v>
                </c:pt>
                <c:pt idx="920">
                  <c:v>47.000000000000334</c:v>
                </c:pt>
                <c:pt idx="921">
                  <c:v>47.100000000000335</c:v>
                </c:pt>
                <c:pt idx="922">
                  <c:v>47.200000000000337</c:v>
                </c:pt>
                <c:pt idx="923">
                  <c:v>47.300000000000338</c:v>
                </c:pt>
                <c:pt idx="924">
                  <c:v>47.40000000000034</c:v>
                </c:pt>
                <c:pt idx="925">
                  <c:v>47.500000000000341</c:v>
                </c:pt>
                <c:pt idx="926">
                  <c:v>47.600000000000342</c:v>
                </c:pt>
                <c:pt idx="927">
                  <c:v>47.700000000000344</c:v>
                </c:pt>
                <c:pt idx="928">
                  <c:v>47.800000000000345</c:v>
                </c:pt>
                <c:pt idx="929">
                  <c:v>47.900000000000347</c:v>
                </c:pt>
                <c:pt idx="930">
                  <c:v>48.000000000000348</c:v>
                </c:pt>
                <c:pt idx="931">
                  <c:v>48.10000000000035</c:v>
                </c:pt>
                <c:pt idx="932">
                  <c:v>48.200000000000351</c:v>
                </c:pt>
                <c:pt idx="933">
                  <c:v>48.300000000000352</c:v>
                </c:pt>
                <c:pt idx="934">
                  <c:v>48.400000000000354</c:v>
                </c:pt>
                <c:pt idx="935">
                  <c:v>48.500000000000355</c:v>
                </c:pt>
                <c:pt idx="936">
                  <c:v>48.600000000000357</c:v>
                </c:pt>
                <c:pt idx="937">
                  <c:v>48.700000000000358</c:v>
                </c:pt>
                <c:pt idx="938">
                  <c:v>48.80000000000036</c:v>
                </c:pt>
                <c:pt idx="939">
                  <c:v>48.900000000000361</c:v>
                </c:pt>
                <c:pt idx="940">
                  <c:v>49.000000000000362</c:v>
                </c:pt>
                <c:pt idx="941">
                  <c:v>49.100000000000364</c:v>
                </c:pt>
                <c:pt idx="942">
                  <c:v>49.200000000000365</c:v>
                </c:pt>
                <c:pt idx="943">
                  <c:v>49.300000000000367</c:v>
                </c:pt>
                <c:pt idx="944">
                  <c:v>49.400000000000368</c:v>
                </c:pt>
                <c:pt idx="945">
                  <c:v>49.500000000000369</c:v>
                </c:pt>
                <c:pt idx="946">
                  <c:v>49.500100000000373</c:v>
                </c:pt>
                <c:pt idx="947">
                  <c:v>49.500200000000376</c:v>
                </c:pt>
                <c:pt idx="948">
                  <c:v>49.500300000000379</c:v>
                </c:pt>
                <c:pt idx="949">
                  <c:v>49.500400000000383</c:v>
                </c:pt>
                <c:pt idx="950">
                  <c:v>49.500500000000386</c:v>
                </c:pt>
                <c:pt idx="951">
                  <c:v>49.500600000000389</c:v>
                </c:pt>
                <c:pt idx="952">
                  <c:v>49.500700000000393</c:v>
                </c:pt>
                <c:pt idx="953">
                  <c:v>49.500800000000396</c:v>
                </c:pt>
                <c:pt idx="954">
                  <c:v>49.500900000000399</c:v>
                </c:pt>
                <c:pt idx="955">
                  <c:v>49.501000000000403</c:v>
                </c:pt>
                <c:pt idx="956">
                  <c:v>49.501100000000406</c:v>
                </c:pt>
                <c:pt idx="957">
                  <c:v>49.501200000000409</c:v>
                </c:pt>
                <c:pt idx="958">
                  <c:v>49.501300000000413</c:v>
                </c:pt>
                <c:pt idx="959">
                  <c:v>49.501400000000416</c:v>
                </c:pt>
                <c:pt idx="960">
                  <c:v>49.501500000000419</c:v>
                </c:pt>
                <c:pt idx="961">
                  <c:v>49.501600000000423</c:v>
                </c:pt>
                <c:pt idx="962">
                  <c:v>49.501700000000426</c:v>
                </c:pt>
                <c:pt idx="963">
                  <c:v>49.501800000000429</c:v>
                </c:pt>
                <c:pt idx="964">
                  <c:v>49.501900000000433</c:v>
                </c:pt>
                <c:pt idx="965">
                  <c:v>49.502000000000436</c:v>
                </c:pt>
                <c:pt idx="966">
                  <c:v>49.502100000000439</c:v>
                </c:pt>
                <c:pt idx="967">
                  <c:v>49.502200000000443</c:v>
                </c:pt>
                <c:pt idx="968">
                  <c:v>49.502300000000446</c:v>
                </c:pt>
                <c:pt idx="969">
                  <c:v>49.502400000000449</c:v>
                </c:pt>
                <c:pt idx="970">
                  <c:v>49.502500000000452</c:v>
                </c:pt>
                <c:pt idx="971">
                  <c:v>49.502600000000456</c:v>
                </c:pt>
                <c:pt idx="972">
                  <c:v>49.502700000000459</c:v>
                </c:pt>
                <c:pt idx="973">
                  <c:v>49.502800000000462</c:v>
                </c:pt>
                <c:pt idx="974">
                  <c:v>49.502900000000466</c:v>
                </c:pt>
                <c:pt idx="975">
                  <c:v>49.503000000000469</c:v>
                </c:pt>
                <c:pt idx="976">
                  <c:v>49.503100000000472</c:v>
                </c:pt>
                <c:pt idx="977">
                  <c:v>49.503200000000476</c:v>
                </c:pt>
                <c:pt idx="978">
                  <c:v>49.503300000000479</c:v>
                </c:pt>
                <c:pt idx="979">
                  <c:v>49.503400000000482</c:v>
                </c:pt>
                <c:pt idx="980">
                  <c:v>49.503500000000486</c:v>
                </c:pt>
                <c:pt idx="981">
                  <c:v>49.503600000000489</c:v>
                </c:pt>
                <c:pt idx="982">
                  <c:v>49.503700000000492</c:v>
                </c:pt>
                <c:pt idx="983">
                  <c:v>49.503800000000496</c:v>
                </c:pt>
                <c:pt idx="984">
                  <c:v>49.503900000000499</c:v>
                </c:pt>
                <c:pt idx="985">
                  <c:v>49.504000000000502</c:v>
                </c:pt>
                <c:pt idx="986">
                  <c:v>49.504100000000506</c:v>
                </c:pt>
                <c:pt idx="987">
                  <c:v>49.504200000000509</c:v>
                </c:pt>
                <c:pt idx="988">
                  <c:v>49.504300000000512</c:v>
                </c:pt>
                <c:pt idx="989">
                  <c:v>49.504400000000516</c:v>
                </c:pt>
                <c:pt idx="990">
                  <c:v>49.504500000000519</c:v>
                </c:pt>
                <c:pt idx="991">
                  <c:v>49.504600000000522</c:v>
                </c:pt>
                <c:pt idx="992">
                  <c:v>49.504700000000526</c:v>
                </c:pt>
                <c:pt idx="993">
                  <c:v>49.504800000000529</c:v>
                </c:pt>
                <c:pt idx="994">
                  <c:v>49.504900000000532</c:v>
                </c:pt>
                <c:pt idx="995">
                  <c:v>49.505000000000535</c:v>
                </c:pt>
                <c:pt idx="996">
                  <c:v>49.505100000000539</c:v>
                </c:pt>
                <c:pt idx="997">
                  <c:v>49.505200000000542</c:v>
                </c:pt>
                <c:pt idx="998">
                  <c:v>49.505300000000545</c:v>
                </c:pt>
                <c:pt idx="999">
                  <c:v>49.505400000000549</c:v>
                </c:pt>
                <c:pt idx="1000">
                  <c:v>49.505500000000552</c:v>
                </c:pt>
              </c:numCache>
            </c:numRef>
          </c:xVal>
          <c:yVal>
            <c:numRef>
              <c:f>Calculs!$Q$4:$Q$1004</c:f>
              <c:numCache>
                <c:formatCode>0.00</c:formatCode>
                <c:ptCount val="1001"/>
                <c:pt idx="0">
                  <c:v>0</c:v>
                </c:pt>
                <c:pt idx="1">
                  <c:v>214.70000000000002</c:v>
                </c:pt>
                <c:pt idx="2">
                  <c:v>451.48888888888888</c:v>
                </c:pt>
                <c:pt idx="3">
                  <c:v>549.66666666666663</c:v>
                </c:pt>
                <c:pt idx="4">
                  <c:v>647.84444444444443</c:v>
                </c:pt>
                <c:pt idx="5">
                  <c:v>746.02222222222224</c:v>
                </c:pt>
                <c:pt idx="6">
                  <c:v>844.2</c:v>
                </c:pt>
                <c:pt idx="7">
                  <c:v>942.37777777777774</c:v>
                </c:pt>
                <c:pt idx="8">
                  <c:v>1040.5555555555557</c:v>
                </c:pt>
                <c:pt idx="9">
                  <c:v>1138.7333333333331</c:v>
                </c:pt>
                <c:pt idx="10">
                  <c:v>1236.911111111111</c:v>
                </c:pt>
                <c:pt idx="11">
                  <c:v>1278.75</c:v>
                </c:pt>
                <c:pt idx="12">
                  <c:v>1264.25</c:v>
                </c:pt>
                <c:pt idx="13">
                  <c:v>1249.3214285714287</c:v>
                </c:pt>
                <c:pt idx="14">
                  <c:v>1233.9642857142858</c:v>
                </c:pt>
                <c:pt idx="15">
                  <c:v>1218.6071428571429</c:v>
                </c:pt>
                <c:pt idx="16">
                  <c:v>1203.25</c:v>
                </c:pt>
                <c:pt idx="17">
                  <c:v>1187.8928571428571</c:v>
                </c:pt>
                <c:pt idx="18">
                  <c:v>1172.5357142857142</c:v>
                </c:pt>
                <c:pt idx="19">
                  <c:v>1157.1785714285713</c:v>
                </c:pt>
                <c:pt idx="20">
                  <c:v>1141.8214285714284</c:v>
                </c:pt>
                <c:pt idx="21">
                  <c:v>1126.4642857142858</c:v>
                </c:pt>
                <c:pt idx="22">
                  <c:v>1111.1071428571427</c:v>
                </c:pt>
                <c:pt idx="23">
                  <c:v>1095.75</c:v>
                </c:pt>
                <c:pt idx="24">
                  <c:v>1080.3928571428571</c:v>
                </c:pt>
                <c:pt idx="25">
                  <c:v>1065.0357142857142</c:v>
                </c:pt>
                <c:pt idx="26">
                  <c:v>1049.6785714285713</c:v>
                </c:pt>
                <c:pt idx="27">
                  <c:v>1041.8333333333333</c:v>
                </c:pt>
                <c:pt idx="28">
                  <c:v>1041.5</c:v>
                </c:pt>
                <c:pt idx="29">
                  <c:v>1041.1666666666667</c:v>
                </c:pt>
                <c:pt idx="30">
                  <c:v>1040.8333333333333</c:v>
                </c:pt>
                <c:pt idx="31">
                  <c:v>1040.5</c:v>
                </c:pt>
                <c:pt idx="32">
                  <c:v>1040.1666666666667</c:v>
                </c:pt>
                <c:pt idx="33">
                  <c:v>1039.8333333333333</c:v>
                </c:pt>
                <c:pt idx="34">
                  <c:v>1039.5</c:v>
                </c:pt>
                <c:pt idx="35">
                  <c:v>1039.1666666666667</c:v>
                </c:pt>
                <c:pt idx="36">
                  <c:v>1038.8333333333333</c:v>
                </c:pt>
                <c:pt idx="37">
                  <c:v>1038.5</c:v>
                </c:pt>
                <c:pt idx="38">
                  <c:v>1038.1666666666667</c:v>
                </c:pt>
                <c:pt idx="39">
                  <c:v>1037.8333333333333</c:v>
                </c:pt>
                <c:pt idx="40">
                  <c:v>1037.5</c:v>
                </c:pt>
                <c:pt idx="41">
                  <c:v>1037.1666666666667</c:v>
                </c:pt>
                <c:pt idx="42">
                  <c:v>1036.8333333333333</c:v>
                </c:pt>
                <c:pt idx="43">
                  <c:v>1036.5</c:v>
                </c:pt>
                <c:pt idx="44">
                  <c:v>1036.1666666666667</c:v>
                </c:pt>
                <c:pt idx="45">
                  <c:v>1035.8333333333333</c:v>
                </c:pt>
                <c:pt idx="46">
                  <c:v>1035.5</c:v>
                </c:pt>
                <c:pt idx="47">
                  <c:v>1035.1666666666667</c:v>
                </c:pt>
                <c:pt idx="48">
                  <c:v>1034.8333333333333</c:v>
                </c:pt>
                <c:pt idx="49">
                  <c:v>1034.5</c:v>
                </c:pt>
                <c:pt idx="50">
                  <c:v>1034.1666666666667</c:v>
                </c:pt>
                <c:pt idx="51">
                  <c:v>1033.8333333333333</c:v>
                </c:pt>
                <c:pt idx="52">
                  <c:v>1033.5</c:v>
                </c:pt>
                <c:pt idx="53">
                  <c:v>1033.1666666666667</c:v>
                </c:pt>
                <c:pt idx="54">
                  <c:v>1032.8333333333333</c:v>
                </c:pt>
                <c:pt idx="55">
                  <c:v>1032.5</c:v>
                </c:pt>
                <c:pt idx="56">
                  <c:v>1032.1666666666667</c:v>
                </c:pt>
                <c:pt idx="57">
                  <c:v>1031.8333333333333</c:v>
                </c:pt>
                <c:pt idx="58">
                  <c:v>1031.5</c:v>
                </c:pt>
                <c:pt idx="59">
                  <c:v>1031.1666666666667</c:v>
                </c:pt>
                <c:pt idx="60">
                  <c:v>1030.8333333333333</c:v>
                </c:pt>
                <c:pt idx="61">
                  <c:v>1030.5</c:v>
                </c:pt>
                <c:pt idx="62">
                  <c:v>1030.1666666666667</c:v>
                </c:pt>
                <c:pt idx="63">
                  <c:v>1029.8333333333333</c:v>
                </c:pt>
                <c:pt idx="64">
                  <c:v>1029.5</c:v>
                </c:pt>
                <c:pt idx="65">
                  <c:v>1029.1666666666667</c:v>
                </c:pt>
                <c:pt idx="66">
                  <c:v>1028.8333333333333</c:v>
                </c:pt>
                <c:pt idx="67">
                  <c:v>1028.5</c:v>
                </c:pt>
                <c:pt idx="68">
                  <c:v>1028.1666666666667</c:v>
                </c:pt>
                <c:pt idx="69">
                  <c:v>1027.8333333333333</c:v>
                </c:pt>
                <c:pt idx="70">
                  <c:v>1027.5</c:v>
                </c:pt>
                <c:pt idx="71">
                  <c:v>1027.1666666666667</c:v>
                </c:pt>
                <c:pt idx="72">
                  <c:v>1026.7491228070176</c:v>
                </c:pt>
                <c:pt idx="73">
                  <c:v>1026.2473684210527</c:v>
                </c:pt>
                <c:pt idx="74">
                  <c:v>1025.7456140350878</c:v>
                </c:pt>
                <c:pt idx="75">
                  <c:v>1025.2438596491227</c:v>
                </c:pt>
                <c:pt idx="76">
                  <c:v>1024.7421052631578</c:v>
                </c:pt>
                <c:pt idx="77">
                  <c:v>1024.2403508771929</c:v>
                </c:pt>
                <c:pt idx="78">
                  <c:v>1023.738596491228</c:v>
                </c:pt>
                <c:pt idx="79">
                  <c:v>1023.2368421052631</c:v>
                </c:pt>
                <c:pt idx="80">
                  <c:v>1022.7350877192982</c:v>
                </c:pt>
                <c:pt idx="81">
                  <c:v>1022.2333333333333</c:v>
                </c:pt>
                <c:pt idx="82">
                  <c:v>1021.7315789473683</c:v>
                </c:pt>
                <c:pt idx="83">
                  <c:v>1021.2298245614035</c:v>
                </c:pt>
                <c:pt idx="84">
                  <c:v>1020.7280701754386</c:v>
                </c:pt>
                <c:pt idx="85">
                  <c:v>1020.2263157894737</c:v>
                </c:pt>
                <c:pt idx="86">
                  <c:v>1019.7245614035087</c:v>
                </c:pt>
                <c:pt idx="87">
                  <c:v>1019.2228070175438</c:v>
                </c:pt>
                <c:pt idx="88">
                  <c:v>1018.7210526315789</c:v>
                </c:pt>
                <c:pt idx="89">
                  <c:v>1018.219298245614</c:v>
                </c:pt>
                <c:pt idx="90">
                  <c:v>1017.7175438596491</c:v>
                </c:pt>
                <c:pt idx="91">
                  <c:v>1017.2157894736841</c:v>
                </c:pt>
                <c:pt idx="92">
                  <c:v>1016.7140350877193</c:v>
                </c:pt>
                <c:pt idx="93">
                  <c:v>1016.2122807017544</c:v>
                </c:pt>
                <c:pt idx="94">
                  <c:v>1015.7105263157895</c:v>
                </c:pt>
                <c:pt idx="95">
                  <c:v>1015.2087719298245</c:v>
                </c:pt>
                <c:pt idx="96">
                  <c:v>1014.7070175438596</c:v>
                </c:pt>
                <c:pt idx="97">
                  <c:v>1014.2052631578947</c:v>
                </c:pt>
                <c:pt idx="98">
                  <c:v>1013.7035087719298</c:v>
                </c:pt>
                <c:pt idx="99">
                  <c:v>1013.2017543859648</c:v>
                </c:pt>
                <c:pt idx="100">
                  <c:v>1012.6999999999999</c:v>
                </c:pt>
                <c:pt idx="101">
                  <c:v>1012.198245614035</c:v>
                </c:pt>
                <c:pt idx="102">
                  <c:v>1011.6964912280702</c:v>
                </c:pt>
                <c:pt idx="103">
                  <c:v>1011.1947368421052</c:v>
                </c:pt>
                <c:pt idx="104">
                  <c:v>1010.6929824561403</c:v>
                </c:pt>
                <c:pt idx="105">
                  <c:v>1010.1912280701754</c:v>
                </c:pt>
                <c:pt idx="106">
                  <c:v>1009.6894736842105</c:v>
                </c:pt>
                <c:pt idx="107">
                  <c:v>1009.1877192982456</c:v>
                </c:pt>
                <c:pt idx="108">
                  <c:v>1008.6859649122806</c:v>
                </c:pt>
                <c:pt idx="109">
                  <c:v>1008.1842105263157</c:v>
                </c:pt>
                <c:pt idx="110">
                  <c:v>1007.6824561403508</c:v>
                </c:pt>
                <c:pt idx="111">
                  <c:v>1007.180701754386</c:v>
                </c:pt>
                <c:pt idx="112">
                  <c:v>1006.6789473684209</c:v>
                </c:pt>
                <c:pt idx="113">
                  <c:v>1006.1771929824561</c:v>
                </c:pt>
                <c:pt idx="114">
                  <c:v>1005.6754385964912</c:v>
                </c:pt>
                <c:pt idx="115">
                  <c:v>1005.1736842105263</c:v>
                </c:pt>
                <c:pt idx="116">
                  <c:v>1004.6719298245613</c:v>
                </c:pt>
                <c:pt idx="117">
                  <c:v>1004.1701754385964</c:v>
                </c:pt>
                <c:pt idx="118">
                  <c:v>1003.6684210526315</c:v>
                </c:pt>
                <c:pt idx="119">
                  <c:v>1003.1666666666666</c:v>
                </c:pt>
                <c:pt idx="120">
                  <c:v>1002.6649122807017</c:v>
                </c:pt>
                <c:pt idx="121">
                  <c:v>1002.1631578947367</c:v>
                </c:pt>
                <c:pt idx="122">
                  <c:v>1001.6614035087719</c:v>
                </c:pt>
                <c:pt idx="123">
                  <c:v>1001.159649122807</c:v>
                </c:pt>
                <c:pt idx="124">
                  <c:v>1000.6578947368421</c:v>
                </c:pt>
                <c:pt idx="125">
                  <c:v>1000.1561403508771</c:v>
                </c:pt>
                <c:pt idx="126">
                  <c:v>999.65438596491219</c:v>
                </c:pt>
                <c:pt idx="127">
                  <c:v>999.15263157894731</c:v>
                </c:pt>
                <c:pt idx="128">
                  <c:v>998.65087719298242</c:v>
                </c:pt>
                <c:pt idx="129">
                  <c:v>997.77012987012972</c:v>
                </c:pt>
                <c:pt idx="130">
                  <c:v>996.51038961038944</c:v>
                </c:pt>
                <c:pt idx="131">
                  <c:v>995.25064935064916</c:v>
                </c:pt>
                <c:pt idx="132">
                  <c:v>993.99090909090899</c:v>
                </c:pt>
                <c:pt idx="133">
                  <c:v>992.7311688311687</c:v>
                </c:pt>
                <c:pt idx="134">
                  <c:v>991.47142857142842</c:v>
                </c:pt>
                <c:pt idx="135">
                  <c:v>990.21168831168814</c:v>
                </c:pt>
                <c:pt idx="136">
                  <c:v>988.95194805194785</c:v>
                </c:pt>
                <c:pt idx="137">
                  <c:v>987.69220779220768</c:v>
                </c:pt>
                <c:pt idx="138">
                  <c:v>986.4324675324674</c:v>
                </c:pt>
                <c:pt idx="139">
                  <c:v>985.17272727272712</c:v>
                </c:pt>
                <c:pt idx="140">
                  <c:v>983.91298701298683</c:v>
                </c:pt>
                <c:pt idx="141">
                  <c:v>982.65324675324655</c:v>
                </c:pt>
                <c:pt idx="142">
                  <c:v>981.39350649350638</c:v>
                </c:pt>
                <c:pt idx="143">
                  <c:v>980.1337662337661</c:v>
                </c:pt>
                <c:pt idx="144">
                  <c:v>978.87402597402581</c:v>
                </c:pt>
                <c:pt idx="145">
                  <c:v>977.61428571428553</c:v>
                </c:pt>
                <c:pt idx="146">
                  <c:v>976.35454545454525</c:v>
                </c:pt>
                <c:pt idx="147">
                  <c:v>975.09480519480508</c:v>
                </c:pt>
                <c:pt idx="148">
                  <c:v>973.83506493506479</c:v>
                </c:pt>
                <c:pt idx="149">
                  <c:v>972.57532467532451</c:v>
                </c:pt>
                <c:pt idx="150">
                  <c:v>971.31558441558423</c:v>
                </c:pt>
                <c:pt idx="151">
                  <c:v>970.05584415584394</c:v>
                </c:pt>
                <c:pt idx="152">
                  <c:v>968.79610389610366</c:v>
                </c:pt>
                <c:pt idx="153">
                  <c:v>967.53636363636349</c:v>
                </c:pt>
                <c:pt idx="154">
                  <c:v>966.27662337662321</c:v>
                </c:pt>
                <c:pt idx="155">
                  <c:v>965.01688311688292</c:v>
                </c:pt>
                <c:pt idx="156">
                  <c:v>963.75714285714264</c:v>
                </c:pt>
                <c:pt idx="157">
                  <c:v>962.49740259740236</c:v>
                </c:pt>
                <c:pt idx="158">
                  <c:v>961.23766233766219</c:v>
                </c:pt>
                <c:pt idx="159">
                  <c:v>959.9779220779219</c:v>
                </c:pt>
                <c:pt idx="160">
                  <c:v>958.71818181818162</c:v>
                </c:pt>
                <c:pt idx="161">
                  <c:v>957.45844155844134</c:v>
                </c:pt>
                <c:pt idx="162">
                  <c:v>956.19870129870105</c:v>
                </c:pt>
                <c:pt idx="163">
                  <c:v>954.93896103896088</c:v>
                </c:pt>
                <c:pt idx="164">
                  <c:v>953.6792207792206</c:v>
                </c:pt>
                <c:pt idx="165">
                  <c:v>952.41948051948032</c:v>
                </c:pt>
                <c:pt idx="166">
                  <c:v>951.15974025974003</c:v>
                </c:pt>
                <c:pt idx="167">
                  <c:v>949.89999999999975</c:v>
                </c:pt>
                <c:pt idx="168">
                  <c:v>948.64025974025958</c:v>
                </c:pt>
                <c:pt idx="169">
                  <c:v>947.3805194805193</c:v>
                </c:pt>
                <c:pt idx="170">
                  <c:v>946.12077922077901</c:v>
                </c:pt>
                <c:pt idx="171">
                  <c:v>944.86103896103873</c:v>
                </c:pt>
                <c:pt idx="172">
                  <c:v>943.60129870129845</c:v>
                </c:pt>
                <c:pt idx="173">
                  <c:v>942.34155844155828</c:v>
                </c:pt>
                <c:pt idx="174">
                  <c:v>941.08181818181799</c:v>
                </c:pt>
                <c:pt idx="175">
                  <c:v>939.82207792207771</c:v>
                </c:pt>
                <c:pt idx="176">
                  <c:v>938.56233766233743</c:v>
                </c:pt>
                <c:pt idx="177">
                  <c:v>937.30259740259714</c:v>
                </c:pt>
                <c:pt idx="178">
                  <c:v>936.04285714285697</c:v>
                </c:pt>
                <c:pt idx="179">
                  <c:v>934.78311688311669</c:v>
                </c:pt>
                <c:pt idx="180">
                  <c:v>933.52337662337641</c:v>
                </c:pt>
                <c:pt idx="181">
                  <c:v>932.26363636363612</c:v>
                </c:pt>
                <c:pt idx="182">
                  <c:v>931.00389610389584</c:v>
                </c:pt>
                <c:pt idx="183">
                  <c:v>929.74415584415556</c:v>
                </c:pt>
                <c:pt idx="184">
                  <c:v>928.48441558441539</c:v>
                </c:pt>
                <c:pt idx="185">
                  <c:v>927.2246753246751</c:v>
                </c:pt>
                <c:pt idx="186">
                  <c:v>925.96493506493482</c:v>
                </c:pt>
                <c:pt idx="187">
                  <c:v>924.70519480519454</c:v>
                </c:pt>
                <c:pt idx="188">
                  <c:v>923.44545454545437</c:v>
                </c:pt>
                <c:pt idx="189">
                  <c:v>922.18571428571408</c:v>
                </c:pt>
                <c:pt idx="190">
                  <c:v>920.9259740259738</c:v>
                </c:pt>
                <c:pt idx="191">
                  <c:v>919.66623376623352</c:v>
                </c:pt>
                <c:pt idx="192">
                  <c:v>918.40649350649323</c:v>
                </c:pt>
                <c:pt idx="193">
                  <c:v>917.14675324675295</c:v>
                </c:pt>
                <c:pt idx="194">
                  <c:v>915.88701298701278</c:v>
                </c:pt>
                <c:pt idx="195">
                  <c:v>914.6272727272725</c:v>
                </c:pt>
                <c:pt idx="196">
                  <c:v>913.36753246753221</c:v>
                </c:pt>
                <c:pt idx="197">
                  <c:v>912.10779220779193</c:v>
                </c:pt>
                <c:pt idx="198">
                  <c:v>910.84805194805176</c:v>
                </c:pt>
                <c:pt idx="199">
                  <c:v>909.58831168831148</c:v>
                </c:pt>
                <c:pt idx="200">
                  <c:v>908.32857142857119</c:v>
                </c:pt>
                <c:pt idx="201">
                  <c:v>907.06883116883091</c:v>
                </c:pt>
                <c:pt idx="202">
                  <c:v>905.80909090909074</c:v>
                </c:pt>
                <c:pt idx="203">
                  <c:v>904.54935064935046</c:v>
                </c:pt>
                <c:pt idx="204">
                  <c:v>903.28961038961029</c:v>
                </c:pt>
                <c:pt idx="205">
                  <c:v>902.02987012987001</c:v>
                </c:pt>
                <c:pt idx="206">
                  <c:v>900.68055555555543</c:v>
                </c:pt>
                <c:pt idx="207">
                  <c:v>899.24166666666667</c:v>
                </c:pt>
                <c:pt idx="208">
                  <c:v>897.80277777777781</c:v>
                </c:pt>
                <c:pt idx="209">
                  <c:v>896.36388888888894</c:v>
                </c:pt>
                <c:pt idx="210">
                  <c:v>894.92500000000007</c:v>
                </c:pt>
                <c:pt idx="211">
                  <c:v>893.4861111111112</c:v>
                </c:pt>
                <c:pt idx="212">
                  <c:v>892.04722222222233</c:v>
                </c:pt>
                <c:pt idx="213">
                  <c:v>890.60833333333346</c:v>
                </c:pt>
                <c:pt idx="214">
                  <c:v>889.16944444444459</c:v>
                </c:pt>
                <c:pt idx="215">
                  <c:v>887.73055555555584</c:v>
                </c:pt>
                <c:pt idx="216">
                  <c:v>886.29166666666697</c:v>
                </c:pt>
                <c:pt idx="217">
                  <c:v>884.8527777777781</c:v>
                </c:pt>
                <c:pt idx="218">
                  <c:v>883.41388888888923</c:v>
                </c:pt>
                <c:pt idx="219">
                  <c:v>881.97500000000036</c:v>
                </c:pt>
                <c:pt idx="220">
                  <c:v>880.5361111111115</c:v>
                </c:pt>
                <c:pt idx="221">
                  <c:v>879.09722222222263</c:v>
                </c:pt>
                <c:pt idx="222">
                  <c:v>877.65833333333376</c:v>
                </c:pt>
                <c:pt idx="223">
                  <c:v>876.21944444444489</c:v>
                </c:pt>
                <c:pt idx="224">
                  <c:v>874.78055555555613</c:v>
                </c:pt>
                <c:pt idx="225">
                  <c:v>873.34166666666727</c:v>
                </c:pt>
                <c:pt idx="226">
                  <c:v>871.9027777777784</c:v>
                </c:pt>
                <c:pt idx="227">
                  <c:v>870.46388888888953</c:v>
                </c:pt>
                <c:pt idx="228">
                  <c:v>869.02500000000066</c:v>
                </c:pt>
                <c:pt idx="229">
                  <c:v>867.58611111111179</c:v>
                </c:pt>
                <c:pt idx="230">
                  <c:v>866.14722222222292</c:v>
                </c:pt>
                <c:pt idx="231">
                  <c:v>864.70833333333405</c:v>
                </c:pt>
                <c:pt idx="232">
                  <c:v>863.2694444444453</c:v>
                </c:pt>
                <c:pt idx="233">
                  <c:v>861.83055555555643</c:v>
                </c:pt>
                <c:pt idx="234">
                  <c:v>860.39166666666756</c:v>
                </c:pt>
                <c:pt idx="235">
                  <c:v>858.95277777777869</c:v>
                </c:pt>
                <c:pt idx="236">
                  <c:v>857.51388888888982</c:v>
                </c:pt>
                <c:pt idx="237">
                  <c:v>856.07500000000095</c:v>
                </c:pt>
                <c:pt idx="238">
                  <c:v>854.63611111111209</c:v>
                </c:pt>
                <c:pt idx="239">
                  <c:v>853.19722222222322</c:v>
                </c:pt>
                <c:pt idx="240">
                  <c:v>851.75833333333435</c:v>
                </c:pt>
                <c:pt idx="241">
                  <c:v>850.31944444444548</c:v>
                </c:pt>
                <c:pt idx="242">
                  <c:v>848.57500000000164</c:v>
                </c:pt>
                <c:pt idx="243">
                  <c:v>846.52500000000168</c:v>
                </c:pt>
                <c:pt idx="244">
                  <c:v>844.47500000000173</c:v>
                </c:pt>
                <c:pt idx="245">
                  <c:v>842.42500000000177</c:v>
                </c:pt>
                <c:pt idx="246">
                  <c:v>840.37500000000182</c:v>
                </c:pt>
                <c:pt idx="247">
                  <c:v>838.32500000000175</c:v>
                </c:pt>
                <c:pt idx="248">
                  <c:v>836.2750000000018</c:v>
                </c:pt>
                <c:pt idx="249">
                  <c:v>834.22500000000184</c:v>
                </c:pt>
                <c:pt idx="250">
                  <c:v>832.17500000000189</c:v>
                </c:pt>
                <c:pt idx="251">
                  <c:v>830.12500000000193</c:v>
                </c:pt>
                <c:pt idx="252">
                  <c:v>828.07500000000198</c:v>
                </c:pt>
                <c:pt idx="253">
                  <c:v>826.02500000000202</c:v>
                </c:pt>
                <c:pt idx="254">
                  <c:v>823.97500000000207</c:v>
                </c:pt>
                <c:pt idx="255">
                  <c:v>821.92500000000211</c:v>
                </c:pt>
                <c:pt idx="256">
                  <c:v>819.87500000000216</c:v>
                </c:pt>
                <c:pt idx="257">
                  <c:v>817.82500000000221</c:v>
                </c:pt>
                <c:pt idx="258">
                  <c:v>815.77500000000225</c:v>
                </c:pt>
                <c:pt idx="259">
                  <c:v>813.7250000000023</c:v>
                </c:pt>
                <c:pt idx="260">
                  <c:v>811.67500000000234</c:v>
                </c:pt>
                <c:pt idx="261">
                  <c:v>809.62500000000239</c:v>
                </c:pt>
                <c:pt idx="262">
                  <c:v>807.57500000000243</c:v>
                </c:pt>
                <c:pt idx="263">
                  <c:v>805.52500000000248</c:v>
                </c:pt>
                <c:pt idx="264">
                  <c:v>803.47500000000252</c:v>
                </c:pt>
                <c:pt idx="265">
                  <c:v>801.42500000000257</c:v>
                </c:pt>
                <c:pt idx="266">
                  <c:v>799.37500000000261</c:v>
                </c:pt>
                <c:pt idx="267">
                  <c:v>797.32500000000266</c:v>
                </c:pt>
                <c:pt idx="268">
                  <c:v>795.27500000000271</c:v>
                </c:pt>
                <c:pt idx="269">
                  <c:v>793.22500000000275</c:v>
                </c:pt>
                <c:pt idx="270">
                  <c:v>791.1750000000028</c:v>
                </c:pt>
                <c:pt idx="271">
                  <c:v>789.12500000000284</c:v>
                </c:pt>
                <c:pt idx="272">
                  <c:v>787.07500000000289</c:v>
                </c:pt>
                <c:pt idx="273">
                  <c:v>785.02500000000293</c:v>
                </c:pt>
                <c:pt idx="274">
                  <c:v>782.97500000000298</c:v>
                </c:pt>
                <c:pt idx="275">
                  <c:v>780.92500000000302</c:v>
                </c:pt>
                <c:pt idx="276">
                  <c:v>778.87500000000307</c:v>
                </c:pt>
                <c:pt idx="277">
                  <c:v>776.82500000000312</c:v>
                </c:pt>
                <c:pt idx="278">
                  <c:v>774.77500000000316</c:v>
                </c:pt>
                <c:pt idx="279">
                  <c:v>772.72500000000321</c:v>
                </c:pt>
                <c:pt idx="280">
                  <c:v>770.67500000000325</c:v>
                </c:pt>
                <c:pt idx="281">
                  <c:v>768.6250000000033</c:v>
                </c:pt>
                <c:pt idx="282">
                  <c:v>766.57500000000334</c:v>
                </c:pt>
                <c:pt idx="283">
                  <c:v>764.52500000000339</c:v>
                </c:pt>
                <c:pt idx="284">
                  <c:v>762.8285714285737</c:v>
                </c:pt>
                <c:pt idx="285">
                  <c:v>761.48571428571654</c:v>
                </c:pt>
                <c:pt idx="286">
                  <c:v>760.14285714285938</c:v>
                </c:pt>
                <c:pt idx="287">
                  <c:v>758.80000000000234</c:v>
                </c:pt>
                <c:pt idx="288">
                  <c:v>757.45714285714519</c:v>
                </c:pt>
                <c:pt idx="289">
                  <c:v>756.11428571428803</c:v>
                </c:pt>
                <c:pt idx="290">
                  <c:v>754.77142857143099</c:v>
                </c:pt>
                <c:pt idx="291">
                  <c:v>753.42857142857383</c:v>
                </c:pt>
                <c:pt idx="292">
                  <c:v>752.08571428571679</c:v>
                </c:pt>
                <c:pt idx="293">
                  <c:v>750.74285714285963</c:v>
                </c:pt>
                <c:pt idx="294">
                  <c:v>749.40000000000248</c:v>
                </c:pt>
                <c:pt idx="295">
                  <c:v>748.05714285714544</c:v>
                </c:pt>
                <c:pt idx="296">
                  <c:v>746.71428571428828</c:v>
                </c:pt>
                <c:pt idx="297">
                  <c:v>745.37142857143112</c:v>
                </c:pt>
                <c:pt idx="298">
                  <c:v>744.02857142857408</c:v>
                </c:pt>
                <c:pt idx="299">
                  <c:v>742.68571428571693</c:v>
                </c:pt>
                <c:pt idx="300">
                  <c:v>741.34285714285988</c:v>
                </c:pt>
                <c:pt idx="301">
                  <c:v>740.00000000000273</c:v>
                </c:pt>
                <c:pt idx="302">
                  <c:v>738.65714285714557</c:v>
                </c:pt>
                <c:pt idx="303">
                  <c:v>737.31428571428853</c:v>
                </c:pt>
                <c:pt idx="304">
                  <c:v>735.97142857143137</c:v>
                </c:pt>
                <c:pt idx="305">
                  <c:v>734.62857142857422</c:v>
                </c:pt>
                <c:pt idx="306">
                  <c:v>733.28571428571718</c:v>
                </c:pt>
                <c:pt idx="307">
                  <c:v>731.94285714286002</c:v>
                </c:pt>
                <c:pt idx="308">
                  <c:v>730.60000000000286</c:v>
                </c:pt>
                <c:pt idx="309">
                  <c:v>729.25714285714582</c:v>
                </c:pt>
                <c:pt idx="310">
                  <c:v>727.91428571428867</c:v>
                </c:pt>
                <c:pt idx="311">
                  <c:v>726.57142857143162</c:v>
                </c:pt>
                <c:pt idx="312">
                  <c:v>725.22857142857447</c:v>
                </c:pt>
                <c:pt idx="313">
                  <c:v>723.88571428571731</c:v>
                </c:pt>
                <c:pt idx="314">
                  <c:v>722.54285714286027</c:v>
                </c:pt>
                <c:pt idx="315">
                  <c:v>721.20000000000312</c:v>
                </c:pt>
                <c:pt idx="316">
                  <c:v>719.85714285714596</c:v>
                </c:pt>
                <c:pt idx="317">
                  <c:v>718.51428571428892</c:v>
                </c:pt>
                <c:pt idx="318">
                  <c:v>717.17142857143176</c:v>
                </c:pt>
                <c:pt idx="319">
                  <c:v>715.82857142857461</c:v>
                </c:pt>
                <c:pt idx="320">
                  <c:v>714.48571428571756</c:v>
                </c:pt>
                <c:pt idx="321">
                  <c:v>713.14285714286041</c:v>
                </c:pt>
                <c:pt idx="322">
                  <c:v>711.80000000000337</c:v>
                </c:pt>
                <c:pt idx="323">
                  <c:v>710.45714285714621</c:v>
                </c:pt>
                <c:pt idx="324">
                  <c:v>709.11428571428905</c:v>
                </c:pt>
                <c:pt idx="325">
                  <c:v>707.77142857143201</c:v>
                </c:pt>
                <c:pt idx="326">
                  <c:v>706.45000000000334</c:v>
                </c:pt>
                <c:pt idx="327">
                  <c:v>705.15000000000339</c:v>
                </c:pt>
                <c:pt idx="328">
                  <c:v>703.85000000000343</c:v>
                </c:pt>
                <c:pt idx="329">
                  <c:v>702.55000000000337</c:v>
                </c:pt>
                <c:pt idx="330">
                  <c:v>701.25000000000341</c:v>
                </c:pt>
                <c:pt idx="331">
                  <c:v>699.95000000000346</c:v>
                </c:pt>
                <c:pt idx="332">
                  <c:v>698.6500000000035</c:v>
                </c:pt>
                <c:pt idx="333">
                  <c:v>697.35000000000355</c:v>
                </c:pt>
                <c:pt idx="334">
                  <c:v>696.05000000000359</c:v>
                </c:pt>
                <c:pt idx="335">
                  <c:v>694.75000000000352</c:v>
                </c:pt>
                <c:pt idx="336">
                  <c:v>693.45000000000357</c:v>
                </c:pt>
                <c:pt idx="337">
                  <c:v>692.15000000000362</c:v>
                </c:pt>
                <c:pt idx="338">
                  <c:v>690.85000000000366</c:v>
                </c:pt>
                <c:pt idx="339">
                  <c:v>689.55000000000371</c:v>
                </c:pt>
                <c:pt idx="340">
                  <c:v>688.25000000000375</c:v>
                </c:pt>
                <c:pt idx="341">
                  <c:v>686.95000000000368</c:v>
                </c:pt>
                <c:pt idx="342">
                  <c:v>685.65000000000373</c:v>
                </c:pt>
                <c:pt idx="343">
                  <c:v>684.35000000000377</c:v>
                </c:pt>
                <c:pt idx="344">
                  <c:v>683.05000000000382</c:v>
                </c:pt>
                <c:pt idx="345">
                  <c:v>681.75000000000387</c:v>
                </c:pt>
                <c:pt idx="346">
                  <c:v>680.45000000000391</c:v>
                </c:pt>
                <c:pt idx="347">
                  <c:v>679.15000000000396</c:v>
                </c:pt>
                <c:pt idx="348">
                  <c:v>677.85000000000389</c:v>
                </c:pt>
                <c:pt idx="349">
                  <c:v>676.55000000000393</c:v>
                </c:pt>
                <c:pt idx="350">
                  <c:v>675.25000000000398</c:v>
                </c:pt>
                <c:pt idx="351">
                  <c:v>673.95000000000402</c:v>
                </c:pt>
                <c:pt idx="352">
                  <c:v>672.65000000000407</c:v>
                </c:pt>
                <c:pt idx="353">
                  <c:v>671.35000000000412</c:v>
                </c:pt>
                <c:pt idx="354">
                  <c:v>670.05000000000405</c:v>
                </c:pt>
                <c:pt idx="355">
                  <c:v>668.75000000000409</c:v>
                </c:pt>
                <c:pt idx="356">
                  <c:v>667.45000000000414</c:v>
                </c:pt>
                <c:pt idx="357">
                  <c:v>666.15000000000418</c:v>
                </c:pt>
                <c:pt idx="358">
                  <c:v>664.85000000000423</c:v>
                </c:pt>
                <c:pt idx="359">
                  <c:v>663.55000000000427</c:v>
                </c:pt>
                <c:pt idx="360">
                  <c:v>662.25000000000421</c:v>
                </c:pt>
                <c:pt idx="361">
                  <c:v>660.95000000000425</c:v>
                </c:pt>
                <c:pt idx="362">
                  <c:v>659.6500000000043</c:v>
                </c:pt>
                <c:pt idx="363">
                  <c:v>658.35000000000434</c:v>
                </c:pt>
                <c:pt idx="364">
                  <c:v>657.05000000000439</c:v>
                </c:pt>
                <c:pt idx="365">
                  <c:v>655.75000000000443</c:v>
                </c:pt>
                <c:pt idx="366">
                  <c:v>654.98666666666747</c:v>
                </c:pt>
                <c:pt idx="367">
                  <c:v>654.76000000000079</c:v>
                </c:pt>
                <c:pt idx="368">
                  <c:v>654.5333333333341</c:v>
                </c:pt>
                <c:pt idx="369">
                  <c:v>654.30666666666752</c:v>
                </c:pt>
                <c:pt idx="370">
                  <c:v>654.08000000000084</c:v>
                </c:pt>
                <c:pt idx="371">
                  <c:v>653.85333333333415</c:v>
                </c:pt>
                <c:pt idx="372">
                  <c:v>653.62666666666746</c:v>
                </c:pt>
                <c:pt idx="373">
                  <c:v>653.40000000000089</c:v>
                </c:pt>
                <c:pt idx="374">
                  <c:v>653.1733333333342</c:v>
                </c:pt>
                <c:pt idx="375">
                  <c:v>652.94666666666751</c:v>
                </c:pt>
                <c:pt idx="376">
                  <c:v>652.72000000000082</c:v>
                </c:pt>
                <c:pt idx="377">
                  <c:v>652.49333333333425</c:v>
                </c:pt>
                <c:pt idx="378">
                  <c:v>652.26666666666756</c:v>
                </c:pt>
                <c:pt idx="379">
                  <c:v>652.04000000000087</c:v>
                </c:pt>
                <c:pt idx="380">
                  <c:v>651.81333333333419</c:v>
                </c:pt>
                <c:pt idx="381">
                  <c:v>651.01000000000511</c:v>
                </c:pt>
                <c:pt idx="382">
                  <c:v>649.63000000000523</c:v>
                </c:pt>
                <c:pt idx="383">
                  <c:v>648.25000000000523</c:v>
                </c:pt>
                <c:pt idx="384">
                  <c:v>646.87000000000523</c:v>
                </c:pt>
                <c:pt idx="385">
                  <c:v>645.49000000000524</c:v>
                </c:pt>
                <c:pt idx="386">
                  <c:v>644.11000000000524</c:v>
                </c:pt>
                <c:pt idx="387">
                  <c:v>642.73000000000536</c:v>
                </c:pt>
                <c:pt idx="388">
                  <c:v>641.35000000000537</c:v>
                </c:pt>
                <c:pt idx="389">
                  <c:v>639.97000000000537</c:v>
                </c:pt>
                <c:pt idx="390">
                  <c:v>638.59000000000538</c:v>
                </c:pt>
                <c:pt idx="391">
                  <c:v>637.21000000000549</c:v>
                </c:pt>
                <c:pt idx="392">
                  <c:v>635.8300000000055</c:v>
                </c:pt>
                <c:pt idx="393">
                  <c:v>634.4500000000055</c:v>
                </c:pt>
                <c:pt idx="394">
                  <c:v>633.07000000000551</c:v>
                </c:pt>
                <c:pt idx="395">
                  <c:v>631.69000000000551</c:v>
                </c:pt>
                <c:pt idx="396">
                  <c:v>630.31000000000563</c:v>
                </c:pt>
                <c:pt idx="397">
                  <c:v>628.93000000000563</c:v>
                </c:pt>
                <c:pt idx="398">
                  <c:v>627.55000000000564</c:v>
                </c:pt>
                <c:pt idx="399">
                  <c:v>626.17000000000564</c:v>
                </c:pt>
                <c:pt idx="400">
                  <c:v>624.79000000000565</c:v>
                </c:pt>
                <c:pt idx="401">
                  <c:v>622.96000000000936</c:v>
                </c:pt>
                <c:pt idx="402">
                  <c:v>620.68000000000939</c:v>
                </c:pt>
                <c:pt idx="403">
                  <c:v>618.40000000000941</c:v>
                </c:pt>
                <c:pt idx="404">
                  <c:v>616.12000000000944</c:v>
                </c:pt>
                <c:pt idx="405">
                  <c:v>613.84000000000947</c:v>
                </c:pt>
                <c:pt idx="406">
                  <c:v>611.5600000000095</c:v>
                </c:pt>
                <c:pt idx="407">
                  <c:v>609.28000000000952</c:v>
                </c:pt>
                <c:pt idx="408">
                  <c:v>607.00000000000955</c:v>
                </c:pt>
                <c:pt idx="409">
                  <c:v>604.72000000000958</c:v>
                </c:pt>
                <c:pt idx="410">
                  <c:v>602.4400000000096</c:v>
                </c:pt>
                <c:pt idx="411">
                  <c:v>597.6833333333642</c:v>
                </c:pt>
                <c:pt idx="412">
                  <c:v>590.45000000003108</c:v>
                </c:pt>
                <c:pt idx="413">
                  <c:v>583.21666666669807</c:v>
                </c:pt>
                <c:pt idx="414">
                  <c:v>575.98333333336495</c:v>
                </c:pt>
                <c:pt idx="415">
                  <c:v>568.75000000003183</c:v>
                </c:pt>
                <c:pt idx="416">
                  <c:v>561.51666666669871</c:v>
                </c:pt>
                <c:pt idx="417">
                  <c:v>554.28333333336559</c:v>
                </c:pt>
                <c:pt idx="418">
                  <c:v>547.05000000003247</c:v>
                </c:pt>
                <c:pt idx="419">
                  <c:v>539.81666666669935</c:v>
                </c:pt>
                <c:pt idx="420">
                  <c:v>531.17916666671226</c:v>
                </c:pt>
                <c:pt idx="421">
                  <c:v>521.13750000004575</c:v>
                </c:pt>
                <c:pt idx="422">
                  <c:v>511.09583333337923</c:v>
                </c:pt>
                <c:pt idx="423">
                  <c:v>501.05416666671272</c:v>
                </c:pt>
                <c:pt idx="424">
                  <c:v>491.0125000000462</c:v>
                </c:pt>
                <c:pt idx="425">
                  <c:v>480.97083333337969</c:v>
                </c:pt>
                <c:pt idx="426">
                  <c:v>470.92916666671312</c:v>
                </c:pt>
                <c:pt idx="427">
                  <c:v>460.8875000000466</c:v>
                </c:pt>
                <c:pt idx="428">
                  <c:v>450.84583333338009</c:v>
                </c:pt>
                <c:pt idx="429">
                  <c:v>440.80416666671357</c:v>
                </c:pt>
                <c:pt idx="430">
                  <c:v>430.76250000004705</c:v>
                </c:pt>
                <c:pt idx="431">
                  <c:v>420.72083333338054</c:v>
                </c:pt>
                <c:pt idx="432">
                  <c:v>408.42500000006868</c:v>
                </c:pt>
                <c:pt idx="433">
                  <c:v>393.87500000006906</c:v>
                </c:pt>
                <c:pt idx="434">
                  <c:v>379.32500000006945</c:v>
                </c:pt>
                <c:pt idx="435">
                  <c:v>364.77500000006984</c:v>
                </c:pt>
                <c:pt idx="436">
                  <c:v>350.22500000007022</c:v>
                </c:pt>
                <c:pt idx="437">
                  <c:v>335.67500000007061</c:v>
                </c:pt>
                <c:pt idx="438">
                  <c:v>321.125000000071</c:v>
                </c:pt>
                <c:pt idx="439">
                  <c:v>306.57500000007138</c:v>
                </c:pt>
                <c:pt idx="440">
                  <c:v>292.02500000007177</c:v>
                </c:pt>
                <c:pt idx="441">
                  <c:v>277.47500000007216</c:v>
                </c:pt>
                <c:pt idx="442">
                  <c:v>264.29090909096794</c:v>
                </c:pt>
                <c:pt idx="443">
                  <c:v>252.47272727278633</c:v>
                </c:pt>
                <c:pt idx="444">
                  <c:v>240.65454545460472</c:v>
                </c:pt>
                <c:pt idx="445">
                  <c:v>228.83636363642307</c:v>
                </c:pt>
                <c:pt idx="446">
                  <c:v>217.01818181824146</c:v>
                </c:pt>
                <c:pt idx="447">
                  <c:v>205.20000000005982</c:v>
                </c:pt>
                <c:pt idx="448">
                  <c:v>193.3818181818782</c:v>
                </c:pt>
                <c:pt idx="449">
                  <c:v>181.56363636369656</c:v>
                </c:pt>
                <c:pt idx="450">
                  <c:v>169.74545454551495</c:v>
                </c:pt>
                <c:pt idx="451">
                  <c:v>157.92727272733333</c:v>
                </c:pt>
                <c:pt idx="452">
                  <c:v>146.10909090915169</c:v>
                </c:pt>
                <c:pt idx="453">
                  <c:v>136.24375000004085</c:v>
                </c:pt>
                <c:pt idx="454">
                  <c:v>128.33125000004102</c:v>
                </c:pt>
                <c:pt idx="455">
                  <c:v>120.4187500000412</c:v>
                </c:pt>
                <c:pt idx="456">
                  <c:v>112.50625000004138</c:v>
                </c:pt>
                <c:pt idx="457">
                  <c:v>104.59375000004155</c:v>
                </c:pt>
                <c:pt idx="458">
                  <c:v>96.681250000041729</c:v>
                </c:pt>
                <c:pt idx="459">
                  <c:v>88.768750000041905</c:v>
                </c:pt>
                <c:pt idx="460">
                  <c:v>80.856250000042081</c:v>
                </c:pt>
                <c:pt idx="461">
                  <c:v>74.700000000023536</c:v>
                </c:pt>
                <c:pt idx="462">
                  <c:v>70.300000000023687</c:v>
                </c:pt>
                <c:pt idx="463">
                  <c:v>65.900000000023837</c:v>
                </c:pt>
                <c:pt idx="464">
                  <c:v>61.500000000023995</c:v>
                </c:pt>
                <c:pt idx="465">
                  <c:v>57.100000000024153</c:v>
                </c:pt>
                <c:pt idx="466">
                  <c:v>51.225000000040474</c:v>
                </c:pt>
                <c:pt idx="467">
                  <c:v>43.875000000040473</c:v>
                </c:pt>
                <c:pt idx="468">
                  <c:v>20.100000000221371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3-7045-93AD-06357D4BED02}"/>
            </c:ext>
          </c:extLst>
        </c:ser>
        <c:ser>
          <c:idx val="2"/>
          <c:order val="1"/>
          <c:tx>
            <c:strRef>
              <c:f>Courbes!$B$135</c:f>
              <c:strCache>
                <c:ptCount val="1"/>
                <c:pt idx="0">
                  <c:v>Poids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5.0999999999999375</c:v>
                </c:pt>
                <c:pt idx="502">
                  <c:v>5.1999999999999371</c:v>
                </c:pt>
                <c:pt idx="503">
                  <c:v>5.2999999999999368</c:v>
                </c:pt>
                <c:pt idx="504">
                  <c:v>5.3999999999999364</c:v>
                </c:pt>
                <c:pt idx="505">
                  <c:v>5.4999999999999361</c:v>
                </c:pt>
                <c:pt idx="506">
                  <c:v>5.5999999999999357</c:v>
                </c:pt>
                <c:pt idx="507">
                  <c:v>5.6999999999999353</c:v>
                </c:pt>
                <c:pt idx="508">
                  <c:v>5.799999999999935</c:v>
                </c:pt>
                <c:pt idx="509">
                  <c:v>5.8999999999999346</c:v>
                </c:pt>
                <c:pt idx="510">
                  <c:v>5.9999999999999343</c:v>
                </c:pt>
                <c:pt idx="511">
                  <c:v>6.0999999999999339</c:v>
                </c:pt>
                <c:pt idx="512">
                  <c:v>6.1999999999999336</c:v>
                </c:pt>
                <c:pt idx="513">
                  <c:v>6.2999999999999332</c:v>
                </c:pt>
                <c:pt idx="514">
                  <c:v>6.3999999999999329</c:v>
                </c:pt>
                <c:pt idx="515">
                  <c:v>6.4999999999999325</c:v>
                </c:pt>
                <c:pt idx="516">
                  <c:v>6.5999999999999321</c:v>
                </c:pt>
                <c:pt idx="517">
                  <c:v>6.6999999999999318</c:v>
                </c:pt>
                <c:pt idx="518">
                  <c:v>6.7999999999999314</c:v>
                </c:pt>
                <c:pt idx="519">
                  <c:v>6.8999999999999311</c:v>
                </c:pt>
                <c:pt idx="520">
                  <c:v>6.9999999999999307</c:v>
                </c:pt>
                <c:pt idx="521">
                  <c:v>7.0999999999999304</c:v>
                </c:pt>
                <c:pt idx="522">
                  <c:v>7.19999999999993</c:v>
                </c:pt>
                <c:pt idx="523">
                  <c:v>7.2999999999999297</c:v>
                </c:pt>
                <c:pt idx="524">
                  <c:v>7.3999999999999293</c:v>
                </c:pt>
                <c:pt idx="525">
                  <c:v>7.4999999999999289</c:v>
                </c:pt>
                <c:pt idx="526">
                  <c:v>7.5999999999999286</c:v>
                </c:pt>
                <c:pt idx="527">
                  <c:v>7.6999999999999282</c:v>
                </c:pt>
                <c:pt idx="528">
                  <c:v>7.7999999999999279</c:v>
                </c:pt>
                <c:pt idx="529">
                  <c:v>7.8999999999999275</c:v>
                </c:pt>
                <c:pt idx="530">
                  <c:v>7.9999999999999272</c:v>
                </c:pt>
                <c:pt idx="531">
                  <c:v>8.0999999999999268</c:v>
                </c:pt>
                <c:pt idx="532">
                  <c:v>8.1999999999999265</c:v>
                </c:pt>
                <c:pt idx="533">
                  <c:v>8.2999999999999261</c:v>
                </c:pt>
                <c:pt idx="534">
                  <c:v>8.3999999999999257</c:v>
                </c:pt>
                <c:pt idx="535">
                  <c:v>8.4999999999999254</c:v>
                </c:pt>
                <c:pt idx="536">
                  <c:v>8.599999999999925</c:v>
                </c:pt>
                <c:pt idx="537">
                  <c:v>8.6999999999999247</c:v>
                </c:pt>
                <c:pt idx="538">
                  <c:v>8.7999999999999243</c:v>
                </c:pt>
                <c:pt idx="539">
                  <c:v>8.899999999999924</c:v>
                </c:pt>
                <c:pt idx="540">
                  <c:v>8.9999999999999236</c:v>
                </c:pt>
                <c:pt idx="541">
                  <c:v>9.0999999999999233</c:v>
                </c:pt>
                <c:pt idx="542">
                  <c:v>9.1999999999999229</c:v>
                </c:pt>
                <c:pt idx="543">
                  <c:v>9.2999999999999226</c:v>
                </c:pt>
                <c:pt idx="544">
                  <c:v>9.3999999999999222</c:v>
                </c:pt>
                <c:pt idx="545">
                  <c:v>9.4999999999999218</c:v>
                </c:pt>
                <c:pt idx="546">
                  <c:v>9.5999999999999215</c:v>
                </c:pt>
                <c:pt idx="547">
                  <c:v>9.6999999999999211</c:v>
                </c:pt>
                <c:pt idx="548">
                  <c:v>9.7999999999999208</c:v>
                </c:pt>
                <c:pt idx="549">
                  <c:v>9.8999999999999204</c:v>
                </c:pt>
                <c:pt idx="550">
                  <c:v>9.9999999999999201</c:v>
                </c:pt>
                <c:pt idx="551">
                  <c:v>10.09999999999992</c:v>
                </c:pt>
                <c:pt idx="552">
                  <c:v>10.199999999999919</c:v>
                </c:pt>
                <c:pt idx="553">
                  <c:v>10.299999999999919</c:v>
                </c:pt>
                <c:pt idx="554">
                  <c:v>10.399999999999919</c:v>
                </c:pt>
                <c:pt idx="555">
                  <c:v>10.499999999999918</c:v>
                </c:pt>
                <c:pt idx="556">
                  <c:v>10.599999999999918</c:v>
                </c:pt>
                <c:pt idx="557">
                  <c:v>10.699999999999918</c:v>
                </c:pt>
                <c:pt idx="558">
                  <c:v>10.799999999999917</c:v>
                </c:pt>
                <c:pt idx="559">
                  <c:v>10.899999999999917</c:v>
                </c:pt>
                <c:pt idx="560">
                  <c:v>10.999999999999917</c:v>
                </c:pt>
                <c:pt idx="561">
                  <c:v>11.099999999999916</c:v>
                </c:pt>
                <c:pt idx="562">
                  <c:v>11.199999999999916</c:v>
                </c:pt>
                <c:pt idx="563">
                  <c:v>11.299999999999915</c:v>
                </c:pt>
                <c:pt idx="564">
                  <c:v>11.399999999999915</c:v>
                </c:pt>
                <c:pt idx="565">
                  <c:v>11.499999999999915</c:v>
                </c:pt>
                <c:pt idx="566">
                  <c:v>11.599999999999914</c:v>
                </c:pt>
                <c:pt idx="567">
                  <c:v>11.699999999999914</c:v>
                </c:pt>
                <c:pt idx="568">
                  <c:v>11.799999999999914</c:v>
                </c:pt>
                <c:pt idx="569">
                  <c:v>11.899999999999913</c:v>
                </c:pt>
                <c:pt idx="570">
                  <c:v>11.999999999999913</c:v>
                </c:pt>
                <c:pt idx="571">
                  <c:v>12.099999999999913</c:v>
                </c:pt>
                <c:pt idx="572">
                  <c:v>12.199999999999912</c:v>
                </c:pt>
                <c:pt idx="573">
                  <c:v>12.299999999999912</c:v>
                </c:pt>
                <c:pt idx="574">
                  <c:v>12.399999999999912</c:v>
                </c:pt>
                <c:pt idx="575">
                  <c:v>12.499999999999911</c:v>
                </c:pt>
                <c:pt idx="576">
                  <c:v>12.599999999999911</c:v>
                </c:pt>
                <c:pt idx="577">
                  <c:v>12.69999999999991</c:v>
                </c:pt>
                <c:pt idx="578">
                  <c:v>12.79999999999991</c:v>
                </c:pt>
                <c:pt idx="579">
                  <c:v>12.89999999999991</c:v>
                </c:pt>
                <c:pt idx="580">
                  <c:v>12.999999999999909</c:v>
                </c:pt>
                <c:pt idx="581">
                  <c:v>13.099999999999909</c:v>
                </c:pt>
                <c:pt idx="582">
                  <c:v>13.199999999999909</c:v>
                </c:pt>
                <c:pt idx="583">
                  <c:v>13.299999999999908</c:v>
                </c:pt>
                <c:pt idx="584">
                  <c:v>13.399999999999908</c:v>
                </c:pt>
                <c:pt idx="585">
                  <c:v>13.499999999999908</c:v>
                </c:pt>
                <c:pt idx="586">
                  <c:v>13.599999999999907</c:v>
                </c:pt>
                <c:pt idx="587">
                  <c:v>13.699999999999907</c:v>
                </c:pt>
                <c:pt idx="588">
                  <c:v>13.799999999999907</c:v>
                </c:pt>
                <c:pt idx="589">
                  <c:v>13.899999999999906</c:v>
                </c:pt>
                <c:pt idx="590">
                  <c:v>13.999999999999906</c:v>
                </c:pt>
                <c:pt idx="591">
                  <c:v>14.099999999999905</c:v>
                </c:pt>
                <c:pt idx="592">
                  <c:v>14.199999999999905</c:v>
                </c:pt>
                <c:pt idx="593">
                  <c:v>14.299999999999905</c:v>
                </c:pt>
                <c:pt idx="594">
                  <c:v>14.399999999999904</c:v>
                </c:pt>
                <c:pt idx="595">
                  <c:v>14.499999999999904</c:v>
                </c:pt>
                <c:pt idx="596">
                  <c:v>14.599999999999904</c:v>
                </c:pt>
                <c:pt idx="597">
                  <c:v>14.699999999999903</c:v>
                </c:pt>
                <c:pt idx="598">
                  <c:v>14.799999999999903</c:v>
                </c:pt>
                <c:pt idx="599">
                  <c:v>14.899999999999903</c:v>
                </c:pt>
                <c:pt idx="600">
                  <c:v>14.999999999999902</c:v>
                </c:pt>
                <c:pt idx="601">
                  <c:v>15.099999999999902</c:v>
                </c:pt>
                <c:pt idx="602">
                  <c:v>15.199999999999902</c:v>
                </c:pt>
                <c:pt idx="603">
                  <c:v>15.299999999999901</c:v>
                </c:pt>
                <c:pt idx="604">
                  <c:v>15.399999999999901</c:v>
                </c:pt>
                <c:pt idx="605">
                  <c:v>15.499999999999901</c:v>
                </c:pt>
                <c:pt idx="606">
                  <c:v>15.5999999999999</c:v>
                </c:pt>
                <c:pt idx="607">
                  <c:v>15.6999999999999</c:v>
                </c:pt>
                <c:pt idx="608">
                  <c:v>15.799999999999899</c:v>
                </c:pt>
                <c:pt idx="609">
                  <c:v>15.899999999999899</c:v>
                </c:pt>
                <c:pt idx="610">
                  <c:v>15.999999999999899</c:v>
                </c:pt>
                <c:pt idx="611">
                  <c:v>16.099999999999898</c:v>
                </c:pt>
                <c:pt idx="612">
                  <c:v>16.1999999999999</c:v>
                </c:pt>
                <c:pt idx="613">
                  <c:v>16.299999999999901</c:v>
                </c:pt>
                <c:pt idx="614">
                  <c:v>16.399999999999903</c:v>
                </c:pt>
                <c:pt idx="615">
                  <c:v>16.499999999999904</c:v>
                </c:pt>
                <c:pt idx="616">
                  <c:v>16.599999999999905</c:v>
                </c:pt>
                <c:pt idx="617">
                  <c:v>16.699999999999907</c:v>
                </c:pt>
                <c:pt idx="618">
                  <c:v>16.799999999999908</c:v>
                </c:pt>
                <c:pt idx="619">
                  <c:v>16.89999999999991</c:v>
                </c:pt>
                <c:pt idx="620">
                  <c:v>16.999999999999911</c:v>
                </c:pt>
                <c:pt idx="621">
                  <c:v>17.099999999999913</c:v>
                </c:pt>
                <c:pt idx="622">
                  <c:v>17.199999999999914</c:v>
                </c:pt>
                <c:pt idx="623">
                  <c:v>17.299999999999915</c:v>
                </c:pt>
                <c:pt idx="624">
                  <c:v>17.399999999999917</c:v>
                </c:pt>
                <c:pt idx="625">
                  <c:v>17.499999999999918</c:v>
                </c:pt>
                <c:pt idx="626">
                  <c:v>17.59999999999992</c:v>
                </c:pt>
                <c:pt idx="627">
                  <c:v>17.699999999999921</c:v>
                </c:pt>
                <c:pt idx="628">
                  <c:v>17.799999999999923</c:v>
                </c:pt>
                <c:pt idx="629">
                  <c:v>17.899999999999924</c:v>
                </c:pt>
                <c:pt idx="630">
                  <c:v>17.999999999999925</c:v>
                </c:pt>
                <c:pt idx="631">
                  <c:v>18.099999999999927</c:v>
                </c:pt>
                <c:pt idx="632">
                  <c:v>18.199999999999928</c:v>
                </c:pt>
                <c:pt idx="633">
                  <c:v>18.29999999999993</c:v>
                </c:pt>
                <c:pt idx="634">
                  <c:v>18.399999999999931</c:v>
                </c:pt>
                <c:pt idx="635">
                  <c:v>18.499999999999932</c:v>
                </c:pt>
                <c:pt idx="636">
                  <c:v>18.599999999999934</c:v>
                </c:pt>
                <c:pt idx="637">
                  <c:v>18.699999999999935</c:v>
                </c:pt>
                <c:pt idx="638">
                  <c:v>18.799999999999937</c:v>
                </c:pt>
                <c:pt idx="639">
                  <c:v>18.899999999999938</c:v>
                </c:pt>
                <c:pt idx="640">
                  <c:v>18.99999999999994</c:v>
                </c:pt>
                <c:pt idx="641">
                  <c:v>19.099999999999941</c:v>
                </c:pt>
                <c:pt idx="642">
                  <c:v>19.199999999999942</c:v>
                </c:pt>
                <c:pt idx="643">
                  <c:v>19.299999999999944</c:v>
                </c:pt>
                <c:pt idx="644">
                  <c:v>19.399999999999945</c:v>
                </c:pt>
                <c:pt idx="645">
                  <c:v>19.499999999999947</c:v>
                </c:pt>
                <c:pt idx="646">
                  <c:v>19.599999999999948</c:v>
                </c:pt>
                <c:pt idx="647">
                  <c:v>19.69999999999995</c:v>
                </c:pt>
                <c:pt idx="648">
                  <c:v>19.799999999999951</c:v>
                </c:pt>
                <c:pt idx="649">
                  <c:v>19.899999999999952</c:v>
                </c:pt>
                <c:pt idx="650">
                  <c:v>19.999999999999954</c:v>
                </c:pt>
                <c:pt idx="651">
                  <c:v>20.099999999999955</c:v>
                </c:pt>
                <c:pt idx="652">
                  <c:v>20.199999999999957</c:v>
                </c:pt>
                <c:pt idx="653">
                  <c:v>20.299999999999958</c:v>
                </c:pt>
                <c:pt idx="654">
                  <c:v>20.399999999999959</c:v>
                </c:pt>
                <c:pt idx="655">
                  <c:v>20.499999999999961</c:v>
                </c:pt>
                <c:pt idx="656">
                  <c:v>20.599999999999962</c:v>
                </c:pt>
                <c:pt idx="657">
                  <c:v>20.699999999999964</c:v>
                </c:pt>
                <c:pt idx="658">
                  <c:v>20.799999999999965</c:v>
                </c:pt>
                <c:pt idx="659">
                  <c:v>20.899999999999967</c:v>
                </c:pt>
                <c:pt idx="660">
                  <c:v>20.999999999999968</c:v>
                </c:pt>
                <c:pt idx="661">
                  <c:v>21.099999999999969</c:v>
                </c:pt>
                <c:pt idx="662">
                  <c:v>21.199999999999971</c:v>
                </c:pt>
                <c:pt idx="663">
                  <c:v>21.299999999999972</c:v>
                </c:pt>
                <c:pt idx="664">
                  <c:v>21.399999999999974</c:v>
                </c:pt>
                <c:pt idx="665">
                  <c:v>21.499999999999975</c:v>
                </c:pt>
                <c:pt idx="666">
                  <c:v>21.599999999999977</c:v>
                </c:pt>
                <c:pt idx="667">
                  <c:v>21.699999999999978</c:v>
                </c:pt>
                <c:pt idx="668">
                  <c:v>21.799999999999979</c:v>
                </c:pt>
                <c:pt idx="669">
                  <c:v>21.899999999999981</c:v>
                </c:pt>
                <c:pt idx="670">
                  <c:v>21.999999999999982</c:v>
                </c:pt>
                <c:pt idx="671">
                  <c:v>22.099999999999984</c:v>
                </c:pt>
                <c:pt idx="672">
                  <c:v>22.199999999999985</c:v>
                </c:pt>
                <c:pt idx="673">
                  <c:v>22.299999999999986</c:v>
                </c:pt>
                <c:pt idx="674">
                  <c:v>22.399999999999988</c:v>
                </c:pt>
                <c:pt idx="675">
                  <c:v>22.499999999999989</c:v>
                </c:pt>
                <c:pt idx="676">
                  <c:v>22.599999999999991</c:v>
                </c:pt>
                <c:pt idx="677">
                  <c:v>22.699999999999992</c:v>
                </c:pt>
                <c:pt idx="678">
                  <c:v>22.799999999999994</c:v>
                </c:pt>
                <c:pt idx="679">
                  <c:v>22.899999999999995</c:v>
                </c:pt>
                <c:pt idx="680">
                  <c:v>22.999999999999996</c:v>
                </c:pt>
                <c:pt idx="681">
                  <c:v>23.099999999999998</c:v>
                </c:pt>
                <c:pt idx="682">
                  <c:v>23.2</c:v>
                </c:pt>
                <c:pt idx="683">
                  <c:v>23.3</c:v>
                </c:pt>
                <c:pt idx="684">
                  <c:v>23.400000000000002</c:v>
                </c:pt>
                <c:pt idx="685">
                  <c:v>23.500000000000004</c:v>
                </c:pt>
                <c:pt idx="686">
                  <c:v>23.600000000000005</c:v>
                </c:pt>
                <c:pt idx="687">
                  <c:v>23.700000000000006</c:v>
                </c:pt>
                <c:pt idx="688">
                  <c:v>23.800000000000008</c:v>
                </c:pt>
                <c:pt idx="689">
                  <c:v>23.900000000000009</c:v>
                </c:pt>
                <c:pt idx="690">
                  <c:v>24.000000000000011</c:v>
                </c:pt>
                <c:pt idx="691">
                  <c:v>24.100000000000012</c:v>
                </c:pt>
                <c:pt idx="692">
                  <c:v>24.200000000000014</c:v>
                </c:pt>
                <c:pt idx="693">
                  <c:v>24.300000000000015</c:v>
                </c:pt>
                <c:pt idx="694">
                  <c:v>24.400000000000016</c:v>
                </c:pt>
                <c:pt idx="695">
                  <c:v>24.500000000000018</c:v>
                </c:pt>
                <c:pt idx="696">
                  <c:v>24.600000000000019</c:v>
                </c:pt>
                <c:pt idx="697">
                  <c:v>24.700000000000021</c:v>
                </c:pt>
                <c:pt idx="698">
                  <c:v>24.800000000000022</c:v>
                </c:pt>
                <c:pt idx="699">
                  <c:v>24.900000000000023</c:v>
                </c:pt>
                <c:pt idx="700">
                  <c:v>25.000000000000025</c:v>
                </c:pt>
                <c:pt idx="701">
                  <c:v>25.100000000000026</c:v>
                </c:pt>
                <c:pt idx="702">
                  <c:v>25.200000000000028</c:v>
                </c:pt>
                <c:pt idx="703">
                  <c:v>25.300000000000029</c:v>
                </c:pt>
                <c:pt idx="704">
                  <c:v>25.400000000000031</c:v>
                </c:pt>
                <c:pt idx="705">
                  <c:v>25.500000000000032</c:v>
                </c:pt>
                <c:pt idx="706">
                  <c:v>25.600000000000033</c:v>
                </c:pt>
                <c:pt idx="707">
                  <c:v>25.700000000000035</c:v>
                </c:pt>
                <c:pt idx="708">
                  <c:v>25.800000000000036</c:v>
                </c:pt>
                <c:pt idx="709">
                  <c:v>25.900000000000038</c:v>
                </c:pt>
                <c:pt idx="710">
                  <c:v>26.000000000000039</c:v>
                </c:pt>
                <c:pt idx="711">
                  <c:v>26.100000000000041</c:v>
                </c:pt>
                <c:pt idx="712">
                  <c:v>26.200000000000042</c:v>
                </c:pt>
                <c:pt idx="713">
                  <c:v>26.300000000000043</c:v>
                </c:pt>
                <c:pt idx="714">
                  <c:v>26.400000000000045</c:v>
                </c:pt>
                <c:pt idx="715">
                  <c:v>26.500000000000046</c:v>
                </c:pt>
                <c:pt idx="716">
                  <c:v>26.600000000000048</c:v>
                </c:pt>
                <c:pt idx="717">
                  <c:v>26.700000000000049</c:v>
                </c:pt>
                <c:pt idx="718">
                  <c:v>26.80000000000005</c:v>
                </c:pt>
                <c:pt idx="719">
                  <c:v>26.900000000000052</c:v>
                </c:pt>
                <c:pt idx="720">
                  <c:v>27.000000000000053</c:v>
                </c:pt>
                <c:pt idx="721">
                  <c:v>27.100000000000055</c:v>
                </c:pt>
                <c:pt idx="722">
                  <c:v>27.200000000000056</c:v>
                </c:pt>
                <c:pt idx="723">
                  <c:v>27.300000000000058</c:v>
                </c:pt>
                <c:pt idx="724">
                  <c:v>27.400000000000059</c:v>
                </c:pt>
                <c:pt idx="725">
                  <c:v>27.50000000000006</c:v>
                </c:pt>
                <c:pt idx="726">
                  <c:v>27.600000000000062</c:v>
                </c:pt>
                <c:pt idx="727">
                  <c:v>27.700000000000063</c:v>
                </c:pt>
                <c:pt idx="728">
                  <c:v>27.800000000000065</c:v>
                </c:pt>
                <c:pt idx="729">
                  <c:v>27.900000000000066</c:v>
                </c:pt>
                <c:pt idx="730">
                  <c:v>28.000000000000068</c:v>
                </c:pt>
                <c:pt idx="731">
                  <c:v>28.100000000000069</c:v>
                </c:pt>
                <c:pt idx="732">
                  <c:v>28.20000000000007</c:v>
                </c:pt>
                <c:pt idx="733">
                  <c:v>28.300000000000072</c:v>
                </c:pt>
                <c:pt idx="734">
                  <c:v>28.400000000000073</c:v>
                </c:pt>
                <c:pt idx="735">
                  <c:v>28.500000000000075</c:v>
                </c:pt>
                <c:pt idx="736">
                  <c:v>28.600000000000076</c:v>
                </c:pt>
                <c:pt idx="737">
                  <c:v>28.700000000000077</c:v>
                </c:pt>
                <c:pt idx="738">
                  <c:v>28.800000000000079</c:v>
                </c:pt>
                <c:pt idx="739">
                  <c:v>28.90000000000008</c:v>
                </c:pt>
                <c:pt idx="740">
                  <c:v>29.000000000000082</c:v>
                </c:pt>
                <c:pt idx="741">
                  <c:v>29.100000000000083</c:v>
                </c:pt>
                <c:pt idx="742">
                  <c:v>29.200000000000085</c:v>
                </c:pt>
                <c:pt idx="743">
                  <c:v>29.300000000000086</c:v>
                </c:pt>
                <c:pt idx="744">
                  <c:v>29.400000000000087</c:v>
                </c:pt>
                <c:pt idx="745">
                  <c:v>29.500000000000089</c:v>
                </c:pt>
                <c:pt idx="746">
                  <c:v>29.60000000000009</c:v>
                </c:pt>
                <c:pt idx="747">
                  <c:v>29.700000000000092</c:v>
                </c:pt>
                <c:pt idx="748">
                  <c:v>29.800000000000093</c:v>
                </c:pt>
                <c:pt idx="749">
                  <c:v>29.900000000000095</c:v>
                </c:pt>
                <c:pt idx="750">
                  <c:v>30.000000000000096</c:v>
                </c:pt>
                <c:pt idx="751">
                  <c:v>30.100000000000097</c:v>
                </c:pt>
                <c:pt idx="752">
                  <c:v>30.200000000000099</c:v>
                </c:pt>
                <c:pt idx="753">
                  <c:v>30.3000000000001</c:v>
                </c:pt>
                <c:pt idx="754">
                  <c:v>30.400000000000102</c:v>
                </c:pt>
                <c:pt idx="755">
                  <c:v>30.500000000000103</c:v>
                </c:pt>
                <c:pt idx="756">
                  <c:v>30.600000000000104</c:v>
                </c:pt>
                <c:pt idx="757">
                  <c:v>30.700000000000106</c:v>
                </c:pt>
                <c:pt idx="758">
                  <c:v>30.800000000000107</c:v>
                </c:pt>
                <c:pt idx="759">
                  <c:v>30.900000000000109</c:v>
                </c:pt>
                <c:pt idx="760">
                  <c:v>31.00000000000011</c:v>
                </c:pt>
                <c:pt idx="761">
                  <c:v>31.100000000000112</c:v>
                </c:pt>
                <c:pt idx="762">
                  <c:v>31.200000000000113</c:v>
                </c:pt>
                <c:pt idx="763">
                  <c:v>31.300000000000114</c:v>
                </c:pt>
                <c:pt idx="764">
                  <c:v>31.400000000000116</c:v>
                </c:pt>
                <c:pt idx="765">
                  <c:v>31.500000000000117</c:v>
                </c:pt>
                <c:pt idx="766">
                  <c:v>31.600000000000119</c:v>
                </c:pt>
                <c:pt idx="767">
                  <c:v>31.70000000000012</c:v>
                </c:pt>
                <c:pt idx="768">
                  <c:v>31.800000000000122</c:v>
                </c:pt>
                <c:pt idx="769">
                  <c:v>31.900000000000123</c:v>
                </c:pt>
                <c:pt idx="770">
                  <c:v>32.000000000000121</c:v>
                </c:pt>
                <c:pt idx="771">
                  <c:v>32.100000000000122</c:v>
                </c:pt>
                <c:pt idx="772">
                  <c:v>32.200000000000124</c:v>
                </c:pt>
                <c:pt idx="773">
                  <c:v>32.300000000000125</c:v>
                </c:pt>
                <c:pt idx="774">
                  <c:v>32.400000000000126</c:v>
                </c:pt>
                <c:pt idx="775">
                  <c:v>32.500000000000128</c:v>
                </c:pt>
                <c:pt idx="776">
                  <c:v>32.600000000000129</c:v>
                </c:pt>
                <c:pt idx="777">
                  <c:v>32.700000000000131</c:v>
                </c:pt>
                <c:pt idx="778">
                  <c:v>32.800000000000132</c:v>
                </c:pt>
                <c:pt idx="779">
                  <c:v>32.900000000000134</c:v>
                </c:pt>
                <c:pt idx="780">
                  <c:v>33.000000000000135</c:v>
                </c:pt>
                <c:pt idx="781">
                  <c:v>33.100000000000136</c:v>
                </c:pt>
                <c:pt idx="782">
                  <c:v>33.200000000000138</c:v>
                </c:pt>
                <c:pt idx="783">
                  <c:v>33.300000000000139</c:v>
                </c:pt>
                <c:pt idx="784">
                  <c:v>33.400000000000141</c:v>
                </c:pt>
                <c:pt idx="785">
                  <c:v>33.500000000000142</c:v>
                </c:pt>
                <c:pt idx="786">
                  <c:v>33.600000000000144</c:v>
                </c:pt>
                <c:pt idx="787">
                  <c:v>33.700000000000145</c:v>
                </c:pt>
                <c:pt idx="788">
                  <c:v>33.800000000000146</c:v>
                </c:pt>
                <c:pt idx="789">
                  <c:v>33.900000000000148</c:v>
                </c:pt>
                <c:pt idx="790">
                  <c:v>34.000000000000149</c:v>
                </c:pt>
                <c:pt idx="791">
                  <c:v>34.100000000000151</c:v>
                </c:pt>
                <c:pt idx="792">
                  <c:v>34.200000000000152</c:v>
                </c:pt>
                <c:pt idx="793">
                  <c:v>34.300000000000153</c:v>
                </c:pt>
                <c:pt idx="794">
                  <c:v>34.400000000000155</c:v>
                </c:pt>
                <c:pt idx="795">
                  <c:v>34.500000000000156</c:v>
                </c:pt>
                <c:pt idx="796">
                  <c:v>34.600000000000158</c:v>
                </c:pt>
                <c:pt idx="797">
                  <c:v>34.700000000000159</c:v>
                </c:pt>
                <c:pt idx="798">
                  <c:v>34.800000000000161</c:v>
                </c:pt>
                <c:pt idx="799">
                  <c:v>34.900000000000162</c:v>
                </c:pt>
                <c:pt idx="800">
                  <c:v>35.000000000000163</c:v>
                </c:pt>
                <c:pt idx="801">
                  <c:v>35.100000000000165</c:v>
                </c:pt>
                <c:pt idx="802">
                  <c:v>35.200000000000166</c:v>
                </c:pt>
                <c:pt idx="803">
                  <c:v>35.300000000000168</c:v>
                </c:pt>
                <c:pt idx="804">
                  <c:v>35.400000000000169</c:v>
                </c:pt>
                <c:pt idx="805">
                  <c:v>35.500000000000171</c:v>
                </c:pt>
                <c:pt idx="806">
                  <c:v>35.600000000000172</c:v>
                </c:pt>
                <c:pt idx="807">
                  <c:v>35.700000000000173</c:v>
                </c:pt>
                <c:pt idx="808">
                  <c:v>35.800000000000175</c:v>
                </c:pt>
                <c:pt idx="809">
                  <c:v>35.900000000000176</c:v>
                </c:pt>
                <c:pt idx="810">
                  <c:v>36.000000000000178</c:v>
                </c:pt>
                <c:pt idx="811">
                  <c:v>36.100000000000179</c:v>
                </c:pt>
                <c:pt idx="812">
                  <c:v>36.20000000000018</c:v>
                </c:pt>
                <c:pt idx="813">
                  <c:v>36.300000000000182</c:v>
                </c:pt>
                <c:pt idx="814">
                  <c:v>36.400000000000183</c:v>
                </c:pt>
                <c:pt idx="815">
                  <c:v>36.500000000000185</c:v>
                </c:pt>
                <c:pt idx="816">
                  <c:v>36.600000000000186</c:v>
                </c:pt>
                <c:pt idx="817">
                  <c:v>36.700000000000188</c:v>
                </c:pt>
                <c:pt idx="818">
                  <c:v>36.800000000000189</c:v>
                </c:pt>
                <c:pt idx="819">
                  <c:v>36.90000000000019</c:v>
                </c:pt>
                <c:pt idx="820">
                  <c:v>37.000000000000192</c:v>
                </c:pt>
                <c:pt idx="821">
                  <c:v>37.100000000000193</c:v>
                </c:pt>
                <c:pt idx="822">
                  <c:v>37.200000000000195</c:v>
                </c:pt>
                <c:pt idx="823">
                  <c:v>37.300000000000196</c:v>
                </c:pt>
                <c:pt idx="824">
                  <c:v>37.400000000000198</c:v>
                </c:pt>
                <c:pt idx="825">
                  <c:v>37.500000000000199</c:v>
                </c:pt>
                <c:pt idx="826">
                  <c:v>37.6000000000002</c:v>
                </c:pt>
                <c:pt idx="827">
                  <c:v>37.700000000000202</c:v>
                </c:pt>
                <c:pt idx="828">
                  <c:v>37.800000000000203</c:v>
                </c:pt>
                <c:pt idx="829">
                  <c:v>37.900000000000205</c:v>
                </c:pt>
                <c:pt idx="830">
                  <c:v>38.000000000000206</c:v>
                </c:pt>
                <c:pt idx="831">
                  <c:v>38.100000000000207</c:v>
                </c:pt>
                <c:pt idx="832">
                  <c:v>38.200000000000209</c:v>
                </c:pt>
                <c:pt idx="833">
                  <c:v>38.30000000000021</c:v>
                </c:pt>
                <c:pt idx="834">
                  <c:v>38.400000000000212</c:v>
                </c:pt>
                <c:pt idx="835">
                  <c:v>38.500000000000213</c:v>
                </c:pt>
                <c:pt idx="836">
                  <c:v>38.600000000000215</c:v>
                </c:pt>
                <c:pt idx="837">
                  <c:v>38.700000000000216</c:v>
                </c:pt>
                <c:pt idx="838">
                  <c:v>38.800000000000217</c:v>
                </c:pt>
                <c:pt idx="839">
                  <c:v>38.900000000000219</c:v>
                </c:pt>
                <c:pt idx="840">
                  <c:v>39.00000000000022</c:v>
                </c:pt>
                <c:pt idx="841">
                  <c:v>39.100000000000222</c:v>
                </c:pt>
                <c:pt idx="842">
                  <c:v>39.200000000000223</c:v>
                </c:pt>
                <c:pt idx="843">
                  <c:v>39.300000000000225</c:v>
                </c:pt>
                <c:pt idx="844">
                  <c:v>39.400000000000226</c:v>
                </c:pt>
                <c:pt idx="845">
                  <c:v>39.500000000000227</c:v>
                </c:pt>
                <c:pt idx="846">
                  <c:v>39.600000000000229</c:v>
                </c:pt>
                <c:pt idx="847">
                  <c:v>39.70000000000023</c:v>
                </c:pt>
                <c:pt idx="848">
                  <c:v>39.800000000000232</c:v>
                </c:pt>
                <c:pt idx="849">
                  <c:v>39.900000000000233</c:v>
                </c:pt>
                <c:pt idx="850">
                  <c:v>40.000000000000234</c:v>
                </c:pt>
                <c:pt idx="851">
                  <c:v>40.100000000000236</c:v>
                </c:pt>
                <c:pt idx="852">
                  <c:v>40.200000000000237</c:v>
                </c:pt>
                <c:pt idx="853">
                  <c:v>40.300000000000239</c:v>
                </c:pt>
                <c:pt idx="854">
                  <c:v>40.40000000000024</c:v>
                </c:pt>
                <c:pt idx="855">
                  <c:v>40.500000000000242</c:v>
                </c:pt>
                <c:pt idx="856">
                  <c:v>40.600000000000243</c:v>
                </c:pt>
                <c:pt idx="857">
                  <c:v>40.700000000000244</c:v>
                </c:pt>
                <c:pt idx="858">
                  <c:v>40.800000000000246</c:v>
                </c:pt>
                <c:pt idx="859">
                  <c:v>40.900000000000247</c:v>
                </c:pt>
                <c:pt idx="860">
                  <c:v>41.000000000000249</c:v>
                </c:pt>
                <c:pt idx="861">
                  <c:v>41.10000000000025</c:v>
                </c:pt>
                <c:pt idx="862">
                  <c:v>41.200000000000252</c:v>
                </c:pt>
                <c:pt idx="863">
                  <c:v>41.300000000000253</c:v>
                </c:pt>
                <c:pt idx="864">
                  <c:v>41.400000000000254</c:v>
                </c:pt>
                <c:pt idx="865">
                  <c:v>41.500000000000256</c:v>
                </c:pt>
                <c:pt idx="866">
                  <c:v>41.600000000000257</c:v>
                </c:pt>
                <c:pt idx="867">
                  <c:v>41.700000000000259</c:v>
                </c:pt>
                <c:pt idx="868">
                  <c:v>41.80000000000026</c:v>
                </c:pt>
                <c:pt idx="869">
                  <c:v>41.900000000000261</c:v>
                </c:pt>
                <c:pt idx="870">
                  <c:v>42.000000000000263</c:v>
                </c:pt>
                <c:pt idx="871">
                  <c:v>42.100000000000264</c:v>
                </c:pt>
                <c:pt idx="872">
                  <c:v>42.200000000000266</c:v>
                </c:pt>
                <c:pt idx="873">
                  <c:v>42.300000000000267</c:v>
                </c:pt>
                <c:pt idx="874">
                  <c:v>42.400000000000269</c:v>
                </c:pt>
                <c:pt idx="875">
                  <c:v>42.50000000000027</c:v>
                </c:pt>
                <c:pt idx="876">
                  <c:v>42.600000000000271</c:v>
                </c:pt>
                <c:pt idx="877">
                  <c:v>42.700000000000273</c:v>
                </c:pt>
                <c:pt idx="878">
                  <c:v>42.800000000000274</c:v>
                </c:pt>
                <c:pt idx="879">
                  <c:v>42.900000000000276</c:v>
                </c:pt>
                <c:pt idx="880">
                  <c:v>43.000000000000277</c:v>
                </c:pt>
                <c:pt idx="881">
                  <c:v>43.100000000000279</c:v>
                </c:pt>
                <c:pt idx="882">
                  <c:v>43.20000000000028</c:v>
                </c:pt>
                <c:pt idx="883">
                  <c:v>43.300000000000281</c:v>
                </c:pt>
                <c:pt idx="884">
                  <c:v>43.400000000000283</c:v>
                </c:pt>
                <c:pt idx="885">
                  <c:v>43.500000000000284</c:v>
                </c:pt>
                <c:pt idx="886">
                  <c:v>43.600000000000286</c:v>
                </c:pt>
                <c:pt idx="887">
                  <c:v>43.700000000000287</c:v>
                </c:pt>
                <c:pt idx="888">
                  <c:v>43.800000000000288</c:v>
                </c:pt>
                <c:pt idx="889">
                  <c:v>43.90000000000029</c:v>
                </c:pt>
                <c:pt idx="890">
                  <c:v>44.000000000000291</c:v>
                </c:pt>
                <c:pt idx="891">
                  <c:v>44.100000000000293</c:v>
                </c:pt>
                <c:pt idx="892">
                  <c:v>44.200000000000294</c:v>
                </c:pt>
                <c:pt idx="893">
                  <c:v>44.300000000000296</c:v>
                </c:pt>
                <c:pt idx="894">
                  <c:v>44.400000000000297</c:v>
                </c:pt>
                <c:pt idx="895">
                  <c:v>44.500000000000298</c:v>
                </c:pt>
                <c:pt idx="896">
                  <c:v>44.6000000000003</c:v>
                </c:pt>
                <c:pt idx="897">
                  <c:v>44.700000000000301</c:v>
                </c:pt>
                <c:pt idx="898">
                  <c:v>44.800000000000303</c:v>
                </c:pt>
                <c:pt idx="899">
                  <c:v>44.900000000000304</c:v>
                </c:pt>
                <c:pt idx="900">
                  <c:v>45.000000000000306</c:v>
                </c:pt>
                <c:pt idx="901">
                  <c:v>45.100000000000307</c:v>
                </c:pt>
                <c:pt idx="902">
                  <c:v>45.200000000000308</c:v>
                </c:pt>
                <c:pt idx="903">
                  <c:v>45.30000000000031</c:v>
                </c:pt>
                <c:pt idx="904">
                  <c:v>45.400000000000311</c:v>
                </c:pt>
                <c:pt idx="905">
                  <c:v>45.500000000000313</c:v>
                </c:pt>
                <c:pt idx="906">
                  <c:v>45.600000000000314</c:v>
                </c:pt>
                <c:pt idx="907">
                  <c:v>45.700000000000315</c:v>
                </c:pt>
                <c:pt idx="908">
                  <c:v>45.800000000000317</c:v>
                </c:pt>
                <c:pt idx="909">
                  <c:v>45.900000000000318</c:v>
                </c:pt>
                <c:pt idx="910">
                  <c:v>46.00000000000032</c:v>
                </c:pt>
                <c:pt idx="911">
                  <c:v>46.100000000000321</c:v>
                </c:pt>
                <c:pt idx="912">
                  <c:v>46.200000000000323</c:v>
                </c:pt>
                <c:pt idx="913">
                  <c:v>46.300000000000324</c:v>
                </c:pt>
                <c:pt idx="914">
                  <c:v>46.400000000000325</c:v>
                </c:pt>
                <c:pt idx="915">
                  <c:v>46.500000000000327</c:v>
                </c:pt>
                <c:pt idx="916">
                  <c:v>46.600000000000328</c:v>
                </c:pt>
                <c:pt idx="917">
                  <c:v>46.70000000000033</c:v>
                </c:pt>
                <c:pt idx="918">
                  <c:v>46.800000000000331</c:v>
                </c:pt>
                <c:pt idx="919">
                  <c:v>46.900000000000333</c:v>
                </c:pt>
                <c:pt idx="920">
                  <c:v>47.000000000000334</c:v>
                </c:pt>
                <c:pt idx="921">
                  <c:v>47.100000000000335</c:v>
                </c:pt>
                <c:pt idx="922">
                  <c:v>47.200000000000337</c:v>
                </c:pt>
                <c:pt idx="923">
                  <c:v>47.300000000000338</c:v>
                </c:pt>
                <c:pt idx="924">
                  <c:v>47.40000000000034</c:v>
                </c:pt>
                <c:pt idx="925">
                  <c:v>47.500000000000341</c:v>
                </c:pt>
                <c:pt idx="926">
                  <c:v>47.600000000000342</c:v>
                </c:pt>
                <c:pt idx="927">
                  <c:v>47.700000000000344</c:v>
                </c:pt>
                <c:pt idx="928">
                  <c:v>47.800000000000345</c:v>
                </c:pt>
                <c:pt idx="929">
                  <c:v>47.900000000000347</c:v>
                </c:pt>
                <c:pt idx="930">
                  <c:v>48.000000000000348</c:v>
                </c:pt>
                <c:pt idx="931">
                  <c:v>48.10000000000035</c:v>
                </c:pt>
                <c:pt idx="932">
                  <c:v>48.200000000000351</c:v>
                </c:pt>
                <c:pt idx="933">
                  <c:v>48.300000000000352</c:v>
                </c:pt>
                <c:pt idx="934">
                  <c:v>48.400000000000354</c:v>
                </c:pt>
                <c:pt idx="935">
                  <c:v>48.500000000000355</c:v>
                </c:pt>
                <c:pt idx="936">
                  <c:v>48.600000000000357</c:v>
                </c:pt>
                <c:pt idx="937">
                  <c:v>48.700000000000358</c:v>
                </c:pt>
                <c:pt idx="938">
                  <c:v>48.80000000000036</c:v>
                </c:pt>
                <c:pt idx="939">
                  <c:v>48.900000000000361</c:v>
                </c:pt>
                <c:pt idx="940">
                  <c:v>49.000000000000362</c:v>
                </c:pt>
                <c:pt idx="941">
                  <c:v>49.100000000000364</c:v>
                </c:pt>
                <c:pt idx="942">
                  <c:v>49.200000000000365</c:v>
                </c:pt>
                <c:pt idx="943">
                  <c:v>49.300000000000367</c:v>
                </c:pt>
                <c:pt idx="944">
                  <c:v>49.400000000000368</c:v>
                </c:pt>
                <c:pt idx="945">
                  <c:v>49.500000000000369</c:v>
                </c:pt>
                <c:pt idx="946">
                  <c:v>49.500100000000373</c:v>
                </c:pt>
                <c:pt idx="947">
                  <c:v>49.500200000000376</c:v>
                </c:pt>
                <c:pt idx="948">
                  <c:v>49.500300000000379</c:v>
                </c:pt>
                <c:pt idx="949">
                  <c:v>49.500400000000383</c:v>
                </c:pt>
                <c:pt idx="950">
                  <c:v>49.500500000000386</c:v>
                </c:pt>
                <c:pt idx="951">
                  <c:v>49.500600000000389</c:v>
                </c:pt>
                <c:pt idx="952">
                  <c:v>49.500700000000393</c:v>
                </c:pt>
                <c:pt idx="953">
                  <c:v>49.500800000000396</c:v>
                </c:pt>
                <c:pt idx="954">
                  <c:v>49.500900000000399</c:v>
                </c:pt>
                <c:pt idx="955">
                  <c:v>49.501000000000403</c:v>
                </c:pt>
                <c:pt idx="956">
                  <c:v>49.501100000000406</c:v>
                </c:pt>
                <c:pt idx="957">
                  <c:v>49.501200000000409</c:v>
                </c:pt>
                <c:pt idx="958">
                  <c:v>49.501300000000413</c:v>
                </c:pt>
                <c:pt idx="959">
                  <c:v>49.501400000000416</c:v>
                </c:pt>
                <c:pt idx="960">
                  <c:v>49.501500000000419</c:v>
                </c:pt>
                <c:pt idx="961">
                  <c:v>49.501600000000423</c:v>
                </c:pt>
                <c:pt idx="962">
                  <c:v>49.501700000000426</c:v>
                </c:pt>
                <c:pt idx="963">
                  <c:v>49.501800000000429</c:v>
                </c:pt>
                <c:pt idx="964">
                  <c:v>49.501900000000433</c:v>
                </c:pt>
                <c:pt idx="965">
                  <c:v>49.502000000000436</c:v>
                </c:pt>
                <c:pt idx="966">
                  <c:v>49.502100000000439</c:v>
                </c:pt>
                <c:pt idx="967">
                  <c:v>49.502200000000443</c:v>
                </c:pt>
                <c:pt idx="968">
                  <c:v>49.502300000000446</c:v>
                </c:pt>
                <c:pt idx="969">
                  <c:v>49.502400000000449</c:v>
                </c:pt>
                <c:pt idx="970">
                  <c:v>49.502500000000452</c:v>
                </c:pt>
                <c:pt idx="971">
                  <c:v>49.502600000000456</c:v>
                </c:pt>
                <c:pt idx="972">
                  <c:v>49.502700000000459</c:v>
                </c:pt>
                <c:pt idx="973">
                  <c:v>49.502800000000462</c:v>
                </c:pt>
                <c:pt idx="974">
                  <c:v>49.502900000000466</c:v>
                </c:pt>
                <c:pt idx="975">
                  <c:v>49.503000000000469</c:v>
                </c:pt>
                <c:pt idx="976">
                  <c:v>49.503100000000472</c:v>
                </c:pt>
                <c:pt idx="977">
                  <c:v>49.503200000000476</c:v>
                </c:pt>
                <c:pt idx="978">
                  <c:v>49.503300000000479</c:v>
                </c:pt>
                <c:pt idx="979">
                  <c:v>49.503400000000482</c:v>
                </c:pt>
                <c:pt idx="980">
                  <c:v>49.503500000000486</c:v>
                </c:pt>
                <c:pt idx="981">
                  <c:v>49.503600000000489</c:v>
                </c:pt>
                <c:pt idx="982">
                  <c:v>49.503700000000492</c:v>
                </c:pt>
                <c:pt idx="983">
                  <c:v>49.503800000000496</c:v>
                </c:pt>
                <c:pt idx="984">
                  <c:v>49.503900000000499</c:v>
                </c:pt>
                <c:pt idx="985">
                  <c:v>49.504000000000502</c:v>
                </c:pt>
                <c:pt idx="986">
                  <c:v>49.504100000000506</c:v>
                </c:pt>
                <c:pt idx="987">
                  <c:v>49.504200000000509</c:v>
                </c:pt>
                <c:pt idx="988">
                  <c:v>49.504300000000512</c:v>
                </c:pt>
                <c:pt idx="989">
                  <c:v>49.504400000000516</c:v>
                </c:pt>
                <c:pt idx="990">
                  <c:v>49.504500000000519</c:v>
                </c:pt>
                <c:pt idx="991">
                  <c:v>49.504600000000522</c:v>
                </c:pt>
                <c:pt idx="992">
                  <c:v>49.504700000000526</c:v>
                </c:pt>
                <c:pt idx="993">
                  <c:v>49.504800000000529</c:v>
                </c:pt>
                <c:pt idx="994">
                  <c:v>49.504900000000532</c:v>
                </c:pt>
                <c:pt idx="995">
                  <c:v>49.505000000000535</c:v>
                </c:pt>
                <c:pt idx="996">
                  <c:v>49.505100000000539</c:v>
                </c:pt>
                <c:pt idx="997">
                  <c:v>49.505200000000542</c:v>
                </c:pt>
                <c:pt idx="998">
                  <c:v>49.505300000000545</c:v>
                </c:pt>
                <c:pt idx="999">
                  <c:v>49.505400000000549</c:v>
                </c:pt>
                <c:pt idx="1000">
                  <c:v>49.505500000000552</c:v>
                </c:pt>
              </c:numCache>
            </c:numRef>
          </c:xVal>
          <c:yVal>
            <c:numRef>
              <c:f>Calculs!$T$4:$T$1004</c:f>
              <c:numCache>
                <c:formatCode>0.00</c:formatCode>
                <c:ptCount val="1001"/>
                <c:pt idx="0">
                  <c:v>108.01791</c:v>
                </c:pt>
                <c:pt idx="1">
                  <c:v>108.00735932965608</c:v>
                </c:pt>
                <c:pt idx="2">
                  <c:v>107.98517250883351</c:v>
                </c:pt>
                <c:pt idx="3">
                  <c:v>107.95816108918267</c:v>
                </c:pt>
                <c:pt idx="4">
                  <c:v>107.92632507070353</c:v>
                </c:pt>
                <c:pt idx="5">
                  <c:v>107.88966445339612</c:v>
                </c:pt>
                <c:pt idx="6">
                  <c:v>107.84817923726042</c:v>
                </c:pt>
                <c:pt idx="7">
                  <c:v>107.80186942229646</c:v>
                </c:pt>
                <c:pt idx="8">
                  <c:v>107.75073500850421</c:v>
                </c:pt>
                <c:pt idx="9">
                  <c:v>107.69477599588369</c:v>
                </c:pt>
                <c:pt idx="10">
                  <c:v>107.63399238443489</c:v>
                </c:pt>
                <c:pt idx="11">
                  <c:v>107.57115274911919</c:v>
                </c:pt>
                <c:pt idx="12">
                  <c:v>107.50902566489799</c:v>
                </c:pt>
                <c:pt idx="13">
                  <c:v>107.44763219239475</c:v>
                </c:pt>
                <c:pt idx="14">
                  <c:v>107.38699339223298</c:v>
                </c:pt>
                <c:pt idx="15">
                  <c:v>107.32710926441266</c:v>
                </c:pt>
                <c:pt idx="16">
                  <c:v>107.26797980893377</c:v>
                </c:pt>
                <c:pt idx="17">
                  <c:v>107.20960502579636</c:v>
                </c:pt>
                <c:pt idx="18">
                  <c:v>107.1519849150004</c:v>
                </c:pt>
                <c:pt idx="19">
                  <c:v>107.09511947654588</c:v>
                </c:pt>
                <c:pt idx="20">
                  <c:v>107.03900871043281</c:v>
                </c:pt>
                <c:pt idx="21">
                  <c:v>106.9836526166612</c:v>
                </c:pt>
                <c:pt idx="22">
                  <c:v>106.92905119523105</c:v>
                </c:pt>
                <c:pt idx="23">
                  <c:v>106.87520444614235</c:v>
                </c:pt>
                <c:pt idx="24">
                  <c:v>106.8221123693951</c:v>
                </c:pt>
                <c:pt idx="25">
                  <c:v>106.7697749649893</c:v>
                </c:pt>
                <c:pt idx="26">
                  <c:v>106.71819223292495</c:v>
                </c:pt>
                <c:pt idx="27">
                  <c:v>106.66699502727381</c:v>
                </c:pt>
                <c:pt idx="28">
                  <c:v>106.6158142021076</c:v>
                </c:pt>
                <c:pt idx="29">
                  <c:v>106.56464975742631</c:v>
                </c:pt>
                <c:pt idx="30">
                  <c:v>106.51350169322995</c:v>
                </c:pt>
                <c:pt idx="31">
                  <c:v>106.46237000951854</c:v>
                </c:pt>
                <c:pt idx="32">
                  <c:v>106.41125470629204</c:v>
                </c:pt>
                <c:pt idx="33">
                  <c:v>106.36015578355048</c:v>
                </c:pt>
                <c:pt idx="34">
                  <c:v>106.30907324129385</c:v>
                </c:pt>
                <c:pt idx="35">
                  <c:v>106.25800707952214</c:v>
                </c:pt>
                <c:pt idx="36">
                  <c:v>106.20695729823538</c:v>
                </c:pt>
                <c:pt idx="37">
                  <c:v>106.15592389743354</c:v>
                </c:pt>
                <c:pt idx="38">
                  <c:v>106.10490687711662</c:v>
                </c:pt>
                <c:pt idx="39">
                  <c:v>106.05390623728465</c:v>
                </c:pt>
                <c:pt idx="40">
                  <c:v>106.0029219779376</c:v>
                </c:pt>
                <c:pt idx="41">
                  <c:v>105.95195409907548</c:v>
                </c:pt>
                <c:pt idx="42">
                  <c:v>105.90100260069829</c:v>
                </c:pt>
                <c:pt idx="43">
                  <c:v>105.85006748280603</c:v>
                </c:pt>
                <c:pt idx="44">
                  <c:v>105.79914874539871</c:v>
                </c:pt>
                <c:pt idx="45">
                  <c:v>105.74824638847633</c:v>
                </c:pt>
                <c:pt idx="46">
                  <c:v>105.69736041203886</c:v>
                </c:pt>
                <c:pt idx="47">
                  <c:v>105.64649081608633</c:v>
                </c:pt>
                <c:pt idx="48">
                  <c:v>105.59563760061873</c:v>
                </c:pt>
                <c:pt idx="49">
                  <c:v>105.54480076563607</c:v>
                </c:pt>
                <c:pt idx="50">
                  <c:v>105.49398031113832</c:v>
                </c:pt>
                <c:pt idx="51">
                  <c:v>105.44317623712551</c:v>
                </c:pt>
                <c:pt idx="52">
                  <c:v>105.39238854359763</c:v>
                </c:pt>
                <c:pt idx="53">
                  <c:v>105.34161723055469</c:v>
                </c:pt>
                <c:pt idx="54">
                  <c:v>105.29086229799667</c:v>
                </c:pt>
                <c:pt idx="55">
                  <c:v>105.24012374592358</c:v>
                </c:pt>
                <c:pt idx="56">
                  <c:v>105.18940157433542</c:v>
                </c:pt>
                <c:pt idx="57">
                  <c:v>105.13869578323221</c:v>
                </c:pt>
                <c:pt idx="58">
                  <c:v>105.08800637261392</c:v>
                </c:pt>
                <c:pt idx="59">
                  <c:v>105.03733334248055</c:v>
                </c:pt>
                <c:pt idx="60">
                  <c:v>104.98667669283212</c:v>
                </c:pt>
                <c:pt idx="61">
                  <c:v>104.93603642366863</c:v>
                </c:pt>
                <c:pt idx="62">
                  <c:v>104.88541253499007</c:v>
                </c:pt>
                <c:pt idx="63">
                  <c:v>104.83480502679642</c:v>
                </c:pt>
                <c:pt idx="64">
                  <c:v>104.7842138990877</c:v>
                </c:pt>
                <c:pt idx="65">
                  <c:v>104.73363915186394</c:v>
                </c:pt>
                <c:pt idx="66">
                  <c:v>104.6830807851251</c:v>
                </c:pt>
                <c:pt idx="67">
                  <c:v>104.63253879887117</c:v>
                </c:pt>
                <c:pt idx="68">
                  <c:v>104.58201319310218</c:v>
                </c:pt>
                <c:pt idx="69">
                  <c:v>104.53150396781813</c:v>
                </c:pt>
                <c:pt idx="70">
                  <c:v>104.48101112301902</c:v>
                </c:pt>
                <c:pt idx="71">
                  <c:v>104.43053465870481</c:v>
                </c:pt>
                <c:pt idx="72">
                  <c:v>104.38007871310332</c:v>
                </c:pt>
                <c:pt idx="73">
                  <c:v>104.3296474244423</c:v>
                </c:pt>
                <c:pt idx="74">
                  <c:v>104.27924079272175</c:v>
                </c:pt>
                <c:pt idx="75">
                  <c:v>104.22885881794168</c:v>
                </c:pt>
                <c:pt idx="76">
                  <c:v>104.1785015001021</c:v>
                </c:pt>
                <c:pt idx="77">
                  <c:v>104.12816883920297</c:v>
                </c:pt>
                <c:pt idx="78">
                  <c:v>104.07786083524434</c:v>
                </c:pt>
                <c:pt idx="79">
                  <c:v>104.02757748822617</c:v>
                </c:pt>
                <c:pt idx="80">
                  <c:v>103.97731879814849</c:v>
                </c:pt>
                <c:pt idx="81">
                  <c:v>103.92708476501127</c:v>
                </c:pt>
                <c:pt idx="82">
                  <c:v>103.87687538881453</c:v>
                </c:pt>
                <c:pt idx="83">
                  <c:v>103.82669066955826</c:v>
                </c:pt>
                <c:pt idx="84">
                  <c:v>103.77653060724245</c:v>
                </c:pt>
                <c:pt idx="85">
                  <c:v>103.72639520186715</c:v>
                </c:pt>
                <c:pt idx="86">
                  <c:v>103.6762844534323</c:v>
                </c:pt>
                <c:pt idx="87">
                  <c:v>103.62619836193794</c:v>
                </c:pt>
                <c:pt idx="88">
                  <c:v>103.57613692738404</c:v>
                </c:pt>
                <c:pt idx="89">
                  <c:v>103.52610014977061</c:v>
                </c:pt>
                <c:pt idx="90">
                  <c:v>103.47608802909767</c:v>
                </c:pt>
                <c:pt idx="91">
                  <c:v>103.42610056536519</c:v>
                </c:pt>
                <c:pt idx="92">
                  <c:v>103.37613775857321</c:v>
                </c:pt>
                <c:pt idx="93">
                  <c:v>103.32619960872168</c:v>
                </c:pt>
                <c:pt idx="94">
                  <c:v>103.27628611581063</c:v>
                </c:pt>
                <c:pt idx="95">
                  <c:v>103.22639727984007</c:v>
                </c:pt>
                <c:pt idx="96">
                  <c:v>103.17653310080998</c:v>
                </c:pt>
                <c:pt idx="97">
                  <c:v>103.12669357872036</c:v>
                </c:pt>
                <c:pt idx="98">
                  <c:v>103.0768787135712</c:v>
                </c:pt>
                <c:pt idx="99">
                  <c:v>103.02708850536253</c:v>
                </c:pt>
                <c:pt idx="100">
                  <c:v>102.97732295409433</c:v>
                </c:pt>
                <c:pt idx="101">
                  <c:v>102.92758205976662</c:v>
                </c:pt>
                <c:pt idx="102">
                  <c:v>102.87786582237936</c:v>
                </c:pt>
                <c:pt idx="103">
                  <c:v>102.8281742419326</c:v>
                </c:pt>
                <c:pt idx="104">
                  <c:v>102.77850731842631</c:v>
                </c:pt>
                <c:pt idx="105">
                  <c:v>102.72886505186047</c:v>
                </c:pt>
                <c:pt idx="106">
                  <c:v>102.67924744223512</c:v>
                </c:pt>
                <c:pt idx="107">
                  <c:v>102.62965448955025</c:v>
                </c:pt>
                <c:pt idx="108">
                  <c:v>102.58008619380584</c:v>
                </c:pt>
                <c:pt idx="109">
                  <c:v>102.53054255500192</c:v>
                </c:pt>
                <c:pt idx="110">
                  <c:v>102.48102357313847</c:v>
                </c:pt>
                <c:pt idx="111">
                  <c:v>102.4315292482155</c:v>
                </c:pt>
                <c:pt idx="112">
                  <c:v>102.382059580233</c:v>
                </c:pt>
                <c:pt idx="113">
                  <c:v>102.33261456919098</c:v>
                </c:pt>
                <c:pt idx="114">
                  <c:v>102.28319421508942</c:v>
                </c:pt>
                <c:pt idx="115">
                  <c:v>102.23379851792835</c:v>
                </c:pt>
                <c:pt idx="116">
                  <c:v>102.18442747770774</c:v>
                </c:pt>
                <c:pt idx="117">
                  <c:v>102.13508109442763</c:v>
                </c:pt>
                <c:pt idx="118">
                  <c:v>102.08575936808798</c:v>
                </c:pt>
                <c:pt idx="119">
                  <c:v>102.0364622986888</c:v>
                </c:pt>
                <c:pt idx="120">
                  <c:v>101.9871898862301</c:v>
                </c:pt>
                <c:pt idx="121">
                  <c:v>101.93794213071186</c:v>
                </c:pt>
                <c:pt idx="122">
                  <c:v>101.88871903213412</c:v>
                </c:pt>
                <c:pt idx="123">
                  <c:v>101.83952059049683</c:v>
                </c:pt>
                <c:pt idx="124">
                  <c:v>101.79034680580003</c:v>
                </c:pt>
                <c:pt idx="125">
                  <c:v>101.7411976780437</c:v>
                </c:pt>
                <c:pt idx="126">
                  <c:v>101.69207320722785</c:v>
                </c:pt>
                <c:pt idx="127">
                  <c:v>101.64297339335248</c:v>
                </c:pt>
                <c:pt idx="128">
                  <c:v>101.59389823641757</c:v>
                </c:pt>
                <c:pt idx="129">
                  <c:v>101.54486636068742</c:v>
                </c:pt>
                <c:pt idx="130">
                  <c:v>101.4958963904263</c:v>
                </c:pt>
                <c:pt idx="131">
                  <c:v>101.44698832563418</c:v>
                </c:pt>
                <c:pt idx="132">
                  <c:v>101.3981421663111</c:v>
                </c:pt>
                <c:pt idx="133">
                  <c:v>101.34935791245705</c:v>
                </c:pt>
                <c:pt idx="134">
                  <c:v>101.30063556407201</c:v>
                </c:pt>
                <c:pt idx="135">
                  <c:v>101.25197512115601</c:v>
                </c:pt>
                <c:pt idx="136">
                  <c:v>101.20337658370903</c:v>
                </c:pt>
                <c:pt idx="137">
                  <c:v>101.15483995173108</c:v>
                </c:pt>
                <c:pt idx="138">
                  <c:v>101.10636522522213</c:v>
                </c:pt>
                <c:pt idx="139">
                  <c:v>101.05795240418222</c:v>
                </c:pt>
                <c:pt idx="140">
                  <c:v>101.00960148861132</c:v>
                </c:pt>
                <c:pt idx="141">
                  <c:v>100.96131247850946</c:v>
                </c:pt>
                <c:pt idx="142">
                  <c:v>100.91308537387661</c:v>
                </c:pt>
                <c:pt idx="143">
                  <c:v>100.86492017471279</c:v>
                </c:pt>
                <c:pt idx="144">
                  <c:v>100.816816881018</c:v>
                </c:pt>
                <c:pt idx="145">
                  <c:v>100.76877549279223</c:v>
                </c:pt>
                <c:pt idx="146">
                  <c:v>100.72079601003549</c:v>
                </c:pt>
                <c:pt idx="147">
                  <c:v>100.67287843274777</c:v>
                </c:pt>
                <c:pt idx="148">
                  <c:v>100.62502276092908</c:v>
                </c:pt>
                <c:pt idx="149">
                  <c:v>100.57722899457941</c:v>
                </c:pt>
                <c:pt idx="150">
                  <c:v>100.52949713369875</c:v>
                </c:pt>
                <c:pt idx="151">
                  <c:v>100.48182717828713</c:v>
                </c:pt>
                <c:pt idx="152">
                  <c:v>100.43421912834452</c:v>
                </c:pt>
                <c:pt idx="153">
                  <c:v>100.38667298387094</c:v>
                </c:pt>
                <c:pt idx="154">
                  <c:v>100.33918874486639</c:v>
                </c:pt>
                <c:pt idx="155">
                  <c:v>100.29176641133085</c:v>
                </c:pt>
                <c:pt idx="156">
                  <c:v>100.24440598326436</c:v>
                </c:pt>
                <c:pt idx="157">
                  <c:v>100.19710746066687</c:v>
                </c:pt>
                <c:pt idx="158">
                  <c:v>100.14987084353842</c:v>
                </c:pt>
                <c:pt idx="159">
                  <c:v>100.102696131879</c:v>
                </c:pt>
                <c:pt idx="160">
                  <c:v>100.05558332568859</c:v>
                </c:pt>
                <c:pt idx="161">
                  <c:v>100.00853242496721</c:v>
                </c:pt>
                <c:pt idx="162">
                  <c:v>99.961543429714865</c:v>
                </c:pt>
                <c:pt idx="163">
                  <c:v>99.914616339931527</c:v>
                </c:pt>
                <c:pt idx="164">
                  <c:v>99.867751155617213</c:v>
                </c:pt>
                <c:pt idx="165">
                  <c:v>99.820947876771911</c:v>
                </c:pt>
                <c:pt idx="166">
                  <c:v>99.774206503395646</c:v>
                </c:pt>
                <c:pt idx="167">
                  <c:v>99.727527035488407</c:v>
                </c:pt>
                <c:pt idx="168">
                  <c:v>99.680909473050193</c:v>
                </c:pt>
                <c:pt idx="169">
                  <c:v>99.634353816081003</c:v>
                </c:pt>
                <c:pt idx="170">
                  <c:v>99.587860064580838</c:v>
                </c:pt>
                <c:pt idx="171">
                  <c:v>99.541428218549711</c:v>
                </c:pt>
                <c:pt idx="172">
                  <c:v>99.495058277987596</c:v>
                </c:pt>
                <c:pt idx="173">
                  <c:v>99.448750242894505</c:v>
                </c:pt>
                <c:pt idx="174">
                  <c:v>99.402504113270439</c:v>
                </c:pt>
                <c:pt idx="175">
                  <c:v>99.356319889115383</c:v>
                </c:pt>
                <c:pt idx="176">
                  <c:v>99.310197570429366</c:v>
                </c:pt>
                <c:pt idx="177">
                  <c:v>99.26413715721236</c:v>
                </c:pt>
                <c:pt idx="178">
                  <c:v>99.218138649464379</c:v>
                </c:pt>
                <c:pt idx="179">
                  <c:v>99.172202047185436</c:v>
                </c:pt>
                <c:pt idx="180">
                  <c:v>99.126327350375504</c:v>
                </c:pt>
                <c:pt idx="181">
                  <c:v>99.080514559034597</c:v>
                </c:pt>
                <c:pt idx="182">
                  <c:v>99.034763673162729</c:v>
                </c:pt>
                <c:pt idx="183">
                  <c:v>98.989074692759885</c:v>
                </c:pt>
                <c:pt idx="184">
                  <c:v>98.943447617826052</c:v>
                </c:pt>
                <c:pt idx="185">
                  <c:v>98.897882448361258</c:v>
                </c:pt>
                <c:pt idx="186">
                  <c:v>98.852379184365489</c:v>
                </c:pt>
                <c:pt idx="187">
                  <c:v>98.806937825838716</c:v>
                </c:pt>
                <c:pt idx="188">
                  <c:v>98.761558372780982</c:v>
                </c:pt>
                <c:pt idx="189">
                  <c:v>98.716240825192259</c:v>
                </c:pt>
                <c:pt idx="190">
                  <c:v>98.670985183072574</c:v>
                </c:pt>
                <c:pt idx="191">
                  <c:v>98.625791446421914</c:v>
                </c:pt>
                <c:pt idx="192">
                  <c:v>98.580659615240279</c:v>
                </c:pt>
                <c:pt idx="193">
                  <c:v>98.535589689527669</c:v>
                </c:pt>
                <c:pt idx="194">
                  <c:v>98.490581669284083</c:v>
                </c:pt>
                <c:pt idx="195">
                  <c:v>98.445635554509522</c:v>
                </c:pt>
                <c:pt idx="196">
                  <c:v>98.400751345203986</c:v>
                </c:pt>
                <c:pt idx="197">
                  <c:v>98.355929041367474</c:v>
                </c:pt>
                <c:pt idx="198">
                  <c:v>98.311168642999988</c:v>
                </c:pt>
                <c:pt idx="199">
                  <c:v>98.266470150101526</c:v>
                </c:pt>
                <c:pt idx="200">
                  <c:v>98.221833562672074</c:v>
                </c:pt>
                <c:pt idx="201">
                  <c:v>98.177258880711662</c:v>
                </c:pt>
                <c:pt idx="202">
                  <c:v>98.13274610422026</c:v>
                </c:pt>
                <c:pt idx="203">
                  <c:v>98.088295233197883</c:v>
                </c:pt>
                <c:pt idx="204">
                  <c:v>98.04390626764453</c:v>
                </c:pt>
                <c:pt idx="205">
                  <c:v>97.999579207560217</c:v>
                </c:pt>
                <c:pt idx="206">
                  <c:v>97.955318454757048</c:v>
                </c:pt>
                <c:pt idx="207">
                  <c:v>97.911128411047173</c:v>
                </c:pt>
                <c:pt idx="208">
                  <c:v>97.867009076430577</c:v>
                </c:pt>
                <c:pt idx="209">
                  <c:v>97.82296045090726</c:v>
                </c:pt>
                <c:pt idx="210">
                  <c:v>97.778982534477223</c:v>
                </c:pt>
                <c:pt idx="211">
                  <c:v>97.735075327140478</c:v>
                </c:pt>
                <c:pt idx="212">
                  <c:v>97.691238828897028</c:v>
                </c:pt>
                <c:pt idx="213">
                  <c:v>97.647473039746856</c:v>
                </c:pt>
                <c:pt idx="214">
                  <c:v>97.603777959689964</c:v>
                </c:pt>
                <c:pt idx="215">
                  <c:v>97.560153588726351</c:v>
                </c:pt>
                <c:pt idx="216">
                  <c:v>97.516599926856031</c:v>
                </c:pt>
                <c:pt idx="217">
                  <c:v>97.473116974078991</c:v>
                </c:pt>
                <c:pt idx="218">
                  <c:v>97.42970473039523</c:v>
                </c:pt>
                <c:pt idx="219">
                  <c:v>97.386363195804762</c:v>
                </c:pt>
                <c:pt idx="220">
                  <c:v>97.343092370307588</c:v>
                </c:pt>
                <c:pt idx="221">
                  <c:v>97.299892253903693</c:v>
                </c:pt>
                <c:pt idx="222">
                  <c:v>97.256762846593077</c:v>
                </c:pt>
                <c:pt idx="223">
                  <c:v>97.21370414837574</c:v>
                </c:pt>
                <c:pt idx="224">
                  <c:v>97.170716159251683</c:v>
                </c:pt>
                <c:pt idx="225">
                  <c:v>97.127798879220933</c:v>
                </c:pt>
                <c:pt idx="226">
                  <c:v>97.084952308283462</c:v>
                </c:pt>
                <c:pt idx="227">
                  <c:v>97.042176446439271</c:v>
                </c:pt>
                <c:pt idx="228">
                  <c:v>96.999471293688359</c:v>
                </c:pt>
                <c:pt idx="229">
                  <c:v>96.95683685003074</c:v>
                </c:pt>
                <c:pt idx="230">
                  <c:v>96.914273115466386</c:v>
                </c:pt>
                <c:pt idx="231">
                  <c:v>96.871780089995326</c:v>
                </c:pt>
                <c:pt idx="232">
                  <c:v>96.829357773617559</c:v>
                </c:pt>
                <c:pt idx="233">
                  <c:v>96.787006166333086</c:v>
                </c:pt>
                <c:pt idx="234">
                  <c:v>96.744725268141877</c:v>
                </c:pt>
                <c:pt idx="235">
                  <c:v>96.702515079043962</c:v>
                </c:pt>
                <c:pt idx="236">
                  <c:v>96.660375599039327</c:v>
                </c:pt>
                <c:pt idx="237">
                  <c:v>96.61830682812797</c:v>
                </c:pt>
                <c:pt idx="238">
                  <c:v>96.576308766309921</c:v>
                </c:pt>
                <c:pt idx="239">
                  <c:v>96.534381413585152</c:v>
                </c:pt>
                <c:pt idx="240">
                  <c:v>96.492524769953661</c:v>
                </c:pt>
                <c:pt idx="241">
                  <c:v>96.45073883541545</c:v>
                </c:pt>
                <c:pt idx="242">
                  <c:v>96.409038625415036</c:v>
                </c:pt>
                <c:pt idx="243">
                  <c:v>96.367439155396951</c:v>
                </c:pt>
                <c:pt idx="244">
                  <c:v>96.325940425361196</c:v>
                </c:pt>
                <c:pt idx="245">
                  <c:v>96.284542435307756</c:v>
                </c:pt>
                <c:pt idx="246">
                  <c:v>96.243245185236646</c:v>
                </c:pt>
                <c:pt idx="247">
                  <c:v>96.20204867514785</c:v>
                </c:pt>
                <c:pt idx="248">
                  <c:v>96.160952905041384</c:v>
                </c:pt>
                <c:pt idx="249">
                  <c:v>96.119957874917247</c:v>
                </c:pt>
                <c:pt idx="250">
                  <c:v>96.07906358477544</c:v>
                </c:pt>
                <c:pt idx="251">
                  <c:v>96.038270034615962</c:v>
                </c:pt>
                <c:pt idx="252">
                  <c:v>95.9975772244388</c:v>
                </c:pt>
                <c:pt idx="253">
                  <c:v>95.956985154243966</c:v>
                </c:pt>
                <c:pt idx="254">
                  <c:v>95.916493824031463</c:v>
                </c:pt>
                <c:pt idx="255">
                  <c:v>95.876103233801274</c:v>
                </c:pt>
                <c:pt idx="256">
                  <c:v>95.835813383553415</c:v>
                </c:pt>
                <c:pt idx="257">
                  <c:v>95.795624273287871</c:v>
                </c:pt>
                <c:pt idx="258">
                  <c:v>95.755535903004656</c:v>
                </c:pt>
                <c:pt idx="259">
                  <c:v>95.715548272703757</c:v>
                </c:pt>
                <c:pt idx="260">
                  <c:v>95.675661382385186</c:v>
                </c:pt>
                <c:pt idx="261">
                  <c:v>95.635875232048946</c:v>
                </c:pt>
                <c:pt idx="262">
                  <c:v>95.59618982169502</c:v>
                </c:pt>
                <c:pt idx="263">
                  <c:v>95.556605151323424</c:v>
                </c:pt>
                <c:pt idx="264">
                  <c:v>95.517121220934143</c:v>
                </c:pt>
                <c:pt idx="265">
                  <c:v>95.477738030527192</c:v>
                </c:pt>
                <c:pt idx="266">
                  <c:v>95.438455580102556</c:v>
                </c:pt>
                <c:pt idx="267">
                  <c:v>95.399273869660263</c:v>
                </c:pt>
                <c:pt idx="268">
                  <c:v>95.3601928992003</c:v>
                </c:pt>
                <c:pt idx="269">
                  <c:v>95.321212668722652</c:v>
                </c:pt>
                <c:pt idx="270">
                  <c:v>95.282333178227333</c:v>
                </c:pt>
                <c:pt idx="271">
                  <c:v>95.243554427714344</c:v>
                </c:pt>
                <c:pt idx="272">
                  <c:v>95.204876417183669</c:v>
                </c:pt>
                <c:pt idx="273">
                  <c:v>95.166299146635311</c:v>
                </c:pt>
                <c:pt idx="274">
                  <c:v>95.127822616069281</c:v>
                </c:pt>
                <c:pt idx="275">
                  <c:v>95.089446825485581</c:v>
                </c:pt>
                <c:pt idx="276">
                  <c:v>95.051171774884196</c:v>
                </c:pt>
                <c:pt idx="277">
                  <c:v>95.01299746426514</c:v>
                </c:pt>
                <c:pt idx="278">
                  <c:v>94.974923893628414</c:v>
                </c:pt>
                <c:pt idx="279">
                  <c:v>94.936951062974003</c:v>
                </c:pt>
                <c:pt idx="280">
                  <c:v>94.899078972301908</c:v>
                </c:pt>
                <c:pt idx="281">
                  <c:v>94.861307621612141</c:v>
                </c:pt>
                <c:pt idx="282">
                  <c:v>94.823637010904704</c:v>
                </c:pt>
                <c:pt idx="283">
                  <c:v>94.786067140179583</c:v>
                </c:pt>
                <c:pt idx="284">
                  <c:v>94.748580634422424</c:v>
                </c:pt>
                <c:pt idx="285">
                  <c:v>94.711160118618849</c:v>
                </c:pt>
                <c:pt idx="286">
                  <c:v>94.673805592768829</c:v>
                </c:pt>
                <c:pt idx="287">
                  <c:v>94.636517056872421</c:v>
                </c:pt>
                <c:pt idx="288">
                  <c:v>94.599294510929568</c:v>
                </c:pt>
                <c:pt idx="289">
                  <c:v>94.562137954940297</c:v>
                </c:pt>
                <c:pt idx="290">
                  <c:v>94.525047388904611</c:v>
                </c:pt>
                <c:pt idx="291">
                  <c:v>94.488022812822493</c:v>
                </c:pt>
                <c:pt idx="292">
                  <c:v>94.451064226693958</c:v>
                </c:pt>
                <c:pt idx="293">
                  <c:v>94.414171630519007</c:v>
                </c:pt>
                <c:pt idx="294">
                  <c:v>94.377345024297639</c:v>
                </c:pt>
                <c:pt idx="295">
                  <c:v>94.340584408029827</c:v>
                </c:pt>
                <c:pt idx="296">
                  <c:v>94.303889781715611</c:v>
                </c:pt>
                <c:pt idx="297">
                  <c:v>94.267261145354965</c:v>
                </c:pt>
                <c:pt idx="298">
                  <c:v>94.230698498947916</c:v>
                </c:pt>
                <c:pt idx="299">
                  <c:v>94.194201842494422</c:v>
                </c:pt>
                <c:pt idx="300">
                  <c:v>94.157771175994512</c:v>
                </c:pt>
                <c:pt idx="301">
                  <c:v>94.121406499448184</c:v>
                </c:pt>
                <c:pt idx="302">
                  <c:v>94.085107812855441</c:v>
                </c:pt>
                <c:pt idx="303">
                  <c:v>94.048875116216266</c:v>
                </c:pt>
                <c:pt idx="304">
                  <c:v>94.012708409530674</c:v>
                </c:pt>
                <c:pt idx="305">
                  <c:v>93.976607692798652</c:v>
                </c:pt>
                <c:pt idx="306">
                  <c:v>93.940572966020213</c:v>
                </c:pt>
                <c:pt idx="307">
                  <c:v>93.904604229195357</c:v>
                </c:pt>
                <c:pt idx="308">
                  <c:v>93.868701482324084</c:v>
                </c:pt>
                <c:pt idx="309">
                  <c:v>93.832864725406381</c:v>
                </c:pt>
                <c:pt idx="310">
                  <c:v>93.797093958442247</c:v>
                </c:pt>
                <c:pt idx="311">
                  <c:v>93.761389181431696</c:v>
                </c:pt>
                <c:pt idx="312">
                  <c:v>93.725750394374742</c:v>
                </c:pt>
                <c:pt idx="313">
                  <c:v>93.690177597271358</c:v>
                </c:pt>
                <c:pt idx="314">
                  <c:v>93.654670790121543</c:v>
                </c:pt>
                <c:pt idx="315">
                  <c:v>93.619229972925311</c:v>
                </c:pt>
                <c:pt idx="316">
                  <c:v>93.583855145682648</c:v>
                </c:pt>
                <c:pt idx="317">
                  <c:v>93.548546308393568</c:v>
                </c:pt>
                <c:pt idx="318">
                  <c:v>93.513303461058086</c:v>
                </c:pt>
                <c:pt idx="319">
                  <c:v>93.478126603676159</c:v>
                </c:pt>
                <c:pt idx="320">
                  <c:v>93.443015736247816</c:v>
                </c:pt>
                <c:pt idx="321">
                  <c:v>93.407970858773041</c:v>
                </c:pt>
                <c:pt idx="322">
                  <c:v>93.372991971251864</c:v>
                </c:pt>
                <c:pt idx="323">
                  <c:v>93.33807907368427</c:v>
                </c:pt>
                <c:pt idx="324">
                  <c:v>93.303232166070245</c:v>
                </c:pt>
                <c:pt idx="325">
                  <c:v>93.268451248409789</c:v>
                </c:pt>
                <c:pt idx="326">
                  <c:v>93.233735267671733</c:v>
                </c:pt>
                <c:pt idx="327">
                  <c:v>93.199083170824906</c:v>
                </c:pt>
                <c:pt idx="328">
                  <c:v>93.164494957869337</c:v>
                </c:pt>
                <c:pt idx="329">
                  <c:v>93.129970628804983</c:v>
                </c:pt>
                <c:pt idx="330">
                  <c:v>93.095510183631873</c:v>
                </c:pt>
                <c:pt idx="331">
                  <c:v>93.061113622349978</c:v>
                </c:pt>
                <c:pt idx="332">
                  <c:v>93.026780944959313</c:v>
                </c:pt>
                <c:pt idx="333">
                  <c:v>92.992512151459877</c:v>
                </c:pt>
                <c:pt idx="334">
                  <c:v>92.958307241851671</c:v>
                </c:pt>
                <c:pt idx="335">
                  <c:v>92.924166216134694</c:v>
                </c:pt>
                <c:pt idx="336">
                  <c:v>92.890089074308946</c:v>
                </c:pt>
                <c:pt idx="337">
                  <c:v>92.856075816374428</c:v>
                </c:pt>
                <c:pt idx="338">
                  <c:v>92.82212644233114</c:v>
                </c:pt>
                <c:pt idx="339">
                  <c:v>92.788240952179081</c:v>
                </c:pt>
                <c:pt idx="340">
                  <c:v>92.754419345918265</c:v>
                </c:pt>
                <c:pt idx="341">
                  <c:v>92.720661623548665</c:v>
                </c:pt>
                <c:pt idx="342">
                  <c:v>92.686967785070308</c:v>
                </c:pt>
                <c:pt idx="343">
                  <c:v>92.653337830483181</c:v>
                </c:pt>
                <c:pt idx="344">
                  <c:v>92.61977175978727</c:v>
                </c:pt>
                <c:pt idx="345">
                  <c:v>92.586269572982602</c:v>
                </c:pt>
                <c:pt idx="346">
                  <c:v>92.552831270069163</c:v>
                </c:pt>
                <c:pt idx="347">
                  <c:v>92.51945685104694</c:v>
                </c:pt>
                <c:pt idx="348">
                  <c:v>92.486146315915946</c:v>
                </c:pt>
                <c:pt idx="349">
                  <c:v>92.452899664676195</c:v>
                </c:pt>
                <c:pt idx="350">
                  <c:v>92.41971689732766</c:v>
                </c:pt>
                <c:pt idx="351">
                  <c:v>92.386598013870369</c:v>
                </c:pt>
                <c:pt idx="352">
                  <c:v>92.353543014304321</c:v>
                </c:pt>
                <c:pt idx="353">
                  <c:v>92.320551898629489</c:v>
                </c:pt>
                <c:pt idx="354">
                  <c:v>92.287624666845886</c:v>
                </c:pt>
                <c:pt idx="355">
                  <c:v>92.254761318953513</c:v>
                </c:pt>
                <c:pt idx="356">
                  <c:v>92.221961854952369</c:v>
                </c:pt>
                <c:pt idx="357">
                  <c:v>92.189226274842468</c:v>
                </c:pt>
                <c:pt idx="358">
                  <c:v>92.156554578623769</c:v>
                </c:pt>
                <c:pt idx="359">
                  <c:v>92.123946766296314</c:v>
                </c:pt>
                <c:pt idx="360">
                  <c:v>92.091402837860088</c:v>
                </c:pt>
                <c:pt idx="361">
                  <c:v>92.058922793315091</c:v>
                </c:pt>
                <c:pt idx="362">
                  <c:v>92.026506632661324</c:v>
                </c:pt>
                <c:pt idx="363">
                  <c:v>91.9941543558988</c:v>
                </c:pt>
                <c:pt idx="364">
                  <c:v>91.961865963027492</c:v>
                </c:pt>
                <c:pt idx="365">
                  <c:v>91.929641454047427</c:v>
                </c:pt>
                <c:pt idx="366">
                  <c:v>91.897454456377844</c:v>
                </c:pt>
                <c:pt idx="367">
                  <c:v>91.865278597438021</c:v>
                </c:pt>
                <c:pt idx="368">
                  <c:v>91.833113877227944</c:v>
                </c:pt>
                <c:pt idx="369">
                  <c:v>91.800960295747615</c:v>
                </c:pt>
                <c:pt idx="370">
                  <c:v>91.768817852997046</c:v>
                </c:pt>
                <c:pt idx="371">
                  <c:v>91.736686548976223</c:v>
                </c:pt>
                <c:pt idx="372">
                  <c:v>91.704566383685162</c:v>
                </c:pt>
                <c:pt idx="373">
                  <c:v>91.672457357123861</c:v>
                </c:pt>
                <c:pt idx="374">
                  <c:v>91.640359469292306</c:v>
                </c:pt>
                <c:pt idx="375">
                  <c:v>91.608272720190499</c:v>
                </c:pt>
                <c:pt idx="376">
                  <c:v>91.576197109818438</c:v>
                </c:pt>
                <c:pt idx="377">
                  <c:v>91.544132638176137</c:v>
                </c:pt>
                <c:pt idx="378">
                  <c:v>91.512079305263597</c:v>
                </c:pt>
                <c:pt idx="379">
                  <c:v>91.48003711108079</c:v>
                </c:pt>
                <c:pt idx="380">
                  <c:v>91.448006055627744</c:v>
                </c:pt>
                <c:pt idx="381">
                  <c:v>91.416014477143406</c:v>
                </c:pt>
                <c:pt idx="382">
                  <c:v>91.384090713866655</c:v>
                </c:pt>
                <c:pt idx="383">
                  <c:v>91.352234765797519</c:v>
                </c:pt>
                <c:pt idx="384">
                  <c:v>91.320446632935997</c:v>
                </c:pt>
                <c:pt idx="385">
                  <c:v>91.288726315282091</c:v>
                </c:pt>
                <c:pt idx="386">
                  <c:v>91.257073812835813</c:v>
                </c:pt>
                <c:pt idx="387">
                  <c:v>91.225489125597122</c:v>
                </c:pt>
                <c:pt idx="388">
                  <c:v>91.193972253566074</c:v>
                </c:pt>
                <c:pt idx="389">
                  <c:v>91.162523196742626</c:v>
                </c:pt>
                <c:pt idx="390">
                  <c:v>91.131141955126779</c:v>
                </c:pt>
                <c:pt idx="391">
                  <c:v>91.099828528718547</c:v>
                </c:pt>
                <c:pt idx="392">
                  <c:v>91.068582917517944</c:v>
                </c:pt>
                <c:pt idx="393">
                  <c:v>91.037405121524941</c:v>
                </c:pt>
                <c:pt idx="394">
                  <c:v>91.006295140739553</c:v>
                </c:pt>
                <c:pt idx="395">
                  <c:v>90.975252975161794</c:v>
                </c:pt>
                <c:pt idx="396">
                  <c:v>90.944278624791636</c:v>
                </c:pt>
                <c:pt idx="397">
                  <c:v>90.913372089629092</c:v>
                </c:pt>
                <c:pt idx="398">
                  <c:v>90.882533369674164</c:v>
                </c:pt>
                <c:pt idx="399">
                  <c:v>90.851762464926836</c:v>
                </c:pt>
                <c:pt idx="400">
                  <c:v>90.821059375387136</c:v>
                </c:pt>
                <c:pt idx="401">
                  <c:v>90.790446214709704</c:v>
                </c:pt>
                <c:pt idx="402">
                  <c:v>90.759945096549188</c:v>
                </c:pt>
                <c:pt idx="403">
                  <c:v>90.729556020905619</c:v>
                </c:pt>
                <c:pt idx="404">
                  <c:v>90.699278987778968</c:v>
                </c:pt>
                <c:pt idx="405">
                  <c:v>90.669113997169248</c:v>
                </c:pt>
                <c:pt idx="406">
                  <c:v>90.639061049076446</c:v>
                </c:pt>
                <c:pt idx="407">
                  <c:v>90.609120143500562</c:v>
                </c:pt>
                <c:pt idx="408">
                  <c:v>90.579291280441623</c:v>
                </c:pt>
                <c:pt idx="409">
                  <c:v>90.549574459899603</c:v>
                </c:pt>
                <c:pt idx="410">
                  <c:v>90.5199696818745</c:v>
                </c:pt>
                <c:pt idx="411">
                  <c:v>90.490598653369375</c:v>
                </c:pt>
                <c:pt idx="412">
                  <c:v>90.461583081387246</c:v>
                </c:pt>
                <c:pt idx="413">
                  <c:v>90.432922965928114</c:v>
                </c:pt>
                <c:pt idx="414">
                  <c:v>90.404618306991978</c:v>
                </c:pt>
                <c:pt idx="415">
                  <c:v>90.376669104578824</c:v>
                </c:pt>
                <c:pt idx="416">
                  <c:v>90.34907535868868</c:v>
                </c:pt>
                <c:pt idx="417">
                  <c:v>90.321837069321532</c:v>
                </c:pt>
                <c:pt idx="418">
                  <c:v>90.294954236477381</c:v>
                </c:pt>
                <c:pt idx="419">
                  <c:v>90.268426860156225</c:v>
                </c:pt>
                <c:pt idx="420">
                  <c:v>90.242323943150836</c:v>
                </c:pt>
                <c:pt idx="421">
                  <c:v>90.216714488253999</c:v>
                </c:pt>
                <c:pt idx="422">
                  <c:v>90.191598495465698</c:v>
                </c:pt>
                <c:pt idx="423">
                  <c:v>90.166975964785934</c:v>
                </c:pt>
                <c:pt idx="424">
                  <c:v>90.142846896214706</c:v>
                </c:pt>
                <c:pt idx="425">
                  <c:v>90.119211289752016</c:v>
                </c:pt>
                <c:pt idx="426">
                  <c:v>90.096069145397877</c:v>
                </c:pt>
                <c:pt idx="427">
                  <c:v>90.07342046315226</c:v>
                </c:pt>
                <c:pt idx="428">
                  <c:v>90.051265243015195</c:v>
                </c:pt>
                <c:pt idx="429">
                  <c:v>90.02960348498668</c:v>
                </c:pt>
                <c:pt idx="430">
                  <c:v>90.008435189066702</c:v>
                </c:pt>
                <c:pt idx="431">
                  <c:v>89.987760355255247</c:v>
                </c:pt>
                <c:pt idx="432">
                  <c:v>89.967689756581692</c:v>
                </c:pt>
                <c:pt idx="433">
                  <c:v>89.948334166075355</c:v>
                </c:pt>
                <c:pt idx="434">
                  <c:v>89.929693583736238</c:v>
                </c:pt>
                <c:pt idx="435">
                  <c:v>89.911768009564369</c:v>
                </c:pt>
                <c:pt idx="436">
                  <c:v>89.894557443559734</c:v>
                </c:pt>
                <c:pt idx="437">
                  <c:v>89.878061885722303</c:v>
                </c:pt>
                <c:pt idx="438">
                  <c:v>89.862281336052106</c:v>
                </c:pt>
                <c:pt idx="439">
                  <c:v>89.847215794549143</c:v>
                </c:pt>
                <c:pt idx="440">
                  <c:v>89.832865261213414</c:v>
                </c:pt>
                <c:pt idx="441">
                  <c:v>89.819229736044903</c:v>
                </c:pt>
                <c:pt idx="442">
                  <c:v>89.806242096283796</c:v>
                </c:pt>
                <c:pt idx="443">
                  <c:v>89.793835219170219</c:v>
                </c:pt>
                <c:pt idx="444">
                  <c:v>89.782009104704187</c:v>
                </c:pt>
                <c:pt idx="445">
                  <c:v>89.770763752885713</c:v>
                </c:pt>
                <c:pt idx="446">
                  <c:v>89.760099163714784</c:v>
                </c:pt>
                <c:pt idx="447">
                  <c:v>89.7500153371914</c:v>
                </c:pt>
                <c:pt idx="448">
                  <c:v>89.740512273315545</c:v>
                </c:pt>
                <c:pt idx="449">
                  <c:v>89.731589972087249</c:v>
                </c:pt>
                <c:pt idx="450">
                  <c:v>89.723248433506484</c:v>
                </c:pt>
                <c:pt idx="451">
                  <c:v>89.715487657573277</c:v>
                </c:pt>
                <c:pt idx="452">
                  <c:v>89.708307644287615</c:v>
                </c:pt>
                <c:pt idx="453">
                  <c:v>89.701612428206246</c:v>
                </c:pt>
                <c:pt idx="454">
                  <c:v>89.695306043885935</c:v>
                </c:pt>
                <c:pt idx="455">
                  <c:v>89.689388491326653</c:v>
                </c:pt>
                <c:pt idx="456">
                  <c:v>89.683859770528414</c:v>
                </c:pt>
                <c:pt idx="457">
                  <c:v>89.678719881491233</c:v>
                </c:pt>
                <c:pt idx="458">
                  <c:v>89.673968824215095</c:v>
                </c:pt>
                <c:pt idx="459">
                  <c:v>89.6696065987</c:v>
                </c:pt>
                <c:pt idx="460">
                  <c:v>89.665633204945948</c:v>
                </c:pt>
                <c:pt idx="461">
                  <c:v>89.661962338272943</c:v>
                </c:pt>
                <c:pt idx="462">
                  <c:v>89.658507694001031</c:v>
                </c:pt>
                <c:pt idx="463">
                  <c:v>89.655269272130212</c:v>
                </c:pt>
                <c:pt idx="464">
                  <c:v>89.652247072660487</c:v>
                </c:pt>
                <c:pt idx="465">
                  <c:v>89.64944109559184</c:v>
                </c:pt>
                <c:pt idx="466">
                  <c:v>89.646923824570109</c:v>
                </c:pt>
                <c:pt idx="467">
                  <c:v>89.64476774324109</c:v>
                </c:pt>
                <c:pt idx="468">
                  <c:v>89.643779999999765</c:v>
                </c:pt>
                <c:pt idx="469">
                  <c:v>89.643779999999765</c:v>
                </c:pt>
                <c:pt idx="470">
                  <c:v>89.643779999999765</c:v>
                </c:pt>
                <c:pt idx="471">
                  <c:v>89.643779999999765</c:v>
                </c:pt>
                <c:pt idx="472">
                  <c:v>89.643779999999765</c:v>
                </c:pt>
                <c:pt idx="473">
                  <c:v>89.643779999999765</c:v>
                </c:pt>
                <c:pt idx="474">
                  <c:v>89.643779999999765</c:v>
                </c:pt>
                <c:pt idx="475">
                  <c:v>89.643779999999765</c:v>
                </c:pt>
                <c:pt idx="476">
                  <c:v>89.643779999999765</c:v>
                </c:pt>
                <c:pt idx="477">
                  <c:v>89.643779999999765</c:v>
                </c:pt>
                <c:pt idx="478">
                  <c:v>89.643779999999765</c:v>
                </c:pt>
                <c:pt idx="479">
                  <c:v>89.643779999999765</c:v>
                </c:pt>
                <c:pt idx="480">
                  <c:v>89.643779999999765</c:v>
                </c:pt>
                <c:pt idx="481">
                  <c:v>89.643779999999765</c:v>
                </c:pt>
                <c:pt idx="482">
                  <c:v>89.643779999999765</c:v>
                </c:pt>
                <c:pt idx="483">
                  <c:v>89.643779999999765</c:v>
                </c:pt>
                <c:pt idx="484">
                  <c:v>89.643779999999765</c:v>
                </c:pt>
                <c:pt idx="485">
                  <c:v>89.643779999999765</c:v>
                </c:pt>
                <c:pt idx="486">
                  <c:v>89.643779999999765</c:v>
                </c:pt>
                <c:pt idx="487">
                  <c:v>89.643779999999765</c:v>
                </c:pt>
                <c:pt idx="488">
                  <c:v>89.643779999999765</c:v>
                </c:pt>
                <c:pt idx="489">
                  <c:v>89.643779999999765</c:v>
                </c:pt>
                <c:pt idx="490">
                  <c:v>89.643779999999765</c:v>
                </c:pt>
                <c:pt idx="491">
                  <c:v>89.643779999999765</c:v>
                </c:pt>
                <c:pt idx="492">
                  <c:v>89.643779999999765</c:v>
                </c:pt>
                <c:pt idx="493">
                  <c:v>89.643779999999765</c:v>
                </c:pt>
                <c:pt idx="494">
                  <c:v>89.643779999999765</c:v>
                </c:pt>
                <c:pt idx="495">
                  <c:v>89.643779999999765</c:v>
                </c:pt>
                <c:pt idx="496">
                  <c:v>89.643779999999765</c:v>
                </c:pt>
                <c:pt idx="497">
                  <c:v>89.643779999999765</c:v>
                </c:pt>
                <c:pt idx="498">
                  <c:v>89.643779999999765</c:v>
                </c:pt>
                <c:pt idx="499">
                  <c:v>89.643779999999765</c:v>
                </c:pt>
                <c:pt idx="500">
                  <c:v>89.643779999999765</c:v>
                </c:pt>
                <c:pt idx="501">
                  <c:v>89.643779999999765</c:v>
                </c:pt>
                <c:pt idx="502">
                  <c:v>89.643779999999765</c:v>
                </c:pt>
                <c:pt idx="503">
                  <c:v>89.643779999999765</c:v>
                </c:pt>
                <c:pt idx="504">
                  <c:v>89.643779999999765</c:v>
                </c:pt>
                <c:pt idx="505">
                  <c:v>89.643779999999765</c:v>
                </c:pt>
                <c:pt idx="506">
                  <c:v>89.643779999999765</c:v>
                </c:pt>
                <c:pt idx="507">
                  <c:v>89.643779999999765</c:v>
                </c:pt>
                <c:pt idx="508">
                  <c:v>89.643779999999765</c:v>
                </c:pt>
                <c:pt idx="509">
                  <c:v>89.643779999999765</c:v>
                </c:pt>
                <c:pt idx="510">
                  <c:v>89.643779999999765</c:v>
                </c:pt>
                <c:pt idx="511">
                  <c:v>89.643779999999765</c:v>
                </c:pt>
                <c:pt idx="512">
                  <c:v>89.643779999999765</c:v>
                </c:pt>
                <c:pt idx="513">
                  <c:v>89.643779999999765</c:v>
                </c:pt>
                <c:pt idx="514">
                  <c:v>89.643779999999765</c:v>
                </c:pt>
                <c:pt idx="515">
                  <c:v>89.643779999999765</c:v>
                </c:pt>
                <c:pt idx="516">
                  <c:v>89.643779999999765</c:v>
                </c:pt>
                <c:pt idx="517">
                  <c:v>89.643779999999765</c:v>
                </c:pt>
                <c:pt idx="518">
                  <c:v>89.643779999999765</c:v>
                </c:pt>
                <c:pt idx="519">
                  <c:v>89.643779999999765</c:v>
                </c:pt>
                <c:pt idx="520">
                  <c:v>89.643779999999765</c:v>
                </c:pt>
                <c:pt idx="521">
                  <c:v>89.643779999999765</c:v>
                </c:pt>
                <c:pt idx="522">
                  <c:v>89.643779999999765</c:v>
                </c:pt>
                <c:pt idx="523">
                  <c:v>89.643779999999765</c:v>
                </c:pt>
                <c:pt idx="524">
                  <c:v>89.643779999999765</c:v>
                </c:pt>
                <c:pt idx="525">
                  <c:v>89.643779999999765</c:v>
                </c:pt>
                <c:pt idx="526">
                  <c:v>89.643779999999765</c:v>
                </c:pt>
                <c:pt idx="527">
                  <c:v>89.643779999999765</c:v>
                </c:pt>
                <c:pt idx="528">
                  <c:v>89.643779999999765</c:v>
                </c:pt>
                <c:pt idx="529">
                  <c:v>89.643779999999765</c:v>
                </c:pt>
                <c:pt idx="530">
                  <c:v>89.643779999999765</c:v>
                </c:pt>
                <c:pt idx="531">
                  <c:v>89.643779999999765</c:v>
                </c:pt>
                <c:pt idx="532">
                  <c:v>89.643779999999765</c:v>
                </c:pt>
                <c:pt idx="533">
                  <c:v>89.643779999999765</c:v>
                </c:pt>
                <c:pt idx="534">
                  <c:v>89.643779999999765</c:v>
                </c:pt>
                <c:pt idx="535">
                  <c:v>89.643779999999765</c:v>
                </c:pt>
                <c:pt idx="536">
                  <c:v>89.643779999999765</c:v>
                </c:pt>
                <c:pt idx="537">
                  <c:v>89.643779999999765</c:v>
                </c:pt>
                <c:pt idx="538">
                  <c:v>89.643779999999765</c:v>
                </c:pt>
                <c:pt idx="539">
                  <c:v>89.643779999999765</c:v>
                </c:pt>
                <c:pt idx="540">
                  <c:v>89.643779999999765</c:v>
                </c:pt>
                <c:pt idx="541">
                  <c:v>89.643779999999765</c:v>
                </c:pt>
                <c:pt idx="542">
                  <c:v>89.643779999999765</c:v>
                </c:pt>
                <c:pt idx="543">
                  <c:v>89.643779999999765</c:v>
                </c:pt>
                <c:pt idx="544">
                  <c:v>89.643779999999765</c:v>
                </c:pt>
                <c:pt idx="545">
                  <c:v>89.643779999999765</c:v>
                </c:pt>
                <c:pt idx="546">
                  <c:v>89.643779999999765</c:v>
                </c:pt>
                <c:pt idx="547">
                  <c:v>89.643779999999765</c:v>
                </c:pt>
                <c:pt idx="548">
                  <c:v>89.643779999999765</c:v>
                </c:pt>
                <c:pt idx="549">
                  <c:v>89.643779999999765</c:v>
                </c:pt>
                <c:pt idx="550">
                  <c:v>89.643779999999765</c:v>
                </c:pt>
                <c:pt idx="551">
                  <c:v>89.643779999999765</c:v>
                </c:pt>
                <c:pt idx="552">
                  <c:v>89.643779999999765</c:v>
                </c:pt>
                <c:pt idx="553">
                  <c:v>89.643779999999765</c:v>
                </c:pt>
                <c:pt idx="554">
                  <c:v>89.643779999999765</c:v>
                </c:pt>
                <c:pt idx="555">
                  <c:v>89.643779999999765</c:v>
                </c:pt>
                <c:pt idx="556">
                  <c:v>89.643779999999765</c:v>
                </c:pt>
                <c:pt idx="557">
                  <c:v>89.643779999999765</c:v>
                </c:pt>
                <c:pt idx="558">
                  <c:v>89.643779999999765</c:v>
                </c:pt>
                <c:pt idx="559">
                  <c:v>89.643779999999765</c:v>
                </c:pt>
                <c:pt idx="560">
                  <c:v>89.643779999999765</c:v>
                </c:pt>
                <c:pt idx="561">
                  <c:v>89.643779999999765</c:v>
                </c:pt>
                <c:pt idx="562">
                  <c:v>89.643779999999765</c:v>
                </c:pt>
                <c:pt idx="563">
                  <c:v>89.643779999999765</c:v>
                </c:pt>
                <c:pt idx="564">
                  <c:v>89.643779999999765</c:v>
                </c:pt>
                <c:pt idx="565">
                  <c:v>89.643779999999765</c:v>
                </c:pt>
                <c:pt idx="566">
                  <c:v>89.643779999999765</c:v>
                </c:pt>
                <c:pt idx="567">
                  <c:v>89.643779999999765</c:v>
                </c:pt>
                <c:pt idx="568">
                  <c:v>89.643779999999765</c:v>
                </c:pt>
                <c:pt idx="569">
                  <c:v>89.643779999999765</c:v>
                </c:pt>
                <c:pt idx="570">
                  <c:v>89.643779999999765</c:v>
                </c:pt>
                <c:pt idx="571">
                  <c:v>89.643779999999765</c:v>
                </c:pt>
                <c:pt idx="572">
                  <c:v>89.643779999999765</c:v>
                </c:pt>
                <c:pt idx="573">
                  <c:v>89.643779999999765</c:v>
                </c:pt>
                <c:pt idx="574">
                  <c:v>89.643779999999765</c:v>
                </c:pt>
                <c:pt idx="575">
                  <c:v>89.643779999999765</c:v>
                </c:pt>
                <c:pt idx="576">
                  <c:v>89.643779999999765</c:v>
                </c:pt>
                <c:pt idx="577">
                  <c:v>89.643779999999765</c:v>
                </c:pt>
                <c:pt idx="578">
                  <c:v>89.643779999999765</c:v>
                </c:pt>
                <c:pt idx="579">
                  <c:v>89.643779999999765</c:v>
                </c:pt>
                <c:pt idx="580">
                  <c:v>89.643779999999765</c:v>
                </c:pt>
                <c:pt idx="581">
                  <c:v>89.643779999999765</c:v>
                </c:pt>
                <c:pt idx="582">
                  <c:v>89.643779999999765</c:v>
                </c:pt>
                <c:pt idx="583">
                  <c:v>89.643779999999765</c:v>
                </c:pt>
                <c:pt idx="584">
                  <c:v>89.643779999999765</c:v>
                </c:pt>
                <c:pt idx="585">
                  <c:v>89.643779999999765</c:v>
                </c:pt>
                <c:pt idx="586">
                  <c:v>89.643779999999765</c:v>
                </c:pt>
                <c:pt idx="587">
                  <c:v>89.643779999999765</c:v>
                </c:pt>
                <c:pt idx="588">
                  <c:v>89.643779999999765</c:v>
                </c:pt>
                <c:pt idx="589">
                  <c:v>89.643779999999765</c:v>
                </c:pt>
                <c:pt idx="590">
                  <c:v>89.643779999999765</c:v>
                </c:pt>
                <c:pt idx="591">
                  <c:v>89.643779999999765</c:v>
                </c:pt>
                <c:pt idx="592">
                  <c:v>89.643779999999765</c:v>
                </c:pt>
                <c:pt idx="593">
                  <c:v>89.643779999999765</c:v>
                </c:pt>
                <c:pt idx="594">
                  <c:v>89.643779999999765</c:v>
                </c:pt>
                <c:pt idx="595">
                  <c:v>89.643779999999765</c:v>
                </c:pt>
                <c:pt idx="596">
                  <c:v>89.643779999999765</c:v>
                </c:pt>
                <c:pt idx="597">
                  <c:v>89.643779999999765</c:v>
                </c:pt>
                <c:pt idx="598">
                  <c:v>89.643779999999765</c:v>
                </c:pt>
                <c:pt idx="599">
                  <c:v>89.643779999999765</c:v>
                </c:pt>
                <c:pt idx="600">
                  <c:v>89.643779999999765</c:v>
                </c:pt>
                <c:pt idx="601">
                  <c:v>89.643779999999765</c:v>
                </c:pt>
                <c:pt idx="602">
                  <c:v>89.643779999999765</c:v>
                </c:pt>
                <c:pt idx="603">
                  <c:v>89.643779999999765</c:v>
                </c:pt>
                <c:pt idx="604">
                  <c:v>89.643779999999765</c:v>
                </c:pt>
                <c:pt idx="605">
                  <c:v>89.643779999999765</c:v>
                </c:pt>
                <c:pt idx="606">
                  <c:v>89.643779999999765</c:v>
                </c:pt>
                <c:pt idx="607">
                  <c:v>89.643779999999765</c:v>
                </c:pt>
                <c:pt idx="608">
                  <c:v>89.643779999999765</c:v>
                </c:pt>
                <c:pt idx="609">
                  <c:v>89.643779999999765</c:v>
                </c:pt>
                <c:pt idx="610">
                  <c:v>89.643779999999765</c:v>
                </c:pt>
                <c:pt idx="611">
                  <c:v>89.643779999999765</c:v>
                </c:pt>
                <c:pt idx="612">
                  <c:v>89.643779999999765</c:v>
                </c:pt>
                <c:pt idx="613">
                  <c:v>89.643779999999765</c:v>
                </c:pt>
                <c:pt idx="614">
                  <c:v>89.643779999999765</c:v>
                </c:pt>
                <c:pt idx="615">
                  <c:v>89.643779999999765</c:v>
                </c:pt>
                <c:pt idx="616">
                  <c:v>89.643779999999765</c:v>
                </c:pt>
                <c:pt idx="617">
                  <c:v>89.643779999999765</c:v>
                </c:pt>
                <c:pt idx="618">
                  <c:v>89.643779999999765</c:v>
                </c:pt>
                <c:pt idx="619">
                  <c:v>89.643779999999765</c:v>
                </c:pt>
                <c:pt idx="620">
                  <c:v>89.643779999999765</c:v>
                </c:pt>
                <c:pt idx="621">
                  <c:v>89.643779999999765</c:v>
                </c:pt>
                <c:pt idx="622">
                  <c:v>89.643779999999765</c:v>
                </c:pt>
                <c:pt idx="623">
                  <c:v>89.643779999999765</c:v>
                </c:pt>
                <c:pt idx="624">
                  <c:v>89.643779999999765</c:v>
                </c:pt>
                <c:pt idx="625">
                  <c:v>89.643779999999765</c:v>
                </c:pt>
                <c:pt idx="626">
                  <c:v>89.643779999999765</c:v>
                </c:pt>
                <c:pt idx="627">
                  <c:v>89.643779999999765</c:v>
                </c:pt>
                <c:pt idx="628">
                  <c:v>89.643779999999765</c:v>
                </c:pt>
                <c:pt idx="629">
                  <c:v>89.643779999999765</c:v>
                </c:pt>
                <c:pt idx="630">
                  <c:v>89.643779999999765</c:v>
                </c:pt>
                <c:pt idx="631">
                  <c:v>89.643779999999765</c:v>
                </c:pt>
                <c:pt idx="632">
                  <c:v>89.643779999999765</c:v>
                </c:pt>
                <c:pt idx="633">
                  <c:v>89.643779999999765</c:v>
                </c:pt>
                <c:pt idx="634">
                  <c:v>89.643779999999765</c:v>
                </c:pt>
                <c:pt idx="635">
                  <c:v>89.643779999999765</c:v>
                </c:pt>
                <c:pt idx="636">
                  <c:v>89.643779999999765</c:v>
                </c:pt>
                <c:pt idx="637">
                  <c:v>89.643779999999765</c:v>
                </c:pt>
                <c:pt idx="638">
                  <c:v>89.643779999999765</c:v>
                </c:pt>
                <c:pt idx="639">
                  <c:v>89.643779999999765</c:v>
                </c:pt>
                <c:pt idx="640">
                  <c:v>89.643779999999765</c:v>
                </c:pt>
                <c:pt idx="641">
                  <c:v>89.643779999999765</c:v>
                </c:pt>
                <c:pt idx="642">
                  <c:v>89.643779999999765</c:v>
                </c:pt>
                <c:pt idx="643">
                  <c:v>89.643779999999765</c:v>
                </c:pt>
                <c:pt idx="644">
                  <c:v>89.643779999999765</c:v>
                </c:pt>
                <c:pt idx="645">
                  <c:v>89.643779999999765</c:v>
                </c:pt>
                <c:pt idx="646">
                  <c:v>89.643779999999765</c:v>
                </c:pt>
                <c:pt idx="647">
                  <c:v>89.643779999999765</c:v>
                </c:pt>
                <c:pt idx="648">
                  <c:v>89.643779999999765</c:v>
                </c:pt>
                <c:pt idx="649">
                  <c:v>89.643779999999765</c:v>
                </c:pt>
                <c:pt idx="650">
                  <c:v>89.643779999999765</c:v>
                </c:pt>
                <c:pt idx="651">
                  <c:v>89.643779999999765</c:v>
                </c:pt>
                <c:pt idx="652">
                  <c:v>89.643779999999765</c:v>
                </c:pt>
                <c:pt idx="653">
                  <c:v>89.643779999999765</c:v>
                </c:pt>
                <c:pt idx="654">
                  <c:v>89.643779999999765</c:v>
                </c:pt>
                <c:pt idx="655">
                  <c:v>89.643779999999765</c:v>
                </c:pt>
                <c:pt idx="656">
                  <c:v>89.643779999999765</c:v>
                </c:pt>
                <c:pt idx="657">
                  <c:v>89.643779999999765</c:v>
                </c:pt>
                <c:pt idx="658">
                  <c:v>89.643779999999765</c:v>
                </c:pt>
                <c:pt idx="659">
                  <c:v>89.643779999999765</c:v>
                </c:pt>
                <c:pt idx="660">
                  <c:v>89.643779999999765</c:v>
                </c:pt>
                <c:pt idx="661">
                  <c:v>89.643779999999765</c:v>
                </c:pt>
                <c:pt idx="662">
                  <c:v>89.643779999999765</c:v>
                </c:pt>
                <c:pt idx="663">
                  <c:v>89.643779999999765</c:v>
                </c:pt>
                <c:pt idx="664">
                  <c:v>89.643779999999765</c:v>
                </c:pt>
                <c:pt idx="665">
                  <c:v>89.643779999999765</c:v>
                </c:pt>
                <c:pt idx="666">
                  <c:v>89.643779999999765</c:v>
                </c:pt>
                <c:pt idx="667">
                  <c:v>89.643779999999765</c:v>
                </c:pt>
                <c:pt idx="668">
                  <c:v>89.643779999999765</c:v>
                </c:pt>
                <c:pt idx="669">
                  <c:v>89.643779999999765</c:v>
                </c:pt>
                <c:pt idx="670">
                  <c:v>89.643779999999765</c:v>
                </c:pt>
                <c:pt idx="671">
                  <c:v>89.643779999999765</c:v>
                </c:pt>
                <c:pt idx="672">
                  <c:v>89.643779999999765</c:v>
                </c:pt>
                <c:pt idx="673">
                  <c:v>89.643779999999765</c:v>
                </c:pt>
                <c:pt idx="674">
                  <c:v>89.643779999999765</c:v>
                </c:pt>
                <c:pt idx="675">
                  <c:v>89.643779999999765</c:v>
                </c:pt>
                <c:pt idx="676">
                  <c:v>89.643779999999765</c:v>
                </c:pt>
                <c:pt idx="677">
                  <c:v>89.643779999999765</c:v>
                </c:pt>
                <c:pt idx="678">
                  <c:v>89.643779999999765</c:v>
                </c:pt>
                <c:pt idx="679">
                  <c:v>89.643779999999765</c:v>
                </c:pt>
                <c:pt idx="680">
                  <c:v>89.643779999999765</c:v>
                </c:pt>
                <c:pt idx="681">
                  <c:v>89.643779999999765</c:v>
                </c:pt>
                <c:pt idx="682">
                  <c:v>89.643779999999765</c:v>
                </c:pt>
                <c:pt idx="683">
                  <c:v>89.643779999999765</c:v>
                </c:pt>
                <c:pt idx="684">
                  <c:v>89.643779999999765</c:v>
                </c:pt>
                <c:pt idx="685">
                  <c:v>89.643779999999765</c:v>
                </c:pt>
                <c:pt idx="686">
                  <c:v>89.643779999999765</c:v>
                </c:pt>
                <c:pt idx="687">
                  <c:v>89.643779999999765</c:v>
                </c:pt>
                <c:pt idx="688">
                  <c:v>89.643779999999765</c:v>
                </c:pt>
                <c:pt idx="689">
                  <c:v>89.643779999999765</c:v>
                </c:pt>
                <c:pt idx="690">
                  <c:v>89.643779999999765</c:v>
                </c:pt>
                <c:pt idx="691">
                  <c:v>89.643779999999765</c:v>
                </c:pt>
                <c:pt idx="692">
                  <c:v>89.643779999999765</c:v>
                </c:pt>
                <c:pt idx="693">
                  <c:v>89.643779999999765</c:v>
                </c:pt>
                <c:pt idx="694">
                  <c:v>89.643779999999765</c:v>
                </c:pt>
                <c:pt idx="695">
                  <c:v>89.643779999999765</c:v>
                </c:pt>
                <c:pt idx="696">
                  <c:v>89.643779999999765</c:v>
                </c:pt>
                <c:pt idx="697">
                  <c:v>89.643779999999765</c:v>
                </c:pt>
                <c:pt idx="698">
                  <c:v>89.643779999999765</c:v>
                </c:pt>
                <c:pt idx="699">
                  <c:v>89.643779999999765</c:v>
                </c:pt>
                <c:pt idx="700">
                  <c:v>89.643779999999765</c:v>
                </c:pt>
                <c:pt idx="701">
                  <c:v>89.643779999999765</c:v>
                </c:pt>
                <c:pt idx="702">
                  <c:v>89.643779999999765</c:v>
                </c:pt>
                <c:pt idx="703">
                  <c:v>89.643779999999765</c:v>
                </c:pt>
                <c:pt idx="704">
                  <c:v>89.643779999999765</c:v>
                </c:pt>
                <c:pt idx="705">
                  <c:v>89.643779999999765</c:v>
                </c:pt>
                <c:pt idx="706">
                  <c:v>89.643779999999765</c:v>
                </c:pt>
                <c:pt idx="707">
                  <c:v>89.643779999999765</c:v>
                </c:pt>
                <c:pt idx="708">
                  <c:v>89.643779999999765</c:v>
                </c:pt>
                <c:pt idx="709">
                  <c:v>89.643779999999765</c:v>
                </c:pt>
                <c:pt idx="710">
                  <c:v>89.643779999999765</c:v>
                </c:pt>
                <c:pt idx="711">
                  <c:v>89.643779999999765</c:v>
                </c:pt>
                <c:pt idx="712">
                  <c:v>89.643779999999765</c:v>
                </c:pt>
                <c:pt idx="713">
                  <c:v>89.643779999999765</c:v>
                </c:pt>
                <c:pt idx="714">
                  <c:v>89.643779999999765</c:v>
                </c:pt>
                <c:pt idx="715">
                  <c:v>89.643779999999765</c:v>
                </c:pt>
                <c:pt idx="716">
                  <c:v>89.643779999999765</c:v>
                </c:pt>
                <c:pt idx="717">
                  <c:v>89.643779999999765</c:v>
                </c:pt>
                <c:pt idx="718">
                  <c:v>89.643779999999765</c:v>
                </c:pt>
                <c:pt idx="719">
                  <c:v>89.643779999999765</c:v>
                </c:pt>
                <c:pt idx="720">
                  <c:v>89.643779999999765</c:v>
                </c:pt>
                <c:pt idx="721">
                  <c:v>89.643779999999765</c:v>
                </c:pt>
                <c:pt idx="722">
                  <c:v>89.643779999999765</c:v>
                </c:pt>
                <c:pt idx="723">
                  <c:v>89.643779999999765</c:v>
                </c:pt>
                <c:pt idx="724">
                  <c:v>89.643779999999765</c:v>
                </c:pt>
                <c:pt idx="725">
                  <c:v>89.643779999999765</c:v>
                </c:pt>
                <c:pt idx="726">
                  <c:v>89.643779999999765</c:v>
                </c:pt>
                <c:pt idx="727">
                  <c:v>89.643779999999765</c:v>
                </c:pt>
                <c:pt idx="728">
                  <c:v>89.643779999999765</c:v>
                </c:pt>
                <c:pt idx="729">
                  <c:v>89.643779999999765</c:v>
                </c:pt>
                <c:pt idx="730">
                  <c:v>89.643779999999765</c:v>
                </c:pt>
                <c:pt idx="731">
                  <c:v>89.643779999999765</c:v>
                </c:pt>
                <c:pt idx="732">
                  <c:v>89.643779999999765</c:v>
                </c:pt>
                <c:pt idx="733">
                  <c:v>89.643779999999765</c:v>
                </c:pt>
                <c:pt idx="734">
                  <c:v>89.643779999999765</c:v>
                </c:pt>
                <c:pt idx="735">
                  <c:v>89.643779999999765</c:v>
                </c:pt>
                <c:pt idx="736">
                  <c:v>89.643779999999765</c:v>
                </c:pt>
                <c:pt idx="737">
                  <c:v>89.643779999999765</c:v>
                </c:pt>
                <c:pt idx="738">
                  <c:v>89.643779999999765</c:v>
                </c:pt>
                <c:pt idx="739">
                  <c:v>89.643779999999765</c:v>
                </c:pt>
                <c:pt idx="740">
                  <c:v>89.643779999999765</c:v>
                </c:pt>
                <c:pt idx="741">
                  <c:v>89.643779999999765</c:v>
                </c:pt>
                <c:pt idx="742">
                  <c:v>89.643779999999765</c:v>
                </c:pt>
                <c:pt idx="743">
                  <c:v>89.643779999999765</c:v>
                </c:pt>
                <c:pt idx="744">
                  <c:v>89.643779999999765</c:v>
                </c:pt>
                <c:pt idx="745">
                  <c:v>89.643779999999765</c:v>
                </c:pt>
                <c:pt idx="746">
                  <c:v>89.643779999999765</c:v>
                </c:pt>
                <c:pt idx="747">
                  <c:v>89.643779999999765</c:v>
                </c:pt>
                <c:pt idx="748">
                  <c:v>89.643779999999765</c:v>
                </c:pt>
                <c:pt idx="749">
                  <c:v>89.643779999999765</c:v>
                </c:pt>
                <c:pt idx="750">
                  <c:v>89.643779999999765</c:v>
                </c:pt>
                <c:pt idx="751">
                  <c:v>89.643779999999765</c:v>
                </c:pt>
                <c:pt idx="752">
                  <c:v>89.643779999999765</c:v>
                </c:pt>
                <c:pt idx="753">
                  <c:v>89.643779999999765</c:v>
                </c:pt>
                <c:pt idx="754">
                  <c:v>89.643779999999765</c:v>
                </c:pt>
                <c:pt idx="755">
                  <c:v>89.643779999999765</c:v>
                </c:pt>
                <c:pt idx="756">
                  <c:v>89.643779999999765</c:v>
                </c:pt>
                <c:pt idx="757">
                  <c:v>89.643779999999765</c:v>
                </c:pt>
                <c:pt idx="758">
                  <c:v>89.643779999999765</c:v>
                </c:pt>
                <c:pt idx="759">
                  <c:v>89.643779999999765</c:v>
                </c:pt>
                <c:pt idx="760">
                  <c:v>89.643779999999765</c:v>
                </c:pt>
                <c:pt idx="761">
                  <c:v>89.643779999999765</c:v>
                </c:pt>
                <c:pt idx="762">
                  <c:v>89.643779999999765</c:v>
                </c:pt>
                <c:pt idx="763">
                  <c:v>89.643779999999765</c:v>
                </c:pt>
                <c:pt idx="764">
                  <c:v>89.643779999999765</c:v>
                </c:pt>
                <c:pt idx="765">
                  <c:v>89.643779999999765</c:v>
                </c:pt>
                <c:pt idx="766">
                  <c:v>89.643779999999765</c:v>
                </c:pt>
                <c:pt idx="767">
                  <c:v>89.643779999999765</c:v>
                </c:pt>
                <c:pt idx="768">
                  <c:v>89.643779999999765</c:v>
                </c:pt>
                <c:pt idx="769">
                  <c:v>89.643779999999765</c:v>
                </c:pt>
                <c:pt idx="770">
                  <c:v>89.643779999999765</c:v>
                </c:pt>
                <c:pt idx="771">
                  <c:v>89.643779999999765</c:v>
                </c:pt>
                <c:pt idx="772">
                  <c:v>89.643779999999765</c:v>
                </c:pt>
                <c:pt idx="773">
                  <c:v>89.643779999999765</c:v>
                </c:pt>
                <c:pt idx="774">
                  <c:v>89.643779999999765</c:v>
                </c:pt>
                <c:pt idx="775">
                  <c:v>89.643779999999765</c:v>
                </c:pt>
                <c:pt idx="776">
                  <c:v>89.643779999999765</c:v>
                </c:pt>
                <c:pt idx="777">
                  <c:v>89.643779999999765</c:v>
                </c:pt>
                <c:pt idx="778">
                  <c:v>89.643779999999765</c:v>
                </c:pt>
                <c:pt idx="779">
                  <c:v>89.643779999999765</c:v>
                </c:pt>
                <c:pt idx="780">
                  <c:v>89.643779999999765</c:v>
                </c:pt>
                <c:pt idx="781">
                  <c:v>89.643779999999765</c:v>
                </c:pt>
                <c:pt idx="782">
                  <c:v>89.643779999999765</c:v>
                </c:pt>
                <c:pt idx="783">
                  <c:v>89.643779999999765</c:v>
                </c:pt>
                <c:pt idx="784">
                  <c:v>89.643779999999765</c:v>
                </c:pt>
                <c:pt idx="785">
                  <c:v>89.643779999999765</c:v>
                </c:pt>
                <c:pt idx="786">
                  <c:v>89.643779999999765</c:v>
                </c:pt>
                <c:pt idx="787">
                  <c:v>89.643779999999765</c:v>
                </c:pt>
                <c:pt idx="788">
                  <c:v>89.643779999999765</c:v>
                </c:pt>
                <c:pt idx="789">
                  <c:v>89.643779999999765</c:v>
                </c:pt>
                <c:pt idx="790">
                  <c:v>89.643779999999765</c:v>
                </c:pt>
                <c:pt idx="791">
                  <c:v>89.643779999999765</c:v>
                </c:pt>
                <c:pt idx="792">
                  <c:v>89.643779999999765</c:v>
                </c:pt>
                <c:pt idx="793">
                  <c:v>89.643779999999765</c:v>
                </c:pt>
                <c:pt idx="794">
                  <c:v>89.643779999999765</c:v>
                </c:pt>
                <c:pt idx="795">
                  <c:v>89.643779999999765</c:v>
                </c:pt>
                <c:pt idx="796">
                  <c:v>89.643779999999765</c:v>
                </c:pt>
                <c:pt idx="797">
                  <c:v>89.643779999999765</c:v>
                </c:pt>
                <c:pt idx="798">
                  <c:v>89.643779999999765</c:v>
                </c:pt>
                <c:pt idx="799">
                  <c:v>89.643779999999765</c:v>
                </c:pt>
                <c:pt idx="800">
                  <c:v>89.643779999999765</c:v>
                </c:pt>
                <c:pt idx="801">
                  <c:v>89.643779999999765</c:v>
                </c:pt>
                <c:pt idx="802">
                  <c:v>89.643779999999765</c:v>
                </c:pt>
                <c:pt idx="803">
                  <c:v>89.643779999999765</c:v>
                </c:pt>
                <c:pt idx="804">
                  <c:v>89.643779999999765</c:v>
                </c:pt>
                <c:pt idx="805">
                  <c:v>89.643779999999765</c:v>
                </c:pt>
                <c:pt idx="806">
                  <c:v>89.643779999999765</c:v>
                </c:pt>
                <c:pt idx="807">
                  <c:v>89.643779999999765</c:v>
                </c:pt>
                <c:pt idx="808">
                  <c:v>89.643779999999765</c:v>
                </c:pt>
                <c:pt idx="809">
                  <c:v>89.643779999999765</c:v>
                </c:pt>
                <c:pt idx="810">
                  <c:v>89.643779999999765</c:v>
                </c:pt>
                <c:pt idx="811">
                  <c:v>89.643779999999765</c:v>
                </c:pt>
                <c:pt idx="812">
                  <c:v>89.643779999999765</c:v>
                </c:pt>
                <c:pt idx="813">
                  <c:v>89.643779999999765</c:v>
                </c:pt>
                <c:pt idx="814">
                  <c:v>89.643779999999765</c:v>
                </c:pt>
                <c:pt idx="815">
                  <c:v>89.643779999999765</c:v>
                </c:pt>
                <c:pt idx="816">
                  <c:v>89.643779999999765</c:v>
                </c:pt>
                <c:pt idx="817">
                  <c:v>89.643779999999765</c:v>
                </c:pt>
                <c:pt idx="818">
                  <c:v>89.643779999999765</c:v>
                </c:pt>
                <c:pt idx="819">
                  <c:v>89.643779999999765</c:v>
                </c:pt>
                <c:pt idx="820">
                  <c:v>89.643779999999765</c:v>
                </c:pt>
                <c:pt idx="821">
                  <c:v>89.643779999999765</c:v>
                </c:pt>
                <c:pt idx="822">
                  <c:v>89.643779999999765</c:v>
                </c:pt>
                <c:pt idx="823">
                  <c:v>89.643779999999765</c:v>
                </c:pt>
                <c:pt idx="824">
                  <c:v>89.643779999999765</c:v>
                </c:pt>
                <c:pt idx="825">
                  <c:v>89.643779999999765</c:v>
                </c:pt>
                <c:pt idx="826">
                  <c:v>89.643779999999765</c:v>
                </c:pt>
                <c:pt idx="827">
                  <c:v>89.643779999999765</c:v>
                </c:pt>
                <c:pt idx="828">
                  <c:v>89.643779999999765</c:v>
                </c:pt>
                <c:pt idx="829">
                  <c:v>89.643779999999765</c:v>
                </c:pt>
                <c:pt idx="830">
                  <c:v>89.643779999999765</c:v>
                </c:pt>
                <c:pt idx="831">
                  <c:v>89.643779999999765</c:v>
                </c:pt>
                <c:pt idx="832">
                  <c:v>89.643779999999765</c:v>
                </c:pt>
                <c:pt idx="833">
                  <c:v>89.643779999999765</c:v>
                </c:pt>
                <c:pt idx="834">
                  <c:v>89.643779999999765</c:v>
                </c:pt>
                <c:pt idx="835">
                  <c:v>89.643779999999765</c:v>
                </c:pt>
                <c:pt idx="836">
                  <c:v>89.643779999999765</c:v>
                </c:pt>
                <c:pt idx="837">
                  <c:v>89.643779999999765</c:v>
                </c:pt>
                <c:pt idx="838">
                  <c:v>89.643779999999765</c:v>
                </c:pt>
                <c:pt idx="839">
                  <c:v>89.643779999999765</c:v>
                </c:pt>
                <c:pt idx="840">
                  <c:v>89.643779999999765</c:v>
                </c:pt>
                <c:pt idx="841">
                  <c:v>89.643779999999765</c:v>
                </c:pt>
                <c:pt idx="842">
                  <c:v>89.643779999999765</c:v>
                </c:pt>
                <c:pt idx="843">
                  <c:v>89.643779999999765</c:v>
                </c:pt>
                <c:pt idx="844">
                  <c:v>89.643779999999765</c:v>
                </c:pt>
                <c:pt idx="845">
                  <c:v>89.643779999999765</c:v>
                </c:pt>
                <c:pt idx="846">
                  <c:v>89.643779999999765</c:v>
                </c:pt>
                <c:pt idx="847">
                  <c:v>89.643779999999765</c:v>
                </c:pt>
                <c:pt idx="848">
                  <c:v>89.643779999999765</c:v>
                </c:pt>
                <c:pt idx="849">
                  <c:v>89.643779999999765</c:v>
                </c:pt>
                <c:pt idx="850">
                  <c:v>89.643779999999765</c:v>
                </c:pt>
                <c:pt idx="851">
                  <c:v>89.643779999999765</c:v>
                </c:pt>
                <c:pt idx="852">
                  <c:v>89.643779999999765</c:v>
                </c:pt>
                <c:pt idx="853">
                  <c:v>89.643779999999765</c:v>
                </c:pt>
                <c:pt idx="854">
                  <c:v>89.643779999999765</c:v>
                </c:pt>
                <c:pt idx="855">
                  <c:v>89.643779999999765</c:v>
                </c:pt>
                <c:pt idx="856">
                  <c:v>89.643779999999765</c:v>
                </c:pt>
                <c:pt idx="857">
                  <c:v>89.643779999999765</c:v>
                </c:pt>
                <c:pt idx="858">
                  <c:v>89.643779999999765</c:v>
                </c:pt>
                <c:pt idx="859">
                  <c:v>89.643779999999765</c:v>
                </c:pt>
                <c:pt idx="860">
                  <c:v>89.643779999999765</c:v>
                </c:pt>
                <c:pt idx="861">
                  <c:v>89.643779999999765</c:v>
                </c:pt>
                <c:pt idx="862">
                  <c:v>89.643779999999765</c:v>
                </c:pt>
                <c:pt idx="863">
                  <c:v>89.643779999999765</c:v>
                </c:pt>
                <c:pt idx="864">
                  <c:v>89.643779999999765</c:v>
                </c:pt>
                <c:pt idx="865">
                  <c:v>89.643779999999765</c:v>
                </c:pt>
                <c:pt idx="866">
                  <c:v>89.643779999999765</c:v>
                </c:pt>
                <c:pt idx="867">
                  <c:v>89.643779999999765</c:v>
                </c:pt>
                <c:pt idx="868">
                  <c:v>89.643779999999765</c:v>
                </c:pt>
                <c:pt idx="869">
                  <c:v>89.643779999999765</c:v>
                </c:pt>
                <c:pt idx="870">
                  <c:v>89.643779999999765</c:v>
                </c:pt>
                <c:pt idx="871">
                  <c:v>89.643779999999765</c:v>
                </c:pt>
                <c:pt idx="872">
                  <c:v>89.643779999999765</c:v>
                </c:pt>
                <c:pt idx="873">
                  <c:v>89.643779999999765</c:v>
                </c:pt>
                <c:pt idx="874">
                  <c:v>89.643779999999765</c:v>
                </c:pt>
                <c:pt idx="875">
                  <c:v>89.643779999999765</c:v>
                </c:pt>
                <c:pt idx="876">
                  <c:v>89.643779999999765</c:v>
                </c:pt>
                <c:pt idx="877">
                  <c:v>89.643779999999765</c:v>
                </c:pt>
                <c:pt idx="878">
                  <c:v>89.643779999999765</c:v>
                </c:pt>
                <c:pt idx="879">
                  <c:v>89.643779999999765</c:v>
                </c:pt>
                <c:pt idx="880">
                  <c:v>89.643779999999765</c:v>
                </c:pt>
                <c:pt idx="881">
                  <c:v>89.643779999999765</c:v>
                </c:pt>
                <c:pt idx="882">
                  <c:v>89.643779999999765</c:v>
                </c:pt>
                <c:pt idx="883">
                  <c:v>89.643779999999765</c:v>
                </c:pt>
                <c:pt idx="884">
                  <c:v>89.643779999999765</c:v>
                </c:pt>
                <c:pt idx="885">
                  <c:v>89.643779999999765</c:v>
                </c:pt>
                <c:pt idx="886">
                  <c:v>89.643779999999765</c:v>
                </c:pt>
                <c:pt idx="887">
                  <c:v>89.643779999999765</c:v>
                </c:pt>
                <c:pt idx="888">
                  <c:v>89.643779999999765</c:v>
                </c:pt>
                <c:pt idx="889">
                  <c:v>89.643779999999765</c:v>
                </c:pt>
                <c:pt idx="890">
                  <c:v>89.643779999999765</c:v>
                </c:pt>
                <c:pt idx="891">
                  <c:v>89.643779999999765</c:v>
                </c:pt>
                <c:pt idx="892">
                  <c:v>89.643779999999765</c:v>
                </c:pt>
                <c:pt idx="893">
                  <c:v>89.643779999999765</c:v>
                </c:pt>
                <c:pt idx="894">
                  <c:v>89.643779999999765</c:v>
                </c:pt>
                <c:pt idx="895">
                  <c:v>89.643779999999765</c:v>
                </c:pt>
                <c:pt idx="896">
                  <c:v>89.643779999999765</c:v>
                </c:pt>
                <c:pt idx="897">
                  <c:v>89.643779999999765</c:v>
                </c:pt>
                <c:pt idx="898">
                  <c:v>89.643779999999765</c:v>
                </c:pt>
                <c:pt idx="899">
                  <c:v>89.643779999999765</c:v>
                </c:pt>
                <c:pt idx="900">
                  <c:v>89.643779999999765</c:v>
                </c:pt>
                <c:pt idx="901">
                  <c:v>89.643779999999765</c:v>
                </c:pt>
                <c:pt idx="902">
                  <c:v>89.643779999999765</c:v>
                </c:pt>
                <c:pt idx="903">
                  <c:v>89.643779999999765</c:v>
                </c:pt>
                <c:pt idx="904">
                  <c:v>89.643779999999765</c:v>
                </c:pt>
                <c:pt idx="905">
                  <c:v>89.643779999999765</c:v>
                </c:pt>
                <c:pt idx="906">
                  <c:v>89.643779999999765</c:v>
                </c:pt>
                <c:pt idx="907">
                  <c:v>89.643779999999765</c:v>
                </c:pt>
                <c:pt idx="908">
                  <c:v>89.643779999999765</c:v>
                </c:pt>
                <c:pt idx="909">
                  <c:v>89.643779999999765</c:v>
                </c:pt>
                <c:pt idx="910">
                  <c:v>89.643779999999765</c:v>
                </c:pt>
                <c:pt idx="911">
                  <c:v>89.643779999999765</c:v>
                </c:pt>
                <c:pt idx="912">
                  <c:v>89.643779999999765</c:v>
                </c:pt>
                <c:pt idx="913">
                  <c:v>89.643779999999765</c:v>
                </c:pt>
                <c:pt idx="914">
                  <c:v>89.643779999999765</c:v>
                </c:pt>
                <c:pt idx="915">
                  <c:v>89.643779999999765</c:v>
                </c:pt>
                <c:pt idx="916">
                  <c:v>89.643779999999765</c:v>
                </c:pt>
                <c:pt idx="917">
                  <c:v>89.643779999999765</c:v>
                </c:pt>
                <c:pt idx="918">
                  <c:v>89.643779999999765</c:v>
                </c:pt>
                <c:pt idx="919">
                  <c:v>89.643779999999765</c:v>
                </c:pt>
                <c:pt idx="920">
                  <c:v>89.643779999999765</c:v>
                </c:pt>
                <c:pt idx="921">
                  <c:v>89.643779999999765</c:v>
                </c:pt>
                <c:pt idx="922">
                  <c:v>89.643779999999765</c:v>
                </c:pt>
                <c:pt idx="923">
                  <c:v>89.643779999999765</c:v>
                </c:pt>
                <c:pt idx="924">
                  <c:v>89.643779999999765</c:v>
                </c:pt>
                <c:pt idx="925">
                  <c:v>89.643779999999765</c:v>
                </c:pt>
                <c:pt idx="926">
                  <c:v>89.643779999999765</c:v>
                </c:pt>
                <c:pt idx="927">
                  <c:v>89.643779999999765</c:v>
                </c:pt>
                <c:pt idx="928">
                  <c:v>89.643779999999765</c:v>
                </c:pt>
                <c:pt idx="929">
                  <c:v>89.643779999999765</c:v>
                </c:pt>
                <c:pt idx="930">
                  <c:v>89.643779999999765</c:v>
                </c:pt>
                <c:pt idx="931">
                  <c:v>89.643779999999765</c:v>
                </c:pt>
                <c:pt idx="932">
                  <c:v>89.643779999999765</c:v>
                </c:pt>
                <c:pt idx="933">
                  <c:v>89.643779999999765</c:v>
                </c:pt>
                <c:pt idx="934">
                  <c:v>89.643779999999765</c:v>
                </c:pt>
                <c:pt idx="935">
                  <c:v>89.643779999999765</c:v>
                </c:pt>
                <c:pt idx="936">
                  <c:v>89.643779999999765</c:v>
                </c:pt>
                <c:pt idx="937">
                  <c:v>89.643779999999765</c:v>
                </c:pt>
                <c:pt idx="938">
                  <c:v>89.643779999999765</c:v>
                </c:pt>
                <c:pt idx="939">
                  <c:v>89.643779999999765</c:v>
                </c:pt>
                <c:pt idx="940">
                  <c:v>89.643779999999765</c:v>
                </c:pt>
                <c:pt idx="941">
                  <c:v>89.643779999999765</c:v>
                </c:pt>
                <c:pt idx="942">
                  <c:v>89.643779999999765</c:v>
                </c:pt>
                <c:pt idx="943">
                  <c:v>89.643779999999765</c:v>
                </c:pt>
                <c:pt idx="944">
                  <c:v>89.643779999999765</c:v>
                </c:pt>
                <c:pt idx="945">
                  <c:v>89.643779999999765</c:v>
                </c:pt>
                <c:pt idx="946">
                  <c:v>89.643779999999765</c:v>
                </c:pt>
                <c:pt idx="947">
                  <c:v>89.643779999999765</c:v>
                </c:pt>
                <c:pt idx="948">
                  <c:v>89.643779999999765</c:v>
                </c:pt>
                <c:pt idx="949">
                  <c:v>89.643779999999765</c:v>
                </c:pt>
                <c:pt idx="950">
                  <c:v>89.643779999999765</c:v>
                </c:pt>
                <c:pt idx="951">
                  <c:v>89.643779999999765</c:v>
                </c:pt>
                <c:pt idx="952">
                  <c:v>89.643779999999765</c:v>
                </c:pt>
                <c:pt idx="953">
                  <c:v>89.643779999999765</c:v>
                </c:pt>
                <c:pt idx="954">
                  <c:v>89.643779999999765</c:v>
                </c:pt>
                <c:pt idx="955">
                  <c:v>89.643779999999765</c:v>
                </c:pt>
                <c:pt idx="956">
                  <c:v>89.643779999999765</c:v>
                </c:pt>
                <c:pt idx="957">
                  <c:v>89.643779999999765</c:v>
                </c:pt>
                <c:pt idx="958">
                  <c:v>89.643779999999765</c:v>
                </c:pt>
                <c:pt idx="959">
                  <c:v>89.643779999999765</c:v>
                </c:pt>
                <c:pt idx="960">
                  <c:v>89.643779999999765</c:v>
                </c:pt>
                <c:pt idx="961">
                  <c:v>89.643779999999765</c:v>
                </c:pt>
                <c:pt idx="962">
                  <c:v>89.643779999999765</c:v>
                </c:pt>
                <c:pt idx="963">
                  <c:v>89.643779999999765</c:v>
                </c:pt>
                <c:pt idx="964">
                  <c:v>89.643779999999765</c:v>
                </c:pt>
                <c:pt idx="965">
                  <c:v>89.643779999999765</c:v>
                </c:pt>
                <c:pt idx="966">
                  <c:v>89.643779999999765</c:v>
                </c:pt>
                <c:pt idx="967">
                  <c:v>89.643779999999765</c:v>
                </c:pt>
                <c:pt idx="968">
                  <c:v>89.643779999999765</c:v>
                </c:pt>
                <c:pt idx="969">
                  <c:v>89.643779999999765</c:v>
                </c:pt>
                <c:pt idx="970">
                  <c:v>89.643779999999765</c:v>
                </c:pt>
                <c:pt idx="971">
                  <c:v>89.643779999999765</c:v>
                </c:pt>
                <c:pt idx="972">
                  <c:v>89.643779999999765</c:v>
                </c:pt>
                <c:pt idx="973">
                  <c:v>89.643779999999765</c:v>
                </c:pt>
                <c:pt idx="974">
                  <c:v>89.643779999999765</c:v>
                </c:pt>
                <c:pt idx="975">
                  <c:v>89.643779999999765</c:v>
                </c:pt>
                <c:pt idx="976">
                  <c:v>89.643779999999765</c:v>
                </c:pt>
                <c:pt idx="977">
                  <c:v>89.643779999999765</c:v>
                </c:pt>
                <c:pt idx="978">
                  <c:v>89.643779999999765</c:v>
                </c:pt>
                <c:pt idx="979">
                  <c:v>89.643779999999765</c:v>
                </c:pt>
                <c:pt idx="980">
                  <c:v>89.643779999999765</c:v>
                </c:pt>
                <c:pt idx="981">
                  <c:v>89.643779999999765</c:v>
                </c:pt>
                <c:pt idx="982">
                  <c:v>89.643779999999765</c:v>
                </c:pt>
                <c:pt idx="983">
                  <c:v>89.643779999999765</c:v>
                </c:pt>
                <c:pt idx="984">
                  <c:v>89.643779999999765</c:v>
                </c:pt>
                <c:pt idx="985">
                  <c:v>89.643779999999765</c:v>
                </c:pt>
                <c:pt idx="986">
                  <c:v>89.643779999999765</c:v>
                </c:pt>
                <c:pt idx="987">
                  <c:v>89.643779999999765</c:v>
                </c:pt>
                <c:pt idx="988">
                  <c:v>89.643779999999765</c:v>
                </c:pt>
                <c:pt idx="989">
                  <c:v>89.643779999999765</c:v>
                </c:pt>
                <c:pt idx="990">
                  <c:v>89.643779999999765</c:v>
                </c:pt>
                <c:pt idx="991">
                  <c:v>89.643779999999765</c:v>
                </c:pt>
                <c:pt idx="992">
                  <c:v>89.643779999999765</c:v>
                </c:pt>
                <c:pt idx="993">
                  <c:v>89.643779999999765</c:v>
                </c:pt>
                <c:pt idx="994">
                  <c:v>89.643779999999765</c:v>
                </c:pt>
                <c:pt idx="995">
                  <c:v>89.643779999999765</c:v>
                </c:pt>
                <c:pt idx="996">
                  <c:v>89.643779999999765</c:v>
                </c:pt>
                <c:pt idx="997">
                  <c:v>89.643779999999765</c:v>
                </c:pt>
                <c:pt idx="998">
                  <c:v>89.643779999999765</c:v>
                </c:pt>
                <c:pt idx="999">
                  <c:v>89.643779999999765</c:v>
                </c:pt>
                <c:pt idx="1000">
                  <c:v>89.643779999999765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3-7045-93AD-06357D4BED02}"/>
            </c:ext>
          </c:extLst>
        </c:ser>
        <c:ser>
          <c:idx val="0"/>
          <c:order val="2"/>
          <c:tx>
            <c:strRef>
              <c:f>Courbes!$B$133</c:f>
              <c:strCache>
                <c:ptCount val="1"/>
                <c:pt idx="0">
                  <c:v>Traînée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5.0999999999999375</c:v>
                </c:pt>
                <c:pt idx="502">
                  <c:v>5.1999999999999371</c:v>
                </c:pt>
                <c:pt idx="503">
                  <c:v>5.2999999999999368</c:v>
                </c:pt>
                <c:pt idx="504">
                  <c:v>5.3999999999999364</c:v>
                </c:pt>
                <c:pt idx="505">
                  <c:v>5.4999999999999361</c:v>
                </c:pt>
                <c:pt idx="506">
                  <c:v>5.5999999999999357</c:v>
                </c:pt>
                <c:pt idx="507">
                  <c:v>5.6999999999999353</c:v>
                </c:pt>
                <c:pt idx="508">
                  <c:v>5.799999999999935</c:v>
                </c:pt>
                <c:pt idx="509">
                  <c:v>5.8999999999999346</c:v>
                </c:pt>
                <c:pt idx="510">
                  <c:v>5.9999999999999343</c:v>
                </c:pt>
                <c:pt idx="511">
                  <c:v>6.0999999999999339</c:v>
                </c:pt>
                <c:pt idx="512">
                  <c:v>6.1999999999999336</c:v>
                </c:pt>
                <c:pt idx="513">
                  <c:v>6.2999999999999332</c:v>
                </c:pt>
                <c:pt idx="514">
                  <c:v>6.3999999999999329</c:v>
                </c:pt>
                <c:pt idx="515">
                  <c:v>6.4999999999999325</c:v>
                </c:pt>
                <c:pt idx="516">
                  <c:v>6.5999999999999321</c:v>
                </c:pt>
                <c:pt idx="517">
                  <c:v>6.6999999999999318</c:v>
                </c:pt>
                <c:pt idx="518">
                  <c:v>6.7999999999999314</c:v>
                </c:pt>
                <c:pt idx="519">
                  <c:v>6.8999999999999311</c:v>
                </c:pt>
                <c:pt idx="520">
                  <c:v>6.9999999999999307</c:v>
                </c:pt>
                <c:pt idx="521">
                  <c:v>7.0999999999999304</c:v>
                </c:pt>
                <c:pt idx="522">
                  <c:v>7.19999999999993</c:v>
                </c:pt>
                <c:pt idx="523">
                  <c:v>7.2999999999999297</c:v>
                </c:pt>
                <c:pt idx="524">
                  <c:v>7.3999999999999293</c:v>
                </c:pt>
                <c:pt idx="525">
                  <c:v>7.4999999999999289</c:v>
                </c:pt>
                <c:pt idx="526">
                  <c:v>7.5999999999999286</c:v>
                </c:pt>
                <c:pt idx="527">
                  <c:v>7.6999999999999282</c:v>
                </c:pt>
                <c:pt idx="528">
                  <c:v>7.7999999999999279</c:v>
                </c:pt>
                <c:pt idx="529">
                  <c:v>7.8999999999999275</c:v>
                </c:pt>
                <c:pt idx="530">
                  <c:v>7.9999999999999272</c:v>
                </c:pt>
                <c:pt idx="531">
                  <c:v>8.0999999999999268</c:v>
                </c:pt>
                <c:pt idx="532">
                  <c:v>8.1999999999999265</c:v>
                </c:pt>
                <c:pt idx="533">
                  <c:v>8.2999999999999261</c:v>
                </c:pt>
                <c:pt idx="534">
                  <c:v>8.3999999999999257</c:v>
                </c:pt>
                <c:pt idx="535">
                  <c:v>8.4999999999999254</c:v>
                </c:pt>
                <c:pt idx="536">
                  <c:v>8.599999999999925</c:v>
                </c:pt>
                <c:pt idx="537">
                  <c:v>8.6999999999999247</c:v>
                </c:pt>
                <c:pt idx="538">
                  <c:v>8.7999999999999243</c:v>
                </c:pt>
                <c:pt idx="539">
                  <c:v>8.899999999999924</c:v>
                </c:pt>
                <c:pt idx="540">
                  <c:v>8.9999999999999236</c:v>
                </c:pt>
                <c:pt idx="541">
                  <c:v>9.0999999999999233</c:v>
                </c:pt>
                <c:pt idx="542">
                  <c:v>9.1999999999999229</c:v>
                </c:pt>
                <c:pt idx="543">
                  <c:v>9.2999999999999226</c:v>
                </c:pt>
                <c:pt idx="544">
                  <c:v>9.3999999999999222</c:v>
                </c:pt>
                <c:pt idx="545">
                  <c:v>9.4999999999999218</c:v>
                </c:pt>
                <c:pt idx="546">
                  <c:v>9.5999999999999215</c:v>
                </c:pt>
                <c:pt idx="547">
                  <c:v>9.6999999999999211</c:v>
                </c:pt>
                <c:pt idx="548">
                  <c:v>9.7999999999999208</c:v>
                </c:pt>
                <c:pt idx="549">
                  <c:v>9.8999999999999204</c:v>
                </c:pt>
                <c:pt idx="550">
                  <c:v>9.9999999999999201</c:v>
                </c:pt>
                <c:pt idx="551">
                  <c:v>10.09999999999992</c:v>
                </c:pt>
                <c:pt idx="552">
                  <c:v>10.199999999999919</c:v>
                </c:pt>
                <c:pt idx="553">
                  <c:v>10.299999999999919</c:v>
                </c:pt>
                <c:pt idx="554">
                  <c:v>10.399999999999919</c:v>
                </c:pt>
                <c:pt idx="555">
                  <c:v>10.499999999999918</c:v>
                </c:pt>
                <c:pt idx="556">
                  <c:v>10.599999999999918</c:v>
                </c:pt>
                <c:pt idx="557">
                  <c:v>10.699999999999918</c:v>
                </c:pt>
                <c:pt idx="558">
                  <c:v>10.799999999999917</c:v>
                </c:pt>
                <c:pt idx="559">
                  <c:v>10.899999999999917</c:v>
                </c:pt>
                <c:pt idx="560">
                  <c:v>10.999999999999917</c:v>
                </c:pt>
                <c:pt idx="561">
                  <c:v>11.099999999999916</c:v>
                </c:pt>
                <c:pt idx="562">
                  <c:v>11.199999999999916</c:v>
                </c:pt>
                <c:pt idx="563">
                  <c:v>11.299999999999915</c:v>
                </c:pt>
                <c:pt idx="564">
                  <c:v>11.399999999999915</c:v>
                </c:pt>
                <c:pt idx="565">
                  <c:v>11.499999999999915</c:v>
                </c:pt>
                <c:pt idx="566">
                  <c:v>11.599999999999914</c:v>
                </c:pt>
                <c:pt idx="567">
                  <c:v>11.699999999999914</c:v>
                </c:pt>
                <c:pt idx="568">
                  <c:v>11.799999999999914</c:v>
                </c:pt>
                <c:pt idx="569">
                  <c:v>11.899999999999913</c:v>
                </c:pt>
                <c:pt idx="570">
                  <c:v>11.999999999999913</c:v>
                </c:pt>
                <c:pt idx="571">
                  <c:v>12.099999999999913</c:v>
                </c:pt>
                <c:pt idx="572">
                  <c:v>12.199999999999912</c:v>
                </c:pt>
                <c:pt idx="573">
                  <c:v>12.299999999999912</c:v>
                </c:pt>
                <c:pt idx="574">
                  <c:v>12.399999999999912</c:v>
                </c:pt>
                <c:pt idx="575">
                  <c:v>12.499999999999911</c:v>
                </c:pt>
                <c:pt idx="576">
                  <c:v>12.599999999999911</c:v>
                </c:pt>
                <c:pt idx="577">
                  <c:v>12.69999999999991</c:v>
                </c:pt>
                <c:pt idx="578">
                  <c:v>12.79999999999991</c:v>
                </c:pt>
                <c:pt idx="579">
                  <c:v>12.89999999999991</c:v>
                </c:pt>
                <c:pt idx="580">
                  <c:v>12.999999999999909</c:v>
                </c:pt>
                <c:pt idx="581">
                  <c:v>13.099999999999909</c:v>
                </c:pt>
                <c:pt idx="582">
                  <c:v>13.199999999999909</c:v>
                </c:pt>
                <c:pt idx="583">
                  <c:v>13.299999999999908</c:v>
                </c:pt>
                <c:pt idx="584">
                  <c:v>13.399999999999908</c:v>
                </c:pt>
                <c:pt idx="585">
                  <c:v>13.499999999999908</c:v>
                </c:pt>
                <c:pt idx="586">
                  <c:v>13.599999999999907</c:v>
                </c:pt>
                <c:pt idx="587">
                  <c:v>13.699999999999907</c:v>
                </c:pt>
                <c:pt idx="588">
                  <c:v>13.799999999999907</c:v>
                </c:pt>
                <c:pt idx="589">
                  <c:v>13.899999999999906</c:v>
                </c:pt>
                <c:pt idx="590">
                  <c:v>13.999999999999906</c:v>
                </c:pt>
                <c:pt idx="591">
                  <c:v>14.099999999999905</c:v>
                </c:pt>
                <c:pt idx="592">
                  <c:v>14.199999999999905</c:v>
                </c:pt>
                <c:pt idx="593">
                  <c:v>14.299999999999905</c:v>
                </c:pt>
                <c:pt idx="594">
                  <c:v>14.399999999999904</c:v>
                </c:pt>
                <c:pt idx="595">
                  <c:v>14.499999999999904</c:v>
                </c:pt>
                <c:pt idx="596">
                  <c:v>14.599999999999904</c:v>
                </c:pt>
                <c:pt idx="597">
                  <c:v>14.699999999999903</c:v>
                </c:pt>
                <c:pt idx="598">
                  <c:v>14.799999999999903</c:v>
                </c:pt>
                <c:pt idx="599">
                  <c:v>14.899999999999903</c:v>
                </c:pt>
                <c:pt idx="600">
                  <c:v>14.999999999999902</c:v>
                </c:pt>
                <c:pt idx="601">
                  <c:v>15.099999999999902</c:v>
                </c:pt>
                <c:pt idx="602">
                  <c:v>15.199999999999902</c:v>
                </c:pt>
                <c:pt idx="603">
                  <c:v>15.299999999999901</c:v>
                </c:pt>
                <c:pt idx="604">
                  <c:v>15.399999999999901</c:v>
                </c:pt>
                <c:pt idx="605">
                  <c:v>15.499999999999901</c:v>
                </c:pt>
                <c:pt idx="606">
                  <c:v>15.5999999999999</c:v>
                </c:pt>
                <c:pt idx="607">
                  <c:v>15.6999999999999</c:v>
                </c:pt>
                <c:pt idx="608">
                  <c:v>15.799999999999899</c:v>
                </c:pt>
                <c:pt idx="609">
                  <c:v>15.899999999999899</c:v>
                </c:pt>
                <c:pt idx="610">
                  <c:v>15.999999999999899</c:v>
                </c:pt>
                <c:pt idx="611">
                  <c:v>16.099999999999898</c:v>
                </c:pt>
                <c:pt idx="612">
                  <c:v>16.1999999999999</c:v>
                </c:pt>
                <c:pt idx="613">
                  <c:v>16.299999999999901</c:v>
                </c:pt>
                <c:pt idx="614">
                  <c:v>16.399999999999903</c:v>
                </c:pt>
                <c:pt idx="615">
                  <c:v>16.499999999999904</c:v>
                </c:pt>
                <c:pt idx="616">
                  <c:v>16.599999999999905</c:v>
                </c:pt>
                <c:pt idx="617">
                  <c:v>16.699999999999907</c:v>
                </c:pt>
                <c:pt idx="618">
                  <c:v>16.799999999999908</c:v>
                </c:pt>
                <c:pt idx="619">
                  <c:v>16.89999999999991</c:v>
                </c:pt>
                <c:pt idx="620">
                  <c:v>16.999999999999911</c:v>
                </c:pt>
                <c:pt idx="621">
                  <c:v>17.099999999999913</c:v>
                </c:pt>
                <c:pt idx="622">
                  <c:v>17.199999999999914</c:v>
                </c:pt>
                <c:pt idx="623">
                  <c:v>17.299999999999915</c:v>
                </c:pt>
                <c:pt idx="624">
                  <c:v>17.399999999999917</c:v>
                </c:pt>
                <c:pt idx="625">
                  <c:v>17.499999999999918</c:v>
                </c:pt>
                <c:pt idx="626">
                  <c:v>17.59999999999992</c:v>
                </c:pt>
                <c:pt idx="627">
                  <c:v>17.699999999999921</c:v>
                </c:pt>
                <c:pt idx="628">
                  <c:v>17.799999999999923</c:v>
                </c:pt>
                <c:pt idx="629">
                  <c:v>17.899999999999924</c:v>
                </c:pt>
                <c:pt idx="630">
                  <c:v>17.999999999999925</c:v>
                </c:pt>
                <c:pt idx="631">
                  <c:v>18.099999999999927</c:v>
                </c:pt>
                <c:pt idx="632">
                  <c:v>18.199999999999928</c:v>
                </c:pt>
                <c:pt idx="633">
                  <c:v>18.29999999999993</c:v>
                </c:pt>
                <c:pt idx="634">
                  <c:v>18.399999999999931</c:v>
                </c:pt>
                <c:pt idx="635">
                  <c:v>18.499999999999932</c:v>
                </c:pt>
                <c:pt idx="636">
                  <c:v>18.599999999999934</c:v>
                </c:pt>
                <c:pt idx="637">
                  <c:v>18.699999999999935</c:v>
                </c:pt>
                <c:pt idx="638">
                  <c:v>18.799999999999937</c:v>
                </c:pt>
                <c:pt idx="639">
                  <c:v>18.899999999999938</c:v>
                </c:pt>
                <c:pt idx="640">
                  <c:v>18.99999999999994</c:v>
                </c:pt>
                <c:pt idx="641">
                  <c:v>19.099999999999941</c:v>
                </c:pt>
                <c:pt idx="642">
                  <c:v>19.199999999999942</c:v>
                </c:pt>
                <c:pt idx="643">
                  <c:v>19.299999999999944</c:v>
                </c:pt>
                <c:pt idx="644">
                  <c:v>19.399999999999945</c:v>
                </c:pt>
                <c:pt idx="645">
                  <c:v>19.499999999999947</c:v>
                </c:pt>
                <c:pt idx="646">
                  <c:v>19.599999999999948</c:v>
                </c:pt>
                <c:pt idx="647">
                  <c:v>19.69999999999995</c:v>
                </c:pt>
                <c:pt idx="648">
                  <c:v>19.799999999999951</c:v>
                </c:pt>
                <c:pt idx="649">
                  <c:v>19.899999999999952</c:v>
                </c:pt>
                <c:pt idx="650">
                  <c:v>19.999999999999954</c:v>
                </c:pt>
                <c:pt idx="651">
                  <c:v>20.099999999999955</c:v>
                </c:pt>
                <c:pt idx="652">
                  <c:v>20.199999999999957</c:v>
                </c:pt>
                <c:pt idx="653">
                  <c:v>20.299999999999958</c:v>
                </c:pt>
                <c:pt idx="654">
                  <c:v>20.399999999999959</c:v>
                </c:pt>
                <c:pt idx="655">
                  <c:v>20.499999999999961</c:v>
                </c:pt>
                <c:pt idx="656">
                  <c:v>20.599999999999962</c:v>
                </c:pt>
                <c:pt idx="657">
                  <c:v>20.699999999999964</c:v>
                </c:pt>
                <c:pt idx="658">
                  <c:v>20.799999999999965</c:v>
                </c:pt>
                <c:pt idx="659">
                  <c:v>20.899999999999967</c:v>
                </c:pt>
                <c:pt idx="660">
                  <c:v>20.999999999999968</c:v>
                </c:pt>
                <c:pt idx="661">
                  <c:v>21.099999999999969</c:v>
                </c:pt>
                <c:pt idx="662">
                  <c:v>21.199999999999971</c:v>
                </c:pt>
                <c:pt idx="663">
                  <c:v>21.299999999999972</c:v>
                </c:pt>
                <c:pt idx="664">
                  <c:v>21.399999999999974</c:v>
                </c:pt>
                <c:pt idx="665">
                  <c:v>21.499999999999975</c:v>
                </c:pt>
                <c:pt idx="666">
                  <c:v>21.599999999999977</c:v>
                </c:pt>
                <c:pt idx="667">
                  <c:v>21.699999999999978</c:v>
                </c:pt>
                <c:pt idx="668">
                  <c:v>21.799999999999979</c:v>
                </c:pt>
                <c:pt idx="669">
                  <c:v>21.899999999999981</c:v>
                </c:pt>
                <c:pt idx="670">
                  <c:v>21.999999999999982</c:v>
                </c:pt>
                <c:pt idx="671">
                  <c:v>22.099999999999984</c:v>
                </c:pt>
                <c:pt idx="672">
                  <c:v>22.199999999999985</c:v>
                </c:pt>
                <c:pt idx="673">
                  <c:v>22.299999999999986</c:v>
                </c:pt>
                <c:pt idx="674">
                  <c:v>22.399999999999988</c:v>
                </c:pt>
                <c:pt idx="675">
                  <c:v>22.499999999999989</c:v>
                </c:pt>
                <c:pt idx="676">
                  <c:v>22.599999999999991</c:v>
                </c:pt>
                <c:pt idx="677">
                  <c:v>22.699999999999992</c:v>
                </c:pt>
                <c:pt idx="678">
                  <c:v>22.799999999999994</c:v>
                </c:pt>
                <c:pt idx="679">
                  <c:v>22.899999999999995</c:v>
                </c:pt>
                <c:pt idx="680">
                  <c:v>22.999999999999996</c:v>
                </c:pt>
                <c:pt idx="681">
                  <c:v>23.099999999999998</c:v>
                </c:pt>
                <c:pt idx="682">
                  <c:v>23.2</c:v>
                </c:pt>
                <c:pt idx="683">
                  <c:v>23.3</c:v>
                </c:pt>
                <c:pt idx="684">
                  <c:v>23.400000000000002</c:v>
                </c:pt>
                <c:pt idx="685">
                  <c:v>23.500000000000004</c:v>
                </c:pt>
                <c:pt idx="686">
                  <c:v>23.600000000000005</c:v>
                </c:pt>
                <c:pt idx="687">
                  <c:v>23.700000000000006</c:v>
                </c:pt>
                <c:pt idx="688">
                  <c:v>23.800000000000008</c:v>
                </c:pt>
                <c:pt idx="689">
                  <c:v>23.900000000000009</c:v>
                </c:pt>
                <c:pt idx="690">
                  <c:v>24.000000000000011</c:v>
                </c:pt>
                <c:pt idx="691">
                  <c:v>24.100000000000012</c:v>
                </c:pt>
                <c:pt idx="692">
                  <c:v>24.200000000000014</c:v>
                </c:pt>
                <c:pt idx="693">
                  <c:v>24.300000000000015</c:v>
                </c:pt>
                <c:pt idx="694">
                  <c:v>24.400000000000016</c:v>
                </c:pt>
                <c:pt idx="695">
                  <c:v>24.500000000000018</c:v>
                </c:pt>
                <c:pt idx="696">
                  <c:v>24.600000000000019</c:v>
                </c:pt>
                <c:pt idx="697">
                  <c:v>24.700000000000021</c:v>
                </c:pt>
                <c:pt idx="698">
                  <c:v>24.800000000000022</c:v>
                </c:pt>
                <c:pt idx="699">
                  <c:v>24.900000000000023</c:v>
                </c:pt>
                <c:pt idx="700">
                  <c:v>25.000000000000025</c:v>
                </c:pt>
                <c:pt idx="701">
                  <c:v>25.100000000000026</c:v>
                </c:pt>
                <c:pt idx="702">
                  <c:v>25.200000000000028</c:v>
                </c:pt>
                <c:pt idx="703">
                  <c:v>25.300000000000029</c:v>
                </c:pt>
                <c:pt idx="704">
                  <c:v>25.400000000000031</c:v>
                </c:pt>
                <c:pt idx="705">
                  <c:v>25.500000000000032</c:v>
                </c:pt>
                <c:pt idx="706">
                  <c:v>25.600000000000033</c:v>
                </c:pt>
                <c:pt idx="707">
                  <c:v>25.700000000000035</c:v>
                </c:pt>
                <c:pt idx="708">
                  <c:v>25.800000000000036</c:v>
                </c:pt>
                <c:pt idx="709">
                  <c:v>25.900000000000038</c:v>
                </c:pt>
                <c:pt idx="710">
                  <c:v>26.000000000000039</c:v>
                </c:pt>
                <c:pt idx="711">
                  <c:v>26.100000000000041</c:v>
                </c:pt>
                <c:pt idx="712">
                  <c:v>26.200000000000042</c:v>
                </c:pt>
                <c:pt idx="713">
                  <c:v>26.300000000000043</c:v>
                </c:pt>
                <c:pt idx="714">
                  <c:v>26.400000000000045</c:v>
                </c:pt>
                <c:pt idx="715">
                  <c:v>26.500000000000046</c:v>
                </c:pt>
                <c:pt idx="716">
                  <c:v>26.600000000000048</c:v>
                </c:pt>
                <c:pt idx="717">
                  <c:v>26.700000000000049</c:v>
                </c:pt>
                <c:pt idx="718">
                  <c:v>26.80000000000005</c:v>
                </c:pt>
                <c:pt idx="719">
                  <c:v>26.900000000000052</c:v>
                </c:pt>
                <c:pt idx="720">
                  <c:v>27.000000000000053</c:v>
                </c:pt>
                <c:pt idx="721">
                  <c:v>27.100000000000055</c:v>
                </c:pt>
                <c:pt idx="722">
                  <c:v>27.200000000000056</c:v>
                </c:pt>
                <c:pt idx="723">
                  <c:v>27.300000000000058</c:v>
                </c:pt>
                <c:pt idx="724">
                  <c:v>27.400000000000059</c:v>
                </c:pt>
                <c:pt idx="725">
                  <c:v>27.50000000000006</c:v>
                </c:pt>
                <c:pt idx="726">
                  <c:v>27.600000000000062</c:v>
                </c:pt>
                <c:pt idx="727">
                  <c:v>27.700000000000063</c:v>
                </c:pt>
                <c:pt idx="728">
                  <c:v>27.800000000000065</c:v>
                </c:pt>
                <c:pt idx="729">
                  <c:v>27.900000000000066</c:v>
                </c:pt>
                <c:pt idx="730">
                  <c:v>28.000000000000068</c:v>
                </c:pt>
                <c:pt idx="731">
                  <c:v>28.100000000000069</c:v>
                </c:pt>
                <c:pt idx="732">
                  <c:v>28.20000000000007</c:v>
                </c:pt>
                <c:pt idx="733">
                  <c:v>28.300000000000072</c:v>
                </c:pt>
                <c:pt idx="734">
                  <c:v>28.400000000000073</c:v>
                </c:pt>
                <c:pt idx="735">
                  <c:v>28.500000000000075</c:v>
                </c:pt>
                <c:pt idx="736">
                  <c:v>28.600000000000076</c:v>
                </c:pt>
                <c:pt idx="737">
                  <c:v>28.700000000000077</c:v>
                </c:pt>
                <c:pt idx="738">
                  <c:v>28.800000000000079</c:v>
                </c:pt>
                <c:pt idx="739">
                  <c:v>28.90000000000008</c:v>
                </c:pt>
                <c:pt idx="740">
                  <c:v>29.000000000000082</c:v>
                </c:pt>
                <c:pt idx="741">
                  <c:v>29.100000000000083</c:v>
                </c:pt>
                <c:pt idx="742">
                  <c:v>29.200000000000085</c:v>
                </c:pt>
                <c:pt idx="743">
                  <c:v>29.300000000000086</c:v>
                </c:pt>
                <c:pt idx="744">
                  <c:v>29.400000000000087</c:v>
                </c:pt>
                <c:pt idx="745">
                  <c:v>29.500000000000089</c:v>
                </c:pt>
                <c:pt idx="746">
                  <c:v>29.60000000000009</c:v>
                </c:pt>
                <c:pt idx="747">
                  <c:v>29.700000000000092</c:v>
                </c:pt>
                <c:pt idx="748">
                  <c:v>29.800000000000093</c:v>
                </c:pt>
                <c:pt idx="749">
                  <c:v>29.900000000000095</c:v>
                </c:pt>
                <c:pt idx="750">
                  <c:v>30.000000000000096</c:v>
                </c:pt>
                <c:pt idx="751">
                  <c:v>30.100000000000097</c:v>
                </c:pt>
                <c:pt idx="752">
                  <c:v>30.200000000000099</c:v>
                </c:pt>
                <c:pt idx="753">
                  <c:v>30.3000000000001</c:v>
                </c:pt>
                <c:pt idx="754">
                  <c:v>30.400000000000102</c:v>
                </c:pt>
                <c:pt idx="755">
                  <c:v>30.500000000000103</c:v>
                </c:pt>
                <c:pt idx="756">
                  <c:v>30.600000000000104</c:v>
                </c:pt>
                <c:pt idx="757">
                  <c:v>30.700000000000106</c:v>
                </c:pt>
                <c:pt idx="758">
                  <c:v>30.800000000000107</c:v>
                </c:pt>
                <c:pt idx="759">
                  <c:v>30.900000000000109</c:v>
                </c:pt>
                <c:pt idx="760">
                  <c:v>31.00000000000011</c:v>
                </c:pt>
                <c:pt idx="761">
                  <c:v>31.100000000000112</c:v>
                </c:pt>
                <c:pt idx="762">
                  <c:v>31.200000000000113</c:v>
                </c:pt>
                <c:pt idx="763">
                  <c:v>31.300000000000114</c:v>
                </c:pt>
                <c:pt idx="764">
                  <c:v>31.400000000000116</c:v>
                </c:pt>
                <c:pt idx="765">
                  <c:v>31.500000000000117</c:v>
                </c:pt>
                <c:pt idx="766">
                  <c:v>31.600000000000119</c:v>
                </c:pt>
                <c:pt idx="767">
                  <c:v>31.70000000000012</c:v>
                </c:pt>
                <c:pt idx="768">
                  <c:v>31.800000000000122</c:v>
                </c:pt>
                <c:pt idx="769">
                  <c:v>31.900000000000123</c:v>
                </c:pt>
                <c:pt idx="770">
                  <c:v>32.000000000000121</c:v>
                </c:pt>
                <c:pt idx="771">
                  <c:v>32.100000000000122</c:v>
                </c:pt>
                <c:pt idx="772">
                  <c:v>32.200000000000124</c:v>
                </c:pt>
                <c:pt idx="773">
                  <c:v>32.300000000000125</c:v>
                </c:pt>
                <c:pt idx="774">
                  <c:v>32.400000000000126</c:v>
                </c:pt>
                <c:pt idx="775">
                  <c:v>32.500000000000128</c:v>
                </c:pt>
                <c:pt idx="776">
                  <c:v>32.600000000000129</c:v>
                </c:pt>
                <c:pt idx="777">
                  <c:v>32.700000000000131</c:v>
                </c:pt>
                <c:pt idx="778">
                  <c:v>32.800000000000132</c:v>
                </c:pt>
                <c:pt idx="779">
                  <c:v>32.900000000000134</c:v>
                </c:pt>
                <c:pt idx="780">
                  <c:v>33.000000000000135</c:v>
                </c:pt>
                <c:pt idx="781">
                  <c:v>33.100000000000136</c:v>
                </c:pt>
                <c:pt idx="782">
                  <c:v>33.200000000000138</c:v>
                </c:pt>
                <c:pt idx="783">
                  <c:v>33.300000000000139</c:v>
                </c:pt>
                <c:pt idx="784">
                  <c:v>33.400000000000141</c:v>
                </c:pt>
                <c:pt idx="785">
                  <c:v>33.500000000000142</c:v>
                </c:pt>
                <c:pt idx="786">
                  <c:v>33.600000000000144</c:v>
                </c:pt>
                <c:pt idx="787">
                  <c:v>33.700000000000145</c:v>
                </c:pt>
                <c:pt idx="788">
                  <c:v>33.800000000000146</c:v>
                </c:pt>
                <c:pt idx="789">
                  <c:v>33.900000000000148</c:v>
                </c:pt>
                <c:pt idx="790">
                  <c:v>34.000000000000149</c:v>
                </c:pt>
                <c:pt idx="791">
                  <c:v>34.100000000000151</c:v>
                </c:pt>
                <c:pt idx="792">
                  <c:v>34.200000000000152</c:v>
                </c:pt>
                <c:pt idx="793">
                  <c:v>34.300000000000153</c:v>
                </c:pt>
                <c:pt idx="794">
                  <c:v>34.400000000000155</c:v>
                </c:pt>
                <c:pt idx="795">
                  <c:v>34.500000000000156</c:v>
                </c:pt>
                <c:pt idx="796">
                  <c:v>34.600000000000158</c:v>
                </c:pt>
                <c:pt idx="797">
                  <c:v>34.700000000000159</c:v>
                </c:pt>
                <c:pt idx="798">
                  <c:v>34.800000000000161</c:v>
                </c:pt>
                <c:pt idx="799">
                  <c:v>34.900000000000162</c:v>
                </c:pt>
                <c:pt idx="800">
                  <c:v>35.000000000000163</c:v>
                </c:pt>
                <c:pt idx="801">
                  <c:v>35.100000000000165</c:v>
                </c:pt>
                <c:pt idx="802">
                  <c:v>35.200000000000166</c:v>
                </c:pt>
                <c:pt idx="803">
                  <c:v>35.300000000000168</c:v>
                </c:pt>
                <c:pt idx="804">
                  <c:v>35.400000000000169</c:v>
                </c:pt>
                <c:pt idx="805">
                  <c:v>35.500000000000171</c:v>
                </c:pt>
                <c:pt idx="806">
                  <c:v>35.600000000000172</c:v>
                </c:pt>
                <c:pt idx="807">
                  <c:v>35.700000000000173</c:v>
                </c:pt>
                <c:pt idx="808">
                  <c:v>35.800000000000175</c:v>
                </c:pt>
                <c:pt idx="809">
                  <c:v>35.900000000000176</c:v>
                </c:pt>
                <c:pt idx="810">
                  <c:v>36.000000000000178</c:v>
                </c:pt>
                <c:pt idx="811">
                  <c:v>36.100000000000179</c:v>
                </c:pt>
                <c:pt idx="812">
                  <c:v>36.20000000000018</c:v>
                </c:pt>
                <c:pt idx="813">
                  <c:v>36.300000000000182</c:v>
                </c:pt>
                <c:pt idx="814">
                  <c:v>36.400000000000183</c:v>
                </c:pt>
                <c:pt idx="815">
                  <c:v>36.500000000000185</c:v>
                </c:pt>
                <c:pt idx="816">
                  <c:v>36.600000000000186</c:v>
                </c:pt>
                <c:pt idx="817">
                  <c:v>36.700000000000188</c:v>
                </c:pt>
                <c:pt idx="818">
                  <c:v>36.800000000000189</c:v>
                </c:pt>
                <c:pt idx="819">
                  <c:v>36.90000000000019</c:v>
                </c:pt>
                <c:pt idx="820">
                  <c:v>37.000000000000192</c:v>
                </c:pt>
                <c:pt idx="821">
                  <c:v>37.100000000000193</c:v>
                </c:pt>
                <c:pt idx="822">
                  <c:v>37.200000000000195</c:v>
                </c:pt>
                <c:pt idx="823">
                  <c:v>37.300000000000196</c:v>
                </c:pt>
                <c:pt idx="824">
                  <c:v>37.400000000000198</c:v>
                </c:pt>
                <c:pt idx="825">
                  <c:v>37.500000000000199</c:v>
                </c:pt>
                <c:pt idx="826">
                  <c:v>37.6000000000002</c:v>
                </c:pt>
                <c:pt idx="827">
                  <c:v>37.700000000000202</c:v>
                </c:pt>
                <c:pt idx="828">
                  <c:v>37.800000000000203</c:v>
                </c:pt>
                <c:pt idx="829">
                  <c:v>37.900000000000205</c:v>
                </c:pt>
                <c:pt idx="830">
                  <c:v>38.000000000000206</c:v>
                </c:pt>
                <c:pt idx="831">
                  <c:v>38.100000000000207</c:v>
                </c:pt>
                <c:pt idx="832">
                  <c:v>38.200000000000209</c:v>
                </c:pt>
                <c:pt idx="833">
                  <c:v>38.30000000000021</c:v>
                </c:pt>
                <c:pt idx="834">
                  <c:v>38.400000000000212</c:v>
                </c:pt>
                <c:pt idx="835">
                  <c:v>38.500000000000213</c:v>
                </c:pt>
                <c:pt idx="836">
                  <c:v>38.600000000000215</c:v>
                </c:pt>
                <c:pt idx="837">
                  <c:v>38.700000000000216</c:v>
                </c:pt>
                <c:pt idx="838">
                  <c:v>38.800000000000217</c:v>
                </c:pt>
                <c:pt idx="839">
                  <c:v>38.900000000000219</c:v>
                </c:pt>
                <c:pt idx="840">
                  <c:v>39.00000000000022</c:v>
                </c:pt>
                <c:pt idx="841">
                  <c:v>39.100000000000222</c:v>
                </c:pt>
                <c:pt idx="842">
                  <c:v>39.200000000000223</c:v>
                </c:pt>
                <c:pt idx="843">
                  <c:v>39.300000000000225</c:v>
                </c:pt>
                <c:pt idx="844">
                  <c:v>39.400000000000226</c:v>
                </c:pt>
                <c:pt idx="845">
                  <c:v>39.500000000000227</c:v>
                </c:pt>
                <c:pt idx="846">
                  <c:v>39.600000000000229</c:v>
                </c:pt>
                <c:pt idx="847">
                  <c:v>39.70000000000023</c:v>
                </c:pt>
                <c:pt idx="848">
                  <c:v>39.800000000000232</c:v>
                </c:pt>
                <c:pt idx="849">
                  <c:v>39.900000000000233</c:v>
                </c:pt>
                <c:pt idx="850">
                  <c:v>40.000000000000234</c:v>
                </c:pt>
                <c:pt idx="851">
                  <c:v>40.100000000000236</c:v>
                </c:pt>
                <c:pt idx="852">
                  <c:v>40.200000000000237</c:v>
                </c:pt>
                <c:pt idx="853">
                  <c:v>40.300000000000239</c:v>
                </c:pt>
                <c:pt idx="854">
                  <c:v>40.40000000000024</c:v>
                </c:pt>
                <c:pt idx="855">
                  <c:v>40.500000000000242</c:v>
                </c:pt>
                <c:pt idx="856">
                  <c:v>40.600000000000243</c:v>
                </c:pt>
                <c:pt idx="857">
                  <c:v>40.700000000000244</c:v>
                </c:pt>
                <c:pt idx="858">
                  <c:v>40.800000000000246</c:v>
                </c:pt>
                <c:pt idx="859">
                  <c:v>40.900000000000247</c:v>
                </c:pt>
                <c:pt idx="860">
                  <c:v>41.000000000000249</c:v>
                </c:pt>
                <c:pt idx="861">
                  <c:v>41.10000000000025</c:v>
                </c:pt>
                <c:pt idx="862">
                  <c:v>41.200000000000252</c:v>
                </c:pt>
                <c:pt idx="863">
                  <c:v>41.300000000000253</c:v>
                </c:pt>
                <c:pt idx="864">
                  <c:v>41.400000000000254</c:v>
                </c:pt>
                <c:pt idx="865">
                  <c:v>41.500000000000256</c:v>
                </c:pt>
                <c:pt idx="866">
                  <c:v>41.600000000000257</c:v>
                </c:pt>
                <c:pt idx="867">
                  <c:v>41.700000000000259</c:v>
                </c:pt>
                <c:pt idx="868">
                  <c:v>41.80000000000026</c:v>
                </c:pt>
                <c:pt idx="869">
                  <c:v>41.900000000000261</c:v>
                </c:pt>
                <c:pt idx="870">
                  <c:v>42.000000000000263</c:v>
                </c:pt>
                <c:pt idx="871">
                  <c:v>42.100000000000264</c:v>
                </c:pt>
                <c:pt idx="872">
                  <c:v>42.200000000000266</c:v>
                </c:pt>
                <c:pt idx="873">
                  <c:v>42.300000000000267</c:v>
                </c:pt>
                <c:pt idx="874">
                  <c:v>42.400000000000269</c:v>
                </c:pt>
                <c:pt idx="875">
                  <c:v>42.50000000000027</c:v>
                </c:pt>
                <c:pt idx="876">
                  <c:v>42.600000000000271</c:v>
                </c:pt>
                <c:pt idx="877">
                  <c:v>42.700000000000273</c:v>
                </c:pt>
                <c:pt idx="878">
                  <c:v>42.800000000000274</c:v>
                </c:pt>
                <c:pt idx="879">
                  <c:v>42.900000000000276</c:v>
                </c:pt>
                <c:pt idx="880">
                  <c:v>43.000000000000277</c:v>
                </c:pt>
                <c:pt idx="881">
                  <c:v>43.100000000000279</c:v>
                </c:pt>
                <c:pt idx="882">
                  <c:v>43.20000000000028</c:v>
                </c:pt>
                <c:pt idx="883">
                  <c:v>43.300000000000281</c:v>
                </c:pt>
                <c:pt idx="884">
                  <c:v>43.400000000000283</c:v>
                </c:pt>
                <c:pt idx="885">
                  <c:v>43.500000000000284</c:v>
                </c:pt>
                <c:pt idx="886">
                  <c:v>43.600000000000286</c:v>
                </c:pt>
                <c:pt idx="887">
                  <c:v>43.700000000000287</c:v>
                </c:pt>
                <c:pt idx="888">
                  <c:v>43.800000000000288</c:v>
                </c:pt>
                <c:pt idx="889">
                  <c:v>43.90000000000029</c:v>
                </c:pt>
                <c:pt idx="890">
                  <c:v>44.000000000000291</c:v>
                </c:pt>
                <c:pt idx="891">
                  <c:v>44.100000000000293</c:v>
                </c:pt>
                <c:pt idx="892">
                  <c:v>44.200000000000294</c:v>
                </c:pt>
                <c:pt idx="893">
                  <c:v>44.300000000000296</c:v>
                </c:pt>
                <c:pt idx="894">
                  <c:v>44.400000000000297</c:v>
                </c:pt>
                <c:pt idx="895">
                  <c:v>44.500000000000298</c:v>
                </c:pt>
                <c:pt idx="896">
                  <c:v>44.6000000000003</c:v>
                </c:pt>
                <c:pt idx="897">
                  <c:v>44.700000000000301</c:v>
                </c:pt>
                <c:pt idx="898">
                  <c:v>44.800000000000303</c:v>
                </c:pt>
                <c:pt idx="899">
                  <c:v>44.900000000000304</c:v>
                </c:pt>
                <c:pt idx="900">
                  <c:v>45.000000000000306</c:v>
                </c:pt>
                <c:pt idx="901">
                  <c:v>45.100000000000307</c:v>
                </c:pt>
                <c:pt idx="902">
                  <c:v>45.200000000000308</c:v>
                </c:pt>
                <c:pt idx="903">
                  <c:v>45.30000000000031</c:v>
                </c:pt>
                <c:pt idx="904">
                  <c:v>45.400000000000311</c:v>
                </c:pt>
                <c:pt idx="905">
                  <c:v>45.500000000000313</c:v>
                </c:pt>
                <c:pt idx="906">
                  <c:v>45.600000000000314</c:v>
                </c:pt>
                <c:pt idx="907">
                  <c:v>45.700000000000315</c:v>
                </c:pt>
                <c:pt idx="908">
                  <c:v>45.800000000000317</c:v>
                </c:pt>
                <c:pt idx="909">
                  <c:v>45.900000000000318</c:v>
                </c:pt>
                <c:pt idx="910">
                  <c:v>46.00000000000032</c:v>
                </c:pt>
                <c:pt idx="911">
                  <c:v>46.100000000000321</c:v>
                </c:pt>
                <c:pt idx="912">
                  <c:v>46.200000000000323</c:v>
                </c:pt>
                <c:pt idx="913">
                  <c:v>46.300000000000324</c:v>
                </c:pt>
                <c:pt idx="914">
                  <c:v>46.400000000000325</c:v>
                </c:pt>
                <c:pt idx="915">
                  <c:v>46.500000000000327</c:v>
                </c:pt>
                <c:pt idx="916">
                  <c:v>46.600000000000328</c:v>
                </c:pt>
                <c:pt idx="917">
                  <c:v>46.70000000000033</c:v>
                </c:pt>
                <c:pt idx="918">
                  <c:v>46.800000000000331</c:v>
                </c:pt>
                <c:pt idx="919">
                  <c:v>46.900000000000333</c:v>
                </c:pt>
                <c:pt idx="920">
                  <c:v>47.000000000000334</c:v>
                </c:pt>
                <c:pt idx="921">
                  <c:v>47.100000000000335</c:v>
                </c:pt>
                <c:pt idx="922">
                  <c:v>47.200000000000337</c:v>
                </c:pt>
                <c:pt idx="923">
                  <c:v>47.300000000000338</c:v>
                </c:pt>
                <c:pt idx="924">
                  <c:v>47.40000000000034</c:v>
                </c:pt>
                <c:pt idx="925">
                  <c:v>47.500000000000341</c:v>
                </c:pt>
                <c:pt idx="926">
                  <c:v>47.600000000000342</c:v>
                </c:pt>
                <c:pt idx="927">
                  <c:v>47.700000000000344</c:v>
                </c:pt>
                <c:pt idx="928">
                  <c:v>47.800000000000345</c:v>
                </c:pt>
                <c:pt idx="929">
                  <c:v>47.900000000000347</c:v>
                </c:pt>
                <c:pt idx="930">
                  <c:v>48.000000000000348</c:v>
                </c:pt>
                <c:pt idx="931">
                  <c:v>48.10000000000035</c:v>
                </c:pt>
                <c:pt idx="932">
                  <c:v>48.200000000000351</c:v>
                </c:pt>
                <c:pt idx="933">
                  <c:v>48.300000000000352</c:v>
                </c:pt>
                <c:pt idx="934">
                  <c:v>48.400000000000354</c:v>
                </c:pt>
                <c:pt idx="935">
                  <c:v>48.500000000000355</c:v>
                </c:pt>
                <c:pt idx="936">
                  <c:v>48.600000000000357</c:v>
                </c:pt>
                <c:pt idx="937">
                  <c:v>48.700000000000358</c:v>
                </c:pt>
                <c:pt idx="938">
                  <c:v>48.80000000000036</c:v>
                </c:pt>
                <c:pt idx="939">
                  <c:v>48.900000000000361</c:v>
                </c:pt>
                <c:pt idx="940">
                  <c:v>49.000000000000362</c:v>
                </c:pt>
                <c:pt idx="941">
                  <c:v>49.100000000000364</c:v>
                </c:pt>
                <c:pt idx="942">
                  <c:v>49.200000000000365</c:v>
                </c:pt>
                <c:pt idx="943">
                  <c:v>49.300000000000367</c:v>
                </c:pt>
                <c:pt idx="944">
                  <c:v>49.400000000000368</c:v>
                </c:pt>
                <c:pt idx="945">
                  <c:v>49.500000000000369</c:v>
                </c:pt>
                <c:pt idx="946">
                  <c:v>49.500100000000373</c:v>
                </c:pt>
                <c:pt idx="947">
                  <c:v>49.500200000000376</c:v>
                </c:pt>
                <c:pt idx="948">
                  <c:v>49.500300000000379</c:v>
                </c:pt>
                <c:pt idx="949">
                  <c:v>49.500400000000383</c:v>
                </c:pt>
                <c:pt idx="950">
                  <c:v>49.500500000000386</c:v>
                </c:pt>
                <c:pt idx="951">
                  <c:v>49.500600000000389</c:v>
                </c:pt>
                <c:pt idx="952">
                  <c:v>49.500700000000393</c:v>
                </c:pt>
                <c:pt idx="953">
                  <c:v>49.500800000000396</c:v>
                </c:pt>
                <c:pt idx="954">
                  <c:v>49.500900000000399</c:v>
                </c:pt>
                <c:pt idx="955">
                  <c:v>49.501000000000403</c:v>
                </c:pt>
                <c:pt idx="956">
                  <c:v>49.501100000000406</c:v>
                </c:pt>
                <c:pt idx="957">
                  <c:v>49.501200000000409</c:v>
                </c:pt>
                <c:pt idx="958">
                  <c:v>49.501300000000413</c:v>
                </c:pt>
                <c:pt idx="959">
                  <c:v>49.501400000000416</c:v>
                </c:pt>
                <c:pt idx="960">
                  <c:v>49.501500000000419</c:v>
                </c:pt>
                <c:pt idx="961">
                  <c:v>49.501600000000423</c:v>
                </c:pt>
                <c:pt idx="962">
                  <c:v>49.501700000000426</c:v>
                </c:pt>
                <c:pt idx="963">
                  <c:v>49.501800000000429</c:v>
                </c:pt>
                <c:pt idx="964">
                  <c:v>49.501900000000433</c:v>
                </c:pt>
                <c:pt idx="965">
                  <c:v>49.502000000000436</c:v>
                </c:pt>
                <c:pt idx="966">
                  <c:v>49.502100000000439</c:v>
                </c:pt>
                <c:pt idx="967">
                  <c:v>49.502200000000443</c:v>
                </c:pt>
                <c:pt idx="968">
                  <c:v>49.502300000000446</c:v>
                </c:pt>
                <c:pt idx="969">
                  <c:v>49.502400000000449</c:v>
                </c:pt>
                <c:pt idx="970">
                  <c:v>49.502500000000452</c:v>
                </c:pt>
                <c:pt idx="971">
                  <c:v>49.502600000000456</c:v>
                </c:pt>
                <c:pt idx="972">
                  <c:v>49.502700000000459</c:v>
                </c:pt>
                <c:pt idx="973">
                  <c:v>49.502800000000462</c:v>
                </c:pt>
                <c:pt idx="974">
                  <c:v>49.502900000000466</c:v>
                </c:pt>
                <c:pt idx="975">
                  <c:v>49.503000000000469</c:v>
                </c:pt>
                <c:pt idx="976">
                  <c:v>49.503100000000472</c:v>
                </c:pt>
                <c:pt idx="977">
                  <c:v>49.503200000000476</c:v>
                </c:pt>
                <c:pt idx="978">
                  <c:v>49.503300000000479</c:v>
                </c:pt>
                <c:pt idx="979">
                  <c:v>49.503400000000482</c:v>
                </c:pt>
                <c:pt idx="980">
                  <c:v>49.503500000000486</c:v>
                </c:pt>
                <c:pt idx="981">
                  <c:v>49.503600000000489</c:v>
                </c:pt>
                <c:pt idx="982">
                  <c:v>49.503700000000492</c:v>
                </c:pt>
                <c:pt idx="983">
                  <c:v>49.503800000000496</c:v>
                </c:pt>
                <c:pt idx="984">
                  <c:v>49.503900000000499</c:v>
                </c:pt>
                <c:pt idx="985">
                  <c:v>49.504000000000502</c:v>
                </c:pt>
                <c:pt idx="986">
                  <c:v>49.504100000000506</c:v>
                </c:pt>
                <c:pt idx="987">
                  <c:v>49.504200000000509</c:v>
                </c:pt>
                <c:pt idx="988">
                  <c:v>49.504300000000512</c:v>
                </c:pt>
                <c:pt idx="989">
                  <c:v>49.504400000000516</c:v>
                </c:pt>
                <c:pt idx="990">
                  <c:v>49.504500000000519</c:v>
                </c:pt>
                <c:pt idx="991">
                  <c:v>49.504600000000522</c:v>
                </c:pt>
                <c:pt idx="992">
                  <c:v>49.504700000000526</c:v>
                </c:pt>
                <c:pt idx="993">
                  <c:v>49.504800000000529</c:v>
                </c:pt>
                <c:pt idx="994">
                  <c:v>49.504900000000532</c:v>
                </c:pt>
                <c:pt idx="995">
                  <c:v>49.505000000000535</c:v>
                </c:pt>
                <c:pt idx="996">
                  <c:v>49.505100000000539</c:v>
                </c:pt>
                <c:pt idx="997">
                  <c:v>49.505200000000542</c:v>
                </c:pt>
                <c:pt idx="998">
                  <c:v>49.505300000000545</c:v>
                </c:pt>
                <c:pt idx="999">
                  <c:v>49.505400000000549</c:v>
                </c:pt>
                <c:pt idx="1000">
                  <c:v>49.505500000000552</c:v>
                </c:pt>
              </c:numCache>
            </c:numRef>
          </c:xVal>
          <c:yVal>
            <c:numRef>
              <c:f>Calculs!$W$4:$W$1004</c:f>
              <c:numCache>
                <c:formatCode>0.00</c:formatCode>
                <c:ptCount val="1001"/>
                <c:pt idx="0">
                  <c:v>0</c:v>
                </c:pt>
                <c:pt idx="1">
                  <c:v>3.0647197136376152E-5</c:v>
                </c:pt>
                <c:pt idx="2">
                  <c:v>5.4363382356653926E-4</c:v>
                </c:pt>
                <c:pt idx="3">
                  <c:v>2.1324689584411756E-3</c:v>
                </c:pt>
                <c:pt idx="4">
                  <c:v>5.4949720127694043E-3</c:v>
                </c:pt>
                <c:pt idx="5">
                  <c:v>1.148515300439863E-2</c:v>
                </c:pt>
                <c:pt idx="6">
                  <c:v>2.1113857305825739E-2</c:v>
                </c:pt>
                <c:pt idx="7">
                  <c:v>3.5549504188363376E-2</c:v>
                </c:pt>
                <c:pt idx="8">
                  <c:v>5.6118917769029511E-2</c:v>
                </c:pt>
                <c:pt idx="9">
                  <c:v>8.4308249047103989E-2</c:v>
                </c:pt>
                <c:pt idx="10">
                  <c:v>0.12176398779357731</c:v>
                </c:pt>
                <c:pt idx="11">
                  <c:v>0.16788802694901953</c:v>
                </c:pt>
                <c:pt idx="12">
                  <c:v>0.22072915925929085</c:v>
                </c:pt>
                <c:pt idx="13">
                  <c:v>0.28000333319827903</c:v>
                </c:pt>
                <c:pt idx="14">
                  <c:v>0.34541832551782109</c:v>
                </c:pt>
                <c:pt idx="15">
                  <c:v>0.41670288938938566</c:v>
                </c:pt>
                <c:pt idx="16">
                  <c:v>0.49358856150744018</c:v>
                </c:pt>
                <c:pt idx="17">
                  <c:v>0.57580970591635294</c:v>
                </c:pt>
                <c:pt idx="18">
                  <c:v>0.66310355711976254</c:v>
                </c:pt>
                <c:pt idx="19">
                  <c:v>0.75521026246688694</c:v>
                </c:pt>
                <c:pt idx="20">
                  <c:v>0.8518729238105901</c:v>
                </c:pt>
                <c:pt idx="21">
                  <c:v>0.95283763843232594</c:v>
                </c:pt>
                <c:pt idx="22">
                  <c:v>1.0578535392294361</c:v>
                </c:pt>
                <c:pt idx="23">
                  <c:v>1.1666728341605748</c:v>
                </c:pt>
                <c:pt idx="24">
                  <c:v>1.2790508449453837</c:v>
                </c:pt>
                <c:pt idx="25">
                  <c:v>1.3947460450148532</c:v>
                </c:pt>
                <c:pt idx="26">
                  <c:v>1.5135200967091282</c:v>
                </c:pt>
                <c:pt idx="27">
                  <c:v>1.6361438552014713</c:v>
                </c:pt>
                <c:pt idx="28">
                  <c:v>1.7635451004481986</c:v>
                </c:pt>
                <c:pt idx="29">
                  <c:v>1.8957231352094237</c:v>
                </c:pt>
                <c:pt idx="30">
                  <c:v>2.0326771365145433</c:v>
                </c:pt>
                <c:pt idx="31">
                  <c:v>2.174406155526595</c:v>
                </c:pt>
                <c:pt idx="32">
                  <c:v>2.3209091174134322</c:v>
                </c:pt>
                <c:pt idx="33">
                  <c:v>2.4721848212257127</c:v>
                </c:pt>
                <c:pt idx="34">
                  <c:v>2.6282321700754241</c:v>
                </c:pt>
                <c:pt idx="35">
                  <c:v>2.7890499789691003</c:v>
                </c:pt>
                <c:pt idx="36">
                  <c:v>2.9546366995554787</c:v>
                </c:pt>
                <c:pt idx="37">
                  <c:v>3.1249906562692251</c:v>
                </c:pt>
                <c:pt idx="38">
                  <c:v>3.3001100462745763</c:v>
                </c:pt>
                <c:pt idx="39">
                  <c:v>3.4799929394157725</c:v>
                </c:pt>
                <c:pt idx="40">
                  <c:v>3.6646372781721466</c:v>
                </c:pt>
                <c:pt idx="41">
                  <c:v>3.8540408776181225</c:v>
                </c:pt>
                <c:pt idx="42">
                  <c:v>4.0482014253883429</c:v>
                </c:pt>
                <c:pt idx="43">
                  <c:v>4.2471164816481091</c:v>
                </c:pt>
                <c:pt idx="44">
                  <c:v>4.4507834790692957</c:v>
                </c:pt>
                <c:pt idx="45">
                  <c:v>4.6591997228119162</c:v>
                </c:pt>
                <c:pt idx="46">
                  <c:v>4.8723623905114533</c:v>
                </c:pt>
                <c:pt idx="47">
                  <c:v>5.0902685322720744</c:v>
                </c:pt>
                <c:pt idx="48">
                  <c:v>5.312915070665877</c:v>
                </c:pt>
                <c:pt idx="49">
                  <c:v>5.540298800738201</c:v>
                </c:pt>
                <c:pt idx="50">
                  <c:v>5.7724163900191865</c:v>
                </c:pt>
                <c:pt idx="51">
                  <c:v>6.0092643785415589</c:v>
                </c:pt>
                <c:pt idx="52">
                  <c:v>6.2508391788648137</c:v>
                </c:pt>
                <c:pt idx="53">
                  <c:v>6.4971370761057905</c:v>
                </c:pt>
                <c:pt idx="54">
                  <c:v>6.7481542279757321</c:v>
                </c:pt>
                <c:pt idx="55">
                  <c:v>7.0038866648239075</c:v>
                </c:pt>
                <c:pt idx="56">
                  <c:v>7.2643302896877993</c:v>
                </c:pt>
                <c:pt idx="57">
                  <c:v>7.5294808783499398</c:v>
                </c:pt>
                <c:pt idx="58">
                  <c:v>7.7993340794014374</c:v>
                </c:pt>
                <c:pt idx="59">
                  <c:v>8.0738854143121976</c:v>
                </c:pt>
                <c:pt idx="60">
                  <c:v>8.3531302775079315</c:v>
                </c:pt>
                <c:pt idx="61">
                  <c:v>8.6370639364539397</c:v>
                </c:pt>
                <c:pt idx="62">
                  <c:v>8.925681531745683</c:v>
                </c:pt>
                <c:pt idx="63">
                  <c:v>9.2189780772062697</c:v>
                </c:pt>
                <c:pt idx="64">
                  <c:v>9.5169484599907364</c:v>
                </c:pt>
                <c:pt idx="65">
                  <c:v>9.8195874406972532</c:v>
                </c:pt>
                <c:pt idx="66">
                  <c:v>10.126889653485261</c:v>
                </c:pt>
                <c:pt idx="67">
                  <c:v>10.438849606200494</c:v>
                </c:pt>
                <c:pt idx="68">
                  <c:v>10.755461680506951</c:v>
                </c:pt>
                <c:pt idx="69">
                  <c:v>11.076720132025885</c:v>
                </c:pt>
                <c:pt idx="70">
                  <c:v>11.402619090481663</c:v>
                </c:pt>
                <c:pt idx="71">
                  <c:v>11.733152559854673</c:v>
                </c:pt>
                <c:pt idx="72">
                  <c:v>12.068283144666403</c:v>
                </c:pt>
                <c:pt idx="73">
                  <c:v>12.407971530991659</c:v>
                </c:pt>
                <c:pt idx="74">
                  <c:v>12.752208663186735</c:v>
                </c:pt>
                <c:pt idx="75">
                  <c:v>13.100985360635024</c:v>
                </c:pt>
                <c:pt idx="76">
                  <c:v>13.454292318087115</c:v>
                </c:pt>
                <c:pt idx="77">
                  <c:v>13.812120106008026</c:v>
                </c:pt>
                <c:pt idx="78">
                  <c:v>14.1744591709316</c:v>
                </c:pt>
                <c:pt idx="79">
                  <c:v>14.541299835821876</c:v>
                </c:pt>
                <c:pt idx="80">
                  <c:v>14.912632300441722</c:v>
                </c:pt>
                <c:pt idx="81">
                  <c:v>15.288446641728376</c:v>
                </c:pt>
                <c:pt idx="82">
                  <c:v>15.668732814176087</c:v>
                </c:pt>
                <c:pt idx="83">
                  <c:v>16.053480650225804</c:v>
                </c:pt>
                <c:pt idx="84">
                  <c:v>16.442679860661844</c:v>
                </c:pt>
                <c:pt idx="85">
                  <c:v>16.836320035015529</c:v>
                </c:pt>
                <c:pt idx="86">
                  <c:v>17.234390641975828</c:v>
                </c:pt>
                <c:pt idx="87">
                  <c:v>17.636881029806837</c:v>
                </c:pt>
                <c:pt idx="88">
                  <c:v>18.043780426772326</c:v>
                </c:pt>
                <c:pt idx="89">
                  <c:v>18.455077941566977</c:v>
                </c:pt>
                <c:pt idx="90">
                  <c:v>18.87076256375461</c:v>
                </c:pt>
                <c:pt idx="91">
                  <c:v>19.29082316421324</c:v>
                </c:pt>
                <c:pt idx="92">
                  <c:v>19.715248495586788</c:v>
                </c:pt>
                <c:pt idx="93">
                  <c:v>20.14402719274376</c:v>
                </c:pt>
                <c:pt idx="94">
                  <c:v>20.57714777324248</c:v>
                </c:pt>
                <c:pt idx="95">
                  <c:v>21.01459863780315</c:v>
                </c:pt>
                <c:pt idx="96">
                  <c:v>21.456368070786528</c:v>
                </c:pt>
                <c:pt idx="97">
                  <c:v>21.902444240679255</c:v>
                </c:pt>
                <c:pt idx="98">
                  <c:v>22.352815200585777</c:v>
                </c:pt>
                <c:pt idx="99">
                  <c:v>22.807468888726888</c:v>
                </c:pt>
                <c:pt idx="100">
                  <c:v>23.266393128944681</c:v>
                </c:pt>
                <c:pt idx="101">
                  <c:v>23.729575631214171</c:v>
                </c:pt>
                <c:pt idx="102">
                  <c:v>24.197003992161186</c:v>
                </c:pt>
                <c:pt idx="103">
                  <c:v>24.668665695586885</c:v>
                </c:pt>
                <c:pt idx="104">
                  <c:v>25.144548112998464</c:v>
                </c:pt>
                <c:pt idx="105">
                  <c:v>25.62463850414634</c:v>
                </c:pt>
                <c:pt idx="106">
                  <c:v>26.108924017567556</c:v>
                </c:pt>
                <c:pt idx="107">
                  <c:v>26.597391691135496</c:v>
                </c:pt>
                <c:pt idx="108">
                  <c:v>27.090028452615844</c:v>
                </c:pt>
                <c:pt idx="109">
                  <c:v>27.586821120228567</c:v>
                </c:pt>
                <c:pt idx="110">
                  <c:v>28.0877564032163</c:v>
                </c:pt>
                <c:pt idx="111">
                  <c:v>28.592820902418516</c:v>
                </c:pt>
                <c:pt idx="112">
                  <c:v>29.102001110852008</c:v>
                </c:pt>
                <c:pt idx="113">
                  <c:v>29.615283414297181</c:v>
                </c:pt>
                <c:pt idx="114">
                  <c:v>30.132654091890394</c:v>
                </c:pt>
                <c:pt idx="115">
                  <c:v>30.654099316722213</c:v>
                </c:pt>
                <c:pt idx="116">
                  <c:v>31.179605156441468</c:v>
                </c:pt>
                <c:pt idx="117">
                  <c:v>31.709157573865212</c:v>
                </c:pt>
                <c:pt idx="118">
                  <c:v>32.242742427594337</c:v>
                </c:pt>
                <c:pt idx="119">
                  <c:v>32.780345472634949</c:v>
                </c:pt>
                <c:pt idx="120">
                  <c:v>33.321952361025502</c:v>
                </c:pt>
                <c:pt idx="121">
                  <c:v>33.867548642469387</c:v>
                </c:pt>
                <c:pt idx="122">
                  <c:v>34.417119764973251</c:v>
                </c:pt>
                <c:pt idx="123">
                  <c:v>34.970651075490643</c:v>
                </c:pt>
                <c:pt idx="124">
                  <c:v>35.52812782057137</c:v>
                </c:pt>
                <c:pt idx="125">
                  <c:v>36.089535147015972</c:v>
                </c:pt>
                <c:pt idx="126">
                  <c:v>36.654858102535869</c:v>
                </c:pt>
                <c:pt idx="127">
                  <c:v>37.224081636418539</c:v>
                </c:pt>
                <c:pt idx="128">
                  <c:v>37.797190600198107</c:v>
                </c:pt>
                <c:pt idx="129">
                  <c:v>38.373912388737885</c:v>
                </c:pt>
                <c:pt idx="130">
                  <c:v>38.953966295662596</c:v>
                </c:pt>
                <c:pt idx="131">
                  <c:v>39.537324996929357</c:v>
                </c:pt>
                <c:pt idx="132">
                  <c:v>40.123961108239548</c:v>
                </c:pt>
                <c:pt idx="133">
                  <c:v>40.713847186437597</c:v>
                </c:pt>
                <c:pt idx="134">
                  <c:v>41.306955730910609</c:v>
                </c:pt>
                <c:pt idx="135">
                  <c:v>41.903259184989011</c:v>
                </c:pt>
                <c:pt idx="136">
                  <c:v>42.502729937348107</c:v>
                </c:pt>
                <c:pt idx="137">
                  <c:v>43.105340323410147</c:v>
                </c:pt>
                <c:pt idx="138">
                  <c:v>43.711062626747129</c:v>
                </c:pt>
                <c:pt idx="139">
                  <c:v>44.319869080484033</c:v>
                </c:pt>
                <c:pt idx="140">
                  <c:v>44.931731868702293</c:v>
                </c:pt>
                <c:pt idx="141">
                  <c:v>45.546623127843539</c:v>
                </c:pt>
                <c:pt idx="142">
                  <c:v>46.164514948113286</c:v>
                </c:pt>
                <c:pt idx="143">
                  <c:v>46.78537937488484</c:v>
                </c:pt>
                <c:pt idx="144">
                  <c:v>47.409188410102736</c:v>
                </c:pt>
                <c:pt idx="145">
                  <c:v>48.035914013686074</c:v>
                </c:pt>
                <c:pt idx="146">
                  <c:v>48.665528104931326</c:v>
                </c:pt>
                <c:pt idx="147">
                  <c:v>49.2980025639147</c:v>
                </c:pt>
                <c:pt idx="148">
                  <c:v>49.933309232893777</c:v>
                </c:pt>
                <c:pt idx="149">
                  <c:v>50.571419917708369</c:v>
                </c:pt>
                <c:pt idx="150">
                  <c:v>51.212306389180497</c:v>
                </c:pt>
                <c:pt idx="151">
                  <c:v>51.855940384513339</c:v>
                </c:pt>
                <c:pt idx="152">
                  <c:v>52.502293608689008</c:v>
                </c:pt>
                <c:pt idx="153">
                  <c:v>53.151337735865106</c:v>
                </c:pt>
                <c:pt idx="154">
                  <c:v>53.803044410769886</c:v>
                </c:pt>
                <c:pt idx="155">
                  <c:v>54.457385250095832</c:v>
                </c:pt>
                <c:pt idx="156">
                  <c:v>55.11433184389184</c:v>
                </c:pt>
                <c:pt idx="157">
                  <c:v>55.773855756953338</c:v>
                </c:pt>
                <c:pt idx="158">
                  <c:v>56.435928530210823</c:v>
                </c:pt>
                <c:pt idx="159">
                  <c:v>57.100521682116366</c:v>
                </c:pt>
                <c:pt idx="160">
                  <c:v>57.767606710027842</c:v>
                </c:pt>
                <c:pt idx="161">
                  <c:v>58.43715509159135</c:v>
                </c:pt>
                <c:pt idx="162">
                  <c:v>59.109138286120931</c:v>
                </c:pt>
                <c:pt idx="163">
                  <c:v>59.783527735975909</c:v>
                </c:pt>
                <c:pt idx="164">
                  <c:v>60.460294867936113</c:v>
                </c:pt>
                <c:pt idx="165">
                  <c:v>61.139411094573688</c:v>
                </c:pt>
                <c:pt idx="166">
                  <c:v>61.820847815623033</c:v>
                </c:pt>
                <c:pt idx="167">
                  <c:v>62.504576419347067</c:v>
                </c:pt>
                <c:pt idx="168">
                  <c:v>63.19056828390088</c:v>
                </c:pt>
                <c:pt idx="169">
                  <c:v>63.878794778692473</c:v>
                </c:pt>
                <c:pt idx="170">
                  <c:v>64.569227265739769</c:v>
                </c:pt>
                <c:pt idx="171">
                  <c:v>65.261837101024724</c:v>
                </c:pt>
                <c:pt idx="172">
                  <c:v>65.95659563584401</c:v>
                </c:pt>
                <c:pt idx="173">
                  <c:v>66.653474218155822</c:v>
                </c:pt>
                <c:pt idx="174">
                  <c:v>67.352444193923461</c:v>
                </c:pt>
                <c:pt idx="175">
                  <c:v>68.053476908454911</c:v>
                </c:pt>
                <c:pt idx="176">
                  <c:v>68.756543707738544</c:v>
                </c:pt>
                <c:pt idx="177">
                  <c:v>69.461615939775399</c:v>
                </c:pt>
                <c:pt idx="178">
                  <c:v>70.16866495590638</c:v>
                </c:pt>
                <c:pt idx="179">
                  <c:v>70.877662112136335</c:v>
                </c:pt>
                <c:pt idx="180">
                  <c:v>71.588578770453381</c:v>
                </c:pt>
                <c:pt idx="181">
                  <c:v>72.301386300143903</c:v>
                </c:pt>
                <c:pt idx="182">
                  <c:v>73.016056079103095</c:v>
                </c:pt>
                <c:pt idx="183">
                  <c:v>73.732559495141018</c:v>
                </c:pt>
                <c:pt idx="184">
                  <c:v>74.450867947284124</c:v>
                </c:pt>
                <c:pt idx="185">
                  <c:v>75.170952847071689</c:v>
                </c:pt>
                <c:pt idx="186">
                  <c:v>75.892785619847743</c:v>
                </c:pt>
                <c:pt idx="187">
                  <c:v>76.61633770604783</c:v>
                </c:pt>
                <c:pt idx="188">
                  <c:v>77.3415805624808</c:v>
                </c:pt>
                <c:pt idx="189">
                  <c:v>78.068485663605784</c:v>
                </c:pt>
                <c:pt idx="190">
                  <c:v>78.797024502803225</c:v>
                </c:pt>
                <c:pt idx="191">
                  <c:v>79.527168593641392</c:v>
                </c:pt>
                <c:pt idx="192">
                  <c:v>80.258889471136968</c:v>
                </c:pt>
                <c:pt idx="193">
                  <c:v>80.992158693010452</c:v>
                </c:pt>
                <c:pt idx="194">
                  <c:v>81.726947840935736</c:v>
                </c:pt>
                <c:pt idx="195">
                  <c:v>82.463228521784245</c:v>
                </c:pt>
                <c:pt idx="196">
                  <c:v>83.20097236886312</c:v>
                </c:pt>
                <c:pt idx="197">
                  <c:v>83.940151043147807</c:v>
                </c:pt>
                <c:pt idx="198">
                  <c:v>84.680736234508444</c:v>
                </c:pt>
                <c:pt idx="199">
                  <c:v>85.422699662930441</c:v>
                </c:pt>
                <c:pt idx="200">
                  <c:v>86.166013079729083</c:v>
                </c:pt>
                <c:pt idx="201">
                  <c:v>86.910648268757456</c:v>
                </c:pt>
                <c:pt idx="202">
                  <c:v>87.656577047608877</c:v>
                </c:pt>
                <c:pt idx="203">
                  <c:v>88.403771268812349</c:v>
                </c:pt>
                <c:pt idx="204">
                  <c:v>89.152202821021888</c:v>
                </c:pt>
                <c:pt idx="205">
                  <c:v>89.901843630199394</c:v>
                </c:pt>
                <c:pt idx="206">
                  <c:v>90.65256926932166</c:v>
                </c:pt>
                <c:pt idx="207">
                  <c:v>91.404253730309321</c:v>
                </c:pt>
                <c:pt idx="208">
                  <c:v>92.156866697808198</c:v>
                </c:pt>
                <c:pt idx="209">
                  <c:v>92.910377916117682</c:v>
                </c:pt>
                <c:pt idx="210">
                  <c:v>93.664757190441023</c:v>
                </c:pt>
                <c:pt idx="211">
                  <c:v>94.419974388127272</c:v>
                </c:pt>
                <c:pt idx="212">
                  <c:v>95.175999439904189</c:v>
                </c:pt>
                <c:pt idx="213">
                  <c:v>95.932802341101819</c:v>
                </c:pt>
                <c:pt idx="214">
                  <c:v>96.690353152867431</c:v>
                </c:pt>
                <c:pt idx="215">
                  <c:v>97.448622003371042</c:v>
                </c:pt>
                <c:pt idx="216">
                  <c:v>98.207579089001712</c:v>
                </c:pt>
                <c:pt idx="217">
                  <c:v>98.967194675554936</c:v>
                </c:pt>
                <c:pt idx="218">
                  <c:v>99.727439099410162</c:v>
                </c:pt>
                <c:pt idx="219">
                  <c:v>100.48828276869936</c:v>
                </c:pt>
                <c:pt idx="220">
                  <c:v>101.24969616446582</c:v>
                </c:pt>
                <c:pt idx="221">
                  <c:v>102.01164984181385</c:v>
                </c:pt>
                <c:pt idx="222">
                  <c:v>102.77411443104835</c:v>
                </c:pt>
                <c:pt idx="223">
                  <c:v>103.5370606388052</c:v>
                </c:pt>
                <c:pt idx="224">
                  <c:v>104.30045924917181</c:v>
                </c:pt>
                <c:pt idx="225">
                  <c:v>105.06428112479783</c:v>
                </c:pt>
                <c:pt idx="226">
                  <c:v>105.82849720799626</c:v>
                </c:pt>
                <c:pt idx="227">
                  <c:v>106.59307852183483</c:v>
                </c:pt>
                <c:pt idx="228">
                  <c:v>107.35799617121668</c:v>
                </c:pt>
                <c:pt idx="229">
                  <c:v>108.12322134395255</c:v>
                </c:pt>
                <c:pt idx="230">
                  <c:v>108.8887253118216</c:v>
                </c:pt>
                <c:pt idx="231">
                  <c:v>109.65447943162293</c:v>
                </c:pt>
                <c:pt idx="232">
                  <c:v>110.42045514621691</c:v>
                </c:pt>
                <c:pt idx="233">
                  <c:v>111.18662398555627</c:v>
                </c:pt>
                <c:pt idx="234">
                  <c:v>111.95295756770714</c:v>
                </c:pt>
                <c:pt idx="235">
                  <c:v>112.71942759985997</c:v>
                </c:pt>
                <c:pt idx="236">
                  <c:v>113.48600587932994</c:v>
                </c:pt>
                <c:pt idx="237">
                  <c:v>114.25266429454744</c:v>
                </c:pt>
                <c:pt idx="238">
                  <c:v>115.01937482603815</c:v>
                </c:pt>
                <c:pt idx="239">
                  <c:v>115.78610954739248</c:v>
                </c:pt>
                <c:pt idx="240">
                  <c:v>116.55284062622519</c:v>
                </c:pt>
                <c:pt idx="241">
                  <c:v>117.31954032512398</c:v>
                </c:pt>
                <c:pt idx="242">
                  <c:v>118.08580095439372</c:v>
                </c:pt>
                <c:pt idx="243">
                  <c:v>118.85121002221776</c:v>
                </c:pt>
                <c:pt idx="244">
                  <c:v>119.61573305515959</c:v>
                </c:pt>
                <c:pt idx="245">
                  <c:v>120.37933575546407</c:v>
                </c:pt>
                <c:pt idx="246">
                  <c:v>121.14198400213843</c:v>
                </c:pt>
                <c:pt idx="247">
                  <c:v>121.9036438520146</c:v>
                </c:pt>
                <c:pt idx="248">
                  <c:v>122.66428154079337</c:v>
                </c:pt>
                <c:pt idx="249">
                  <c:v>123.4238634840692</c:v>
                </c:pt>
                <c:pt idx="250">
                  <c:v>124.18235627833694</c:v>
                </c:pt>
                <c:pt idx="251">
                  <c:v>124.93972670198012</c:v>
                </c:pt>
                <c:pt idx="252">
                  <c:v>125.69594171624043</c:v>
                </c:pt>
                <c:pt idx="253">
                  <c:v>126.45096846616835</c:v>
                </c:pt>
                <c:pt idx="254">
                  <c:v>127.20477428155631</c:v>
                </c:pt>
                <c:pt idx="255">
                  <c:v>127.95732667785195</c:v>
                </c:pt>
                <c:pt idx="256">
                  <c:v>128.70859335705447</c:v>
                </c:pt>
                <c:pt idx="257">
                  <c:v>129.45854220859096</c:v>
                </c:pt>
                <c:pt idx="258">
                  <c:v>130.2071413101757</c:v>
                </c:pt>
                <c:pt idx="259">
                  <c:v>130.95435892865032</c:v>
                </c:pt>
                <c:pt idx="260">
                  <c:v>131.70016352080575</c:v>
                </c:pt>
                <c:pt idx="261">
                  <c:v>132.44452373418622</c:v>
                </c:pt>
                <c:pt idx="262">
                  <c:v>133.18740840787441</c:v>
                </c:pt>
                <c:pt idx="263">
                  <c:v>133.92878657325872</c:v>
                </c:pt>
                <c:pt idx="264">
                  <c:v>134.66862745478298</c:v>
                </c:pt>
                <c:pt idx="265">
                  <c:v>135.40690047067636</c:v>
                </c:pt>
                <c:pt idx="266">
                  <c:v>136.14357523366718</c:v>
                </c:pt>
                <c:pt idx="267">
                  <c:v>136.87862155167738</c:v>
                </c:pt>
                <c:pt idx="268">
                  <c:v>137.61200942849928</c:v>
                </c:pt>
                <c:pt idx="269">
                  <c:v>138.34370906445488</c:v>
                </c:pt>
                <c:pt idx="270">
                  <c:v>139.07369085703644</c:v>
                </c:pt>
                <c:pt idx="271">
                  <c:v>139.80192540153021</c:v>
                </c:pt>
                <c:pt idx="272">
                  <c:v>140.52838349162178</c:v>
                </c:pt>
                <c:pt idx="273">
                  <c:v>141.25303611998348</c:v>
                </c:pt>
                <c:pt idx="274">
                  <c:v>141.97585447884532</c:v>
                </c:pt>
                <c:pt idx="275">
                  <c:v>142.69680996054683</c:v>
                </c:pt>
                <c:pt idx="276">
                  <c:v>143.41587415807248</c:v>
                </c:pt>
                <c:pt idx="277">
                  <c:v>144.13301886556951</c:v>
                </c:pt>
                <c:pt idx="278">
                  <c:v>144.8482160788478</c:v>
                </c:pt>
                <c:pt idx="279">
                  <c:v>145.561437995863</c:v>
                </c:pt>
                <c:pt idx="280">
                  <c:v>146.27265701718241</c:v>
                </c:pt>
                <c:pt idx="281">
                  <c:v>146.98184574643358</c:v>
                </c:pt>
                <c:pt idx="282">
                  <c:v>147.6889769907354</c:v>
                </c:pt>
                <c:pt idx="283">
                  <c:v>148.39402376111329</c:v>
                </c:pt>
                <c:pt idx="284">
                  <c:v>149.09745989699817</c:v>
                </c:pt>
                <c:pt idx="285">
                  <c:v>149.79976391698628</c:v>
                </c:pt>
                <c:pt idx="286">
                  <c:v>150.50091569047316</c:v>
                </c:pt>
                <c:pt idx="287">
                  <c:v>151.20089520121738</c:v>
                </c:pt>
                <c:pt idx="288">
                  <c:v>151.89968254769357</c:v>
                </c:pt>
                <c:pt idx="289">
                  <c:v>152.59725794343771</c:v>
                </c:pt>
                <c:pt idx="290">
                  <c:v>153.29360171738324</c:v>
                </c:pt>
                <c:pt idx="291">
                  <c:v>153.98869431418862</c:v>
                </c:pt>
                <c:pt idx="292">
                  <c:v>154.68251629455605</c:v>
                </c:pt>
                <c:pt idx="293">
                  <c:v>155.37504833554163</c:v>
                </c:pt>
                <c:pt idx="294">
                  <c:v>156.06627123085687</c:v>
                </c:pt>
                <c:pt idx="295">
                  <c:v>156.75616589116146</c:v>
                </c:pt>
                <c:pt idx="296">
                  <c:v>157.44471334434763</c:v>
                </c:pt>
                <c:pt idx="297">
                  <c:v>158.13189473581559</c:v>
                </c:pt>
                <c:pt idx="298">
                  <c:v>158.81769132874103</c:v>
                </c:pt>
                <c:pt idx="299">
                  <c:v>159.50208450433377</c:v>
                </c:pt>
                <c:pt idx="300">
                  <c:v>160.18505576208764</c:v>
                </c:pt>
                <c:pt idx="301">
                  <c:v>160.86658672002278</c:v>
                </c:pt>
                <c:pt idx="302">
                  <c:v>161.54665911491855</c:v>
                </c:pt>
                <c:pt idx="303">
                  <c:v>162.22525480253904</c:v>
                </c:pt>
                <c:pt idx="304">
                  <c:v>162.90235575784962</c:v>
                </c:pt>
                <c:pt idx="305">
                  <c:v>163.57794407522502</c:v>
                </c:pt>
                <c:pt idx="306">
                  <c:v>164.2520019686504</c:v>
                </c:pt>
                <c:pt idx="307">
                  <c:v>164.92451177191211</c:v>
                </c:pt>
                <c:pt idx="308">
                  <c:v>165.59545593878303</c:v>
                </c:pt>
                <c:pt idx="309">
                  <c:v>166.2648170431967</c:v>
                </c:pt>
                <c:pt idx="310">
                  <c:v>166.93257777941619</c:v>
                </c:pt>
                <c:pt idx="311">
                  <c:v>167.59872096219274</c:v>
                </c:pt>
                <c:pt idx="312">
                  <c:v>168.26322952691783</c:v>
                </c:pt>
                <c:pt idx="313">
                  <c:v>168.92608652976659</c:v>
                </c:pt>
                <c:pt idx="314">
                  <c:v>169.58727514783317</c:v>
                </c:pt>
                <c:pt idx="315">
                  <c:v>170.2467786792588</c:v>
                </c:pt>
                <c:pt idx="316">
                  <c:v>170.90458054335144</c:v>
                </c:pt>
                <c:pt idx="317">
                  <c:v>171.56066428069823</c:v>
                </c:pt>
                <c:pt idx="318">
                  <c:v>172.21501355326916</c:v>
                </c:pt>
                <c:pt idx="319">
                  <c:v>172.86761214451417</c:v>
                </c:pt>
                <c:pt idx="320">
                  <c:v>173.51844395945221</c:v>
                </c:pt>
                <c:pt idx="321">
                  <c:v>174.16749302475191</c:v>
                </c:pt>
                <c:pt idx="322">
                  <c:v>174.81474348880579</c:v>
                </c:pt>
                <c:pt idx="323">
                  <c:v>175.46017962179636</c:v>
                </c:pt>
                <c:pt idx="324">
                  <c:v>176.10378581575478</c:v>
                </c:pt>
                <c:pt idx="325">
                  <c:v>176.74554658461182</c:v>
                </c:pt>
                <c:pt idx="326">
                  <c:v>177.3854800344034</c:v>
                </c:pt>
                <c:pt idx="327">
                  <c:v>178.02360460802672</c:v>
                </c:pt>
                <c:pt idx="328">
                  <c:v>178.65990547444525</c:v>
                </c:pt>
                <c:pt idx="329">
                  <c:v>179.29436791983505</c:v>
                </c:pt>
                <c:pt idx="330">
                  <c:v>179.92697734760816</c:v>
                </c:pt>
                <c:pt idx="331">
                  <c:v>180.55771927842841</c:v>
                </c:pt>
                <c:pt idx="332">
                  <c:v>181.18657935022148</c:v>
                </c:pt>
                <c:pt idx="333">
                  <c:v>181.81354331817749</c:v>
                </c:pt>
                <c:pt idx="334">
                  <c:v>182.43859705474685</c:v>
                </c:pt>
                <c:pt idx="335">
                  <c:v>183.06172654962981</c:v>
                </c:pt>
                <c:pt idx="336">
                  <c:v>183.68291790975928</c:v>
                </c:pt>
                <c:pt idx="337">
                  <c:v>184.30215735927678</c:v>
                </c:pt>
                <c:pt idx="338">
                  <c:v>184.91943123950244</c:v>
                </c:pt>
                <c:pt idx="339">
                  <c:v>185.53472600889802</c:v>
                </c:pt>
                <c:pt idx="340">
                  <c:v>186.14802824302367</c:v>
                </c:pt>
                <c:pt idx="341">
                  <c:v>186.75932463448859</c:v>
                </c:pt>
                <c:pt idx="342">
                  <c:v>187.36860199289464</c:v>
                </c:pt>
                <c:pt idx="343">
                  <c:v>187.97584724477466</c:v>
                </c:pt>
                <c:pt idx="344">
                  <c:v>188.58104743352385</c:v>
                </c:pt>
                <c:pt idx="345">
                  <c:v>189.18418971932488</c:v>
                </c:pt>
                <c:pt idx="346">
                  <c:v>189.78526137906755</c:v>
                </c:pt>
                <c:pt idx="347">
                  <c:v>190.38424980626209</c:v>
                </c:pt>
                <c:pt idx="348">
                  <c:v>190.98114251094574</c:v>
                </c:pt>
                <c:pt idx="349">
                  <c:v>191.57592711958449</c:v>
                </c:pt>
                <c:pt idx="350">
                  <c:v>192.16859137496803</c:v>
                </c:pt>
                <c:pt idx="351">
                  <c:v>192.75912313609939</c:v>
                </c:pt>
                <c:pt idx="352">
                  <c:v>193.34751037807806</c:v>
                </c:pt>
                <c:pt idx="353">
                  <c:v>193.93374119197838</c:v>
                </c:pt>
                <c:pt idx="354">
                  <c:v>194.51780378472097</c:v>
                </c:pt>
                <c:pt idx="355">
                  <c:v>195.09968647893965</c:v>
                </c:pt>
                <c:pt idx="356">
                  <c:v>195.67937771284195</c:v>
                </c:pt>
                <c:pt idx="357">
                  <c:v>196.2568660400641</c:v>
                </c:pt>
                <c:pt idx="358">
                  <c:v>196.83214012952104</c:v>
                </c:pt>
                <c:pt idx="359">
                  <c:v>197.4051887652507</c:v>
                </c:pt>
                <c:pt idx="360">
                  <c:v>197.97600084625253</c:v>
                </c:pt>
                <c:pt idx="361">
                  <c:v>198.5445653863207</c:v>
                </c:pt>
                <c:pt idx="362">
                  <c:v>199.11087151387309</c:v>
                </c:pt>
                <c:pt idx="363">
                  <c:v>199.67490847177336</c:v>
                </c:pt>
                <c:pt idx="364">
                  <c:v>200.2366656171489</c:v>
                </c:pt>
                <c:pt idx="365">
                  <c:v>200.79613242120334</c:v>
                </c:pt>
                <c:pt idx="366">
                  <c:v>201.35420004677223</c:v>
                </c:pt>
                <c:pt idx="367">
                  <c:v>201.91176382044969</c:v>
                </c:pt>
                <c:pt idx="368">
                  <c:v>202.46881870117429</c:v>
                </c:pt>
                <c:pt idx="369">
                  <c:v>203.02535967237739</c:v>
                </c:pt>
                <c:pt idx="370">
                  <c:v>203.58138174200982</c:v>
                </c:pt>
                <c:pt idx="371">
                  <c:v>204.13687994256716</c:v>
                </c:pt>
                <c:pt idx="372">
                  <c:v>204.69184933111305</c:v>
                </c:pt>
                <c:pt idx="373">
                  <c:v>205.24628498930343</c:v>
                </c:pt>
                <c:pt idx="374">
                  <c:v>205.80018202340804</c:v>
                </c:pt>
                <c:pt idx="375">
                  <c:v>206.35353556433228</c:v>
                </c:pt>
                <c:pt idx="376">
                  <c:v>206.90634076763726</c:v>
                </c:pt>
                <c:pt idx="377">
                  <c:v>207.45859281355973</c:v>
                </c:pt>
                <c:pt idx="378">
                  <c:v>208.01028690703021</c:v>
                </c:pt>
                <c:pt idx="379">
                  <c:v>208.56141827769054</c:v>
                </c:pt>
                <c:pt idx="380">
                  <c:v>209.11198217991094</c:v>
                </c:pt>
                <c:pt idx="381">
                  <c:v>209.66098204860543</c:v>
                </c:pt>
                <c:pt idx="382">
                  <c:v>210.2074172419247</c:v>
                </c:pt>
                <c:pt idx="383">
                  <c:v>210.75127798143274</c:v>
                </c:pt>
                <c:pt idx="384">
                  <c:v>211.29255461101306</c:v>
                </c:pt>
                <c:pt idx="385">
                  <c:v>211.83123759657954</c:v>
                </c:pt>
                <c:pt idx="386">
                  <c:v>212.36731752578416</c:v>
                </c:pt>
                <c:pt idx="387">
                  <c:v>212.90078510771892</c:v>
                </c:pt>
                <c:pt idx="388">
                  <c:v>213.43163117261261</c:v>
                </c:pt>
                <c:pt idx="389">
                  <c:v>213.95984667152376</c:v>
                </c:pt>
                <c:pt idx="390">
                  <c:v>214.48542267602926</c:v>
                </c:pt>
                <c:pt idx="391">
                  <c:v>215.00835037790583</c:v>
                </c:pt>
                <c:pt idx="392">
                  <c:v>215.52862108881089</c:v>
                </c:pt>
                <c:pt idx="393">
                  <c:v>216.0462262399553</c:v>
                </c:pt>
                <c:pt idx="394">
                  <c:v>216.56115738177317</c:v>
                </c:pt>
                <c:pt idx="395">
                  <c:v>217.0734061835883</c:v>
                </c:pt>
                <c:pt idx="396">
                  <c:v>217.58296443327407</c:v>
                </c:pt>
                <c:pt idx="397">
                  <c:v>218.0898240369113</c:v>
                </c:pt>
                <c:pt idx="398">
                  <c:v>218.59397701843992</c:v>
                </c:pt>
                <c:pt idx="399">
                  <c:v>219.09541551930823</c:v>
                </c:pt>
                <c:pt idx="400">
                  <c:v>219.59413179811702</c:v>
                </c:pt>
                <c:pt idx="401">
                  <c:v>220.08932188870179</c:v>
                </c:pt>
                <c:pt idx="402">
                  <c:v>220.58017935165486</c:v>
                </c:pt>
                <c:pt idx="403">
                  <c:v>221.06669380263452</c:v>
                </c:pt>
                <c:pt idx="404">
                  <c:v>221.54885509000033</c:v>
                </c:pt>
                <c:pt idx="405">
                  <c:v>222.02665329389376</c:v>
                </c:pt>
                <c:pt idx="406">
                  <c:v>222.50007872530989</c:v>
                </c:pt>
                <c:pt idx="407">
                  <c:v>222.96912192516001</c:v>
                </c:pt>
                <c:pt idx="408">
                  <c:v>223.43377366332695</c:v>
                </c:pt>
                <c:pt idx="409">
                  <c:v>223.89402493771129</c:v>
                </c:pt>
                <c:pt idx="410">
                  <c:v>224.34986697326951</c:v>
                </c:pt>
                <c:pt idx="411">
                  <c:v>224.79685311080374</c:v>
                </c:pt>
                <c:pt idx="412">
                  <c:v>225.23052534951782</c:v>
                </c:pt>
                <c:pt idx="413">
                  <c:v>225.65086377818184</c:v>
                </c:pt>
                <c:pt idx="414">
                  <c:v>226.05785003476379</c:v>
                </c:pt>
                <c:pt idx="415">
                  <c:v>226.45146729774044</c:v>
                </c:pt>
                <c:pt idx="416">
                  <c:v>226.83170027730992</c:v>
                </c:pt>
                <c:pt idx="417">
                  <c:v>227.19853520650537</c:v>
                </c:pt>
                <c:pt idx="418">
                  <c:v>227.551959832216</c:v>
                </c:pt>
                <c:pt idx="419">
                  <c:v>227.89196340611542</c:v>
                </c:pt>
                <c:pt idx="420">
                  <c:v>228.21599762343058</c:v>
                </c:pt>
                <c:pt idx="421">
                  <c:v>228.52151257003618</c:v>
                </c:pt>
                <c:pt idx="422">
                  <c:v>228.8085008761098</c:v>
                </c:pt>
                <c:pt idx="423">
                  <c:v>229.07695788861736</c:v>
                </c:pt>
                <c:pt idx="424">
                  <c:v>229.32688165329282</c:v>
                </c:pt>
                <c:pt idx="425">
                  <c:v>229.55827289642647</c:v>
                </c:pt>
                <c:pt idx="426">
                  <c:v>229.77113500647212</c:v>
                </c:pt>
                <c:pt idx="427">
                  <c:v>229.96547401547758</c:v>
                </c:pt>
                <c:pt idx="428">
                  <c:v>230.14129858034954</c:v>
                </c:pt>
                <c:pt idx="429">
                  <c:v>230.29861996395576</c:v>
                </c:pt>
                <c:pt idx="430">
                  <c:v>230.4374520160753</c:v>
                </c:pt>
                <c:pt idx="431">
                  <c:v>230.55781115420089</c:v>
                </c:pt>
                <c:pt idx="432">
                  <c:v>230.65561308352312</c:v>
                </c:pt>
                <c:pt idx="433">
                  <c:v>230.72678061497643</c:v>
                </c:pt>
                <c:pt idx="434">
                  <c:v>230.77135092720837</c:v>
                </c:pt>
                <c:pt idx="435">
                  <c:v>230.78936639383136</c:v>
                </c:pt>
                <c:pt idx="436">
                  <c:v>230.78087454158594</c:v>
                </c:pt>
                <c:pt idx="437">
                  <c:v>230.74592800811428</c:v>
                </c:pt>
                <c:pt idx="438">
                  <c:v>230.68458449936733</c:v>
                </c:pt>
                <c:pt idx="439">
                  <c:v>230.59690674666382</c:v>
                </c:pt>
                <c:pt idx="440">
                  <c:v>230.48296246342147</c:v>
                </c:pt>
                <c:pt idx="441">
                  <c:v>230.34282430158106</c:v>
                </c:pt>
                <c:pt idx="442">
                  <c:v>230.17905443216867</c:v>
                </c:pt>
                <c:pt idx="443">
                  <c:v>229.9942105768765</c:v>
                </c:pt>
                <c:pt idx="444">
                  <c:v>229.78836213930825</c:v>
                </c:pt>
                <c:pt idx="445">
                  <c:v>229.56158161104531</c:v>
                </c:pt>
                <c:pt idx="446">
                  <c:v>229.31394454255727</c:v>
                </c:pt>
                <c:pt idx="447">
                  <c:v>229.04552951404375</c:v>
                </c:pt>
                <c:pt idx="448">
                  <c:v>228.75641810622645</c:v>
                </c:pt>
                <c:pt idx="449">
                  <c:v>228.44669487109445</c:v>
                </c:pt>
                <c:pt idx="450">
                  <c:v>228.11644730261438</c:v>
                </c:pt>
                <c:pt idx="451">
                  <c:v>227.76576580741394</c:v>
                </c:pt>
                <c:pt idx="452">
                  <c:v>227.39474367544807</c:v>
                </c:pt>
                <c:pt idx="453">
                  <c:v>227.00700330434893</c:v>
                </c:pt>
                <c:pt idx="454">
                  <c:v>226.60614900088666</c:v>
                </c:pt>
                <c:pt idx="455">
                  <c:v>226.19224625777153</c:v>
                </c:pt>
                <c:pt idx="456">
                  <c:v>225.76536168236041</c:v>
                </c:pt>
                <c:pt idx="457">
                  <c:v>225.3255629845531</c:v>
                </c:pt>
                <c:pt idx="458">
                  <c:v>224.87291896473843</c:v>
                </c:pt>
                <c:pt idx="459">
                  <c:v>224.40749950179168</c:v>
                </c:pt>
                <c:pt idx="460">
                  <c:v>223.92937554112592</c:v>
                </c:pt>
                <c:pt idx="461">
                  <c:v>223.44176321506134</c:v>
                </c:pt>
                <c:pt idx="462">
                  <c:v>222.94785795844982</c:v>
                </c:pt>
                <c:pt idx="463">
                  <c:v>222.44769739389466</c:v>
                </c:pt>
                <c:pt idx="464">
                  <c:v>221.9413193557555</c:v>
                </c:pt>
                <c:pt idx="465">
                  <c:v>221.42876188741229</c:v>
                </c:pt>
                <c:pt idx="466">
                  <c:v>220.90743897771938</c:v>
                </c:pt>
                <c:pt idx="467">
                  <c:v>220.37478389591263</c:v>
                </c:pt>
                <c:pt idx="468">
                  <c:v>219.80172379016648</c:v>
                </c:pt>
                <c:pt idx="469">
                  <c:v>219.1950271949926</c:v>
                </c:pt>
                <c:pt idx="470">
                  <c:v>218.59047144101004</c:v>
                </c:pt>
                <c:pt idx="471">
                  <c:v>217.98804643901246</c:v>
                </c:pt>
                <c:pt idx="472">
                  <c:v>217.38774215979603</c:v>
                </c:pt>
                <c:pt idx="473">
                  <c:v>216.78954863373104</c:v>
                </c:pt>
                <c:pt idx="474">
                  <c:v>216.1934559503342</c:v>
                </c:pt>
                <c:pt idx="475">
                  <c:v>215.59945425784665</c:v>
                </c:pt>
                <c:pt idx="476">
                  <c:v>215.00753376281418</c:v>
                </c:pt>
                <c:pt idx="477">
                  <c:v>214.41768472967215</c:v>
                </c:pt>
                <c:pt idx="478">
                  <c:v>213.82989748033282</c:v>
                </c:pt>
                <c:pt idx="479">
                  <c:v>213.24416239377641</c:v>
                </c:pt>
                <c:pt idx="480">
                  <c:v>212.66046990564578</c:v>
                </c:pt>
                <c:pt idx="481">
                  <c:v>212.07881050784502</c:v>
                </c:pt>
                <c:pt idx="482">
                  <c:v>211.49917474813938</c:v>
                </c:pt>
                <c:pt idx="483">
                  <c:v>210.9215532297612</c:v>
                </c:pt>
                <c:pt idx="484">
                  <c:v>210.34593661101681</c:v>
                </c:pt>
                <c:pt idx="485">
                  <c:v>209.77231560489841</c:v>
                </c:pt>
                <c:pt idx="486">
                  <c:v>209.20068097869779</c:v>
                </c:pt>
                <c:pt idx="487">
                  <c:v>208.63102355362395</c:v>
                </c:pt>
                <c:pt idx="488">
                  <c:v>208.06333420442422</c:v>
                </c:pt>
                <c:pt idx="489">
                  <c:v>207.49760385900717</c:v>
                </c:pt>
                <c:pt idx="490">
                  <c:v>206.93382349807021</c:v>
                </c:pt>
                <c:pt idx="491">
                  <c:v>206.37198415472963</c:v>
                </c:pt>
                <c:pt idx="492">
                  <c:v>205.8120769141527</c:v>
                </c:pt>
                <c:pt idx="493">
                  <c:v>205.25409291319451</c:v>
                </c:pt>
                <c:pt idx="494">
                  <c:v>204.69802334003629</c:v>
                </c:pt>
                <c:pt idx="495">
                  <c:v>204.14385943382794</c:v>
                </c:pt>
                <c:pt idx="496">
                  <c:v>203.59159248433232</c:v>
                </c:pt>
                <c:pt idx="497">
                  <c:v>203.04121383157317</c:v>
                </c:pt>
                <c:pt idx="498">
                  <c:v>202.49271486548594</c:v>
                </c:pt>
                <c:pt idx="499">
                  <c:v>201.94608702557051</c:v>
                </c:pt>
                <c:pt idx="500">
                  <c:v>201.40132180054857</c:v>
                </c:pt>
                <c:pt idx="501">
                  <c:v>196.01394024038797</c:v>
                </c:pt>
                <c:pt idx="502">
                  <c:v>190.80701900825113</c:v>
                </c:pt>
                <c:pt idx="503">
                  <c:v>185.77256857507936</c:v>
                </c:pt>
                <c:pt idx="504">
                  <c:v>180.90304221497541</c:v>
                </c:pt>
                <c:pt idx="505">
                  <c:v>176.19130670114649</c:v>
                </c:pt>
                <c:pt idx="506">
                  <c:v>171.63061525058279</c:v>
                </c:pt>
                <c:pt idx="507">
                  <c:v>167.21458252169256</c:v>
                </c:pt>
                <c:pt idx="508">
                  <c:v>162.93716148813661</c:v>
                </c:pt>
                <c:pt idx="509">
                  <c:v>158.79262202909479</c:v>
                </c:pt>
                <c:pt idx="510">
                  <c:v>154.77553109138296</c:v>
                </c:pt>
                <c:pt idx="511">
                  <c:v>150.88073429243613</c:v>
                </c:pt>
                <c:pt idx="512">
                  <c:v>147.10333884536192</c:v>
                </c:pt>
                <c:pt idx="513">
                  <c:v>143.43869769820472</c:v>
                </c:pt>
                <c:pt idx="514">
                  <c:v>139.88239478938934</c:v>
                </c:pt>
                <c:pt idx="515">
                  <c:v>136.43023133015282</c:v>
                </c:pt>
                <c:pt idx="516">
                  <c:v>133.07821303273377</c:v>
                </c:pt>
                <c:pt idx="517">
                  <c:v>129.82253821026757</c:v>
                </c:pt>
                <c:pt idx="518">
                  <c:v>126.65958668081134</c:v>
                </c:pt>
                <c:pt idx="519">
                  <c:v>123.58590941377943</c:v>
                </c:pt>
                <c:pt idx="520">
                  <c:v>120.59821886236044</c:v>
                </c:pt>
                <c:pt idx="521">
                  <c:v>117.69337993028185</c:v>
                </c:pt>
                <c:pt idx="522">
                  <c:v>114.868401525632</c:v>
                </c:pt>
                <c:pt idx="523">
                  <c:v>112.12042865838848</c:v>
                </c:pt>
                <c:pt idx="524">
                  <c:v>109.44673504188286</c:v>
                </c:pt>
                <c:pt idx="525">
                  <c:v>106.84471616168146</c:v>
                </c:pt>
                <c:pt idx="526">
                  <c:v>104.31188277832199</c:v>
                </c:pt>
                <c:pt idx="527">
                  <c:v>101.84585483304025</c:v>
                </c:pt>
                <c:pt idx="528">
                  <c:v>99.444355728076204</c:v>
                </c:pt>
                <c:pt idx="529">
                  <c:v>97.105206955389178</c:v>
                </c:pt>
                <c:pt idx="530">
                  <c:v>94.826323049655883</c:v>
                </c:pt>
                <c:pt idx="531">
                  <c:v>92.605706843294328</c:v>
                </c:pt>
                <c:pt idx="532">
                  <c:v>90.441445002965835</c:v>
                </c:pt>
                <c:pt idx="533">
                  <c:v>88.331703828569971</c:v>
                </c:pt>
                <c:pt idx="534">
                  <c:v>86.274725297180311</c:v>
                </c:pt>
                <c:pt idx="535">
                  <c:v>84.268823335682967</c:v>
                </c:pt>
                <c:pt idx="536">
                  <c:v>82.312380307082734</c:v>
                </c:pt>
                <c:pt idx="537">
                  <c:v>80.403843696549046</c:v>
                </c:pt>
                <c:pt idx="538">
                  <c:v>78.541722984289095</c:v>
                </c:pt>
                <c:pt idx="539">
                  <c:v>76.724586693270425</c:v>
                </c:pt>
                <c:pt idx="540">
                  <c:v>74.951059600673673</c:v>
                </c:pt>
                <c:pt idx="541">
                  <c:v>73.219820102749352</c:v>
                </c:pt>
                <c:pt idx="542">
                  <c:v>71.52959772347991</c:v>
                </c:pt>
                <c:pt idx="543">
                  <c:v>69.879170758121234</c:v>
                </c:pt>
                <c:pt idx="544">
                  <c:v>68.267364043318906</c:v>
                </c:pt>
                <c:pt idx="545">
                  <c:v>66.693046846065343</c:v>
                </c:pt>
                <c:pt idx="546">
                  <c:v>65.155130864294819</c:v>
                </c:pt>
                <c:pt idx="547">
                  <c:v>63.652568332400946</c:v>
                </c:pt>
                <c:pt idx="548">
                  <c:v>62.184350225414285</c:v>
                </c:pt>
                <c:pt idx="549">
                  <c:v>60.749504555996332</c:v>
                </c:pt>
                <c:pt idx="550">
                  <c:v>59.347094758793332</c:v>
                </c:pt>
                <c:pt idx="551">
                  <c:v>57.97621815705358</c:v>
                </c:pt>
                <c:pt idx="552">
                  <c:v>56.63600450674366</c:v>
                </c:pt>
                <c:pt idx="553">
                  <c:v>55.325614613709853</c:v>
                </c:pt>
                <c:pt idx="554">
                  <c:v>54.044239019716343</c:v>
                </c:pt>
                <c:pt idx="555">
                  <c:v>52.791096753458746</c:v>
                </c:pt>
                <c:pt idx="556">
                  <c:v>51.565434142899939</c:v>
                </c:pt>
                <c:pt idx="557">
                  <c:v>50.36652368550422</c:v>
                </c:pt>
                <c:pt idx="558">
                  <c:v>49.193662973160713</c:v>
                </c:pt>
                <c:pt idx="559">
                  <c:v>48.046173668786196</c:v>
                </c:pt>
                <c:pt idx="560">
                  <c:v>46.923400531783649</c:v>
                </c:pt>
                <c:pt idx="561">
                  <c:v>45.824710489704529</c:v>
                </c:pt>
                <c:pt idx="562">
                  <c:v>44.749491753625911</c:v>
                </c:pt>
                <c:pt idx="563">
                  <c:v>43.697152974902814</c:v>
                </c:pt>
                <c:pt idx="564">
                  <c:v>42.667122441096573</c:v>
                </c:pt>
                <c:pt idx="565">
                  <c:v>41.658847309011826</c:v>
                </c:pt>
                <c:pt idx="566">
                  <c:v>40.671792872896354</c:v>
                </c:pt>
                <c:pt idx="567">
                  <c:v>39.705441865973228</c:v>
                </c:pt>
                <c:pt idx="568">
                  <c:v>38.759293793580831</c:v>
                </c:pt>
                <c:pt idx="569">
                  <c:v>37.83286429629706</c:v>
                </c:pt>
                <c:pt idx="570">
                  <c:v>36.925684541517626</c:v>
                </c:pt>
                <c:pt idx="571">
                  <c:v>36.037300642045338</c:v>
                </c:pt>
                <c:pt idx="572">
                  <c:v>35.16727310033064</c:v>
                </c:pt>
                <c:pt idx="573">
                  <c:v>34.315176277079097</c:v>
                </c:pt>
                <c:pt idx="574">
                  <c:v>33.480597883015008</c:v>
                </c:pt>
                <c:pt idx="575">
                  <c:v>32.663138492657339</c:v>
                </c:pt>
                <c:pt idx="576">
                  <c:v>31.862411079027432</c:v>
                </c:pt>
                <c:pt idx="577">
                  <c:v>31.07804056826815</c:v>
                </c:pt>
                <c:pt idx="578">
                  <c:v>30.309663413209684</c:v>
                </c:pt>
                <c:pt idx="579">
                  <c:v>29.55692718496967</c:v>
                </c:pt>
                <c:pt idx="580">
                  <c:v>28.819490181725058</c:v>
                </c:pt>
                <c:pt idx="581">
                  <c:v>28.097021053839455</c:v>
                </c:pt>
                <c:pt idx="582">
                  <c:v>27.389198444572987</c:v>
                </c:pt>
                <c:pt idx="583">
                  <c:v>26.695710645643455</c:v>
                </c:pt>
                <c:pt idx="584">
                  <c:v>26.016255266945681</c:v>
                </c:pt>
                <c:pt idx="585">
                  <c:v>25.350538919772699</c:v>
                </c:pt>
                <c:pt idx="586">
                  <c:v>24.698276912916491</c:v>
                </c:pt>
                <c:pt idx="587">
                  <c:v>24.059192961058589</c:v>
                </c:pt>
                <c:pt idx="588">
                  <c:v>23.433018904891007</c:v>
                </c:pt>
                <c:pt idx="589">
                  <c:v>22.819494442436937</c:v>
                </c:pt>
                <c:pt idx="590">
                  <c:v>22.218366871067619</c:v>
                </c:pt>
                <c:pt idx="591">
                  <c:v>21.629390839737397</c:v>
                </c:pt>
                <c:pt idx="592">
                  <c:v>21.052328110983126</c:v>
                </c:pt>
                <c:pt idx="593">
                  <c:v>20.486947332256811</c:v>
                </c:pt>
                <c:pt idx="594">
                  <c:v>19.933023816182121</c:v>
                </c:pt>
                <c:pt idx="595">
                  <c:v>19.390339329345256</c:v>
                </c:pt>
                <c:pt idx="596">
                  <c:v>18.858681889250544</c:v>
                </c:pt>
                <c:pt idx="597">
                  <c:v>18.337845569088742</c:v>
                </c:pt>
                <c:pt idx="598">
                  <c:v>17.827630309983554</c:v>
                </c:pt>
                <c:pt idx="599">
                  <c:v>17.327841740397979</c:v>
                </c:pt>
                <c:pt idx="600">
                  <c:v>16.838291002397511</c:v>
                </c:pt>
                <c:pt idx="601">
                  <c:v>16.358794584481899</c:v>
                </c:pt>
                <c:pt idx="602">
                  <c:v>15.889174160710823</c:v>
                </c:pt>
                <c:pt idx="603">
                  <c:v>15.429256435861983</c:v>
                </c:pt>
                <c:pt idx="604">
                  <c:v>14.97887299637245</c:v>
                </c:pt>
                <c:pt idx="605">
                  <c:v>14.537860166825961</c:v>
                </c:pt>
                <c:pt idx="606">
                  <c:v>14.106058871759776</c:v>
                </c:pt>
                <c:pt idx="607">
                  <c:v>13.683314502575419</c:v>
                </c:pt>
                <c:pt idx="608">
                  <c:v>13.269476789347623</c:v>
                </c:pt>
                <c:pt idx="609">
                  <c:v>12.864399677335177</c:v>
                </c:pt>
                <c:pt idx="610">
                  <c:v>12.467941208006375</c:v>
                </c:pt>
                <c:pt idx="611">
                  <c:v>12.079963404400646</c:v>
                </c:pt>
                <c:pt idx="612">
                  <c:v>11.700332160655423</c:v>
                </c:pt>
                <c:pt idx="613">
                  <c:v>11.328917135535661</c:v>
                </c:pt>
                <c:pt idx="614">
                  <c:v>10.965591649810266</c:v>
                </c:pt>
                <c:pt idx="615">
                  <c:v>10.610232587326912</c:v>
                </c:pt>
                <c:pt idx="616">
                  <c:v>10.262720299643071</c:v>
                </c:pt>
                <c:pt idx="617">
                  <c:v>9.9229385140776483</c:v>
                </c:pt>
                <c:pt idx="618">
                  <c:v>9.5907742450531988</c:v>
                </c:pt>
                <c:pt idx="619">
                  <c:v>9.2661177086046163</c:v>
                </c:pt>
                <c:pt idx="620">
                  <c:v>8.9488622399354547</c:v>
                </c:pt>
                <c:pt idx="621">
                  <c:v>8.6389042139080008</c:v>
                </c:pt>
                <c:pt idx="622">
                  <c:v>8.3361429683582831</c:v>
                </c:pt>
                <c:pt idx="623">
                  <c:v>8.0404807301314545</c:v>
                </c:pt>
                <c:pt idx="624">
                  <c:v>7.7518225437375943</c:v>
                </c:pt>
                <c:pt idx="625">
                  <c:v>7.4700762025318648</c:v>
                </c:pt>
                <c:pt idx="626">
                  <c:v>7.1951521823268854</c:v>
                </c:pt>
                <c:pt idx="627">
                  <c:v>6.9269635773488938</c:v>
                </c:pt>
                <c:pt idx="628">
                  <c:v>6.6654260384524679</c:v>
                </c:pt>
                <c:pt idx="629">
                  <c:v>6.4104577135121605</c:v>
                </c:pt>
                <c:pt idx="630">
                  <c:v>6.1619791899119178</c:v>
                </c:pt>
                <c:pt idx="631">
                  <c:v>5.9199134390564563</c:v>
                </c:pt>
                <c:pt idx="632">
                  <c:v>5.6841857628308983</c:v>
                </c:pt>
                <c:pt idx="633">
                  <c:v>5.4547237419376478</c:v>
                </c:pt>
                <c:pt idx="634">
                  <c:v>5.2314571860414532</c:v>
                </c:pt>
                <c:pt idx="635">
                  <c:v>5.0143180856556508</c:v>
                </c:pt>
                <c:pt idx="636">
                  <c:v>4.8032405657040869</c:v>
                </c:pt>
                <c:pt idx="637">
                  <c:v>4.5981608406948711</c:v>
                </c:pt>
                <c:pt idx="638">
                  <c:v>4.399017171443063</c:v>
                </c:pt>
                <c:pt idx="639">
                  <c:v>4.2057498232803825</c:v>
                </c:pt>
                <c:pt idx="640">
                  <c:v>4.0183010256905485</c:v>
                </c:pt>
                <c:pt idx="641">
                  <c:v>3.8366149333090331</c:v>
                </c:pt>
                <c:pt idx="642">
                  <c:v>3.6606375882258422</c:v>
                </c:pt>
                <c:pt idx="643">
                  <c:v>3.4903168835293021</c:v>
                </c:pt>
                <c:pt idx="644">
                  <c:v>3.3256025280276691</c:v>
                </c:pt>
                <c:pt idx="645">
                  <c:v>3.1664460120837439</c:v>
                </c:pt>
                <c:pt idx="646">
                  <c:v>3.0128005744952993</c:v>
                </c:pt>
                <c:pt idx="647">
                  <c:v>2.8646211703510653</c:v>
                </c:pt>
                <c:pt idx="648">
                  <c:v>2.7218644397881566</c:v>
                </c:pt>
                <c:pt idx="649">
                  <c:v>2.5844886775718821</c:v>
                </c:pt>
                <c:pt idx="650">
                  <c:v>2.4524538034129608</c:v>
                </c:pt>
                <c:pt idx="651">
                  <c:v>2.32572133292989</c:v>
                </c:pt>
                <c:pt idx="652">
                  <c:v>2.2042543491555002</c:v>
                </c:pt>
                <c:pt idx="653">
                  <c:v>2.0880174744764086</c:v>
                </c:pt>
                <c:pt idx="654">
                  <c:v>1.9769768428818444</c:v>
                </c:pt>
                <c:pt idx="655">
                  <c:v>1.8711000723840785</c:v>
                </c:pt>
                <c:pt idx="656">
                  <c:v>1.7703562374560895</c:v>
                </c:pt>
                <c:pt idx="657">
                  <c:v>1.6747158413131253</c:v>
                </c:pt>
                <c:pt idx="658">
                  <c:v>1.5841507878432137</c:v>
                </c:pt>
                <c:pt idx="659">
                  <c:v>1.4986343529675281</c:v>
                </c:pt>
                <c:pt idx="660">
                  <c:v>1.4181411551849166</c:v>
                </c:pt>
                <c:pt idx="661">
                  <c:v>1.3426471250263134</c:v>
                </c:pt>
                <c:pt idx="662">
                  <c:v>1.2721294731148394</c:v>
                </c:pt>
                <c:pt idx="663">
                  <c:v>1.2065666564974893</c:v>
                </c:pt>
                <c:pt idx="664">
                  <c:v>1.1459383428861418</c:v>
                </c:pt>
                <c:pt idx="665">
                  <c:v>1.0902253724218407</c:v>
                </c:pt>
                <c:pt idx="666">
                  <c:v>1.0394097165602754</c:v>
                </c:pt>
                <c:pt idx="667">
                  <c:v>0.99347443367248334</c:v>
                </c:pt>
                <c:pt idx="668">
                  <c:v>0.95240362096807563</c:v>
                </c:pt>
                <c:pt idx="669">
                  <c:v>0.91618236238429729</c:v>
                </c:pt>
                <c:pt idx="670">
                  <c:v>0.88479667214847424</c:v>
                </c:pt>
                <c:pt idx="671">
                  <c:v>0.85823343381828476</c:v>
                </c:pt>
                <c:pt idx="672">
                  <c:v>0.83648033473608474</c:v>
                </c:pt>
                <c:pt idx="673">
                  <c:v>0.81952579599895503</c:v>
                </c:pt>
                <c:pt idx="674">
                  <c:v>0.80735889823929607</c:v>
                </c:pt>
                <c:pt idx="675">
                  <c:v>0.79996930372037078</c:v>
                </c:pt>
                <c:pt idx="676">
                  <c:v>0.79734717546089318</c:v>
                </c:pt>
                <c:pt idx="677">
                  <c:v>0.79948309429284448</c:v>
                </c:pt>
                <c:pt idx="678">
                  <c:v>0.80636797490662415</c:v>
                </c:pt>
                <c:pt idx="679">
                  <c:v>0.81799298202976789</c:v>
                </c:pt>
                <c:pt idx="680">
                  <c:v>0.83434944790822763</c:v>
                </c:pt>
                <c:pt idx="681">
                  <c:v>0.8554287922097249</c:v>
                </c:pt>
                <c:pt idx="682">
                  <c:v>0.88122244535322913</c:v>
                </c:pt>
                <c:pt idx="683">
                  <c:v>0.91172177610138205</c:v>
                </c:pt>
                <c:pt idx="684">
                  <c:v>0.94691802405286418</c:v>
                </c:pt>
                <c:pt idx="685">
                  <c:v>0.98680223745997253</c:v>
                </c:pt>
                <c:pt idx="686">
                  <c:v>1.0313652165918137</c:v>
                </c:pt>
                <c:pt idx="687">
                  <c:v>1.08059746268014</c:v>
                </c:pt>
                <c:pt idx="688">
                  <c:v>1.1344891323322022</c:v>
                </c:pt>
                <c:pt idx="689">
                  <c:v>1.1930299971772365</c:v>
                </c:pt>
                <c:pt idx="690">
                  <c:v>1.2562094084299973</c:v>
                </c:pt>
                <c:pt idx="691">
                  <c:v>1.3240162660029384</c:v>
                </c:pt>
                <c:pt idx="692">
                  <c:v>1.3964389917731412</c:v>
                </c:pt>
                <c:pt idx="693">
                  <c:v>1.4734655066053213</c:v>
                </c:pt>
                <c:pt idx="694">
                  <c:v>1.5550832107426897</c:v>
                </c:pt>
                <c:pt idx="695">
                  <c:v>1.6412789671982853</c:v>
                </c:pt>
                <c:pt idx="696">
                  <c:v>1.7320390878065548</c:v>
                </c:pt>
                <c:pt idx="697">
                  <c:v>1.8273493216254333</c:v>
                </c:pt>
                <c:pt idx="698">
                  <c:v>1.9271948454105785</c:v>
                </c:pt>
                <c:pt idx="699">
                  <c:v>2.0315602559142061</c:v>
                </c:pt>
                <c:pt idx="700">
                  <c:v>2.1404295637901498</c:v>
                </c:pt>
                <c:pt idx="701">
                  <c:v>2.253786188913685</c:v>
                </c:pt>
                <c:pt idx="702">
                  <c:v>2.3716129569490314</c:v>
                </c:pt>
                <c:pt idx="703">
                  <c:v>2.493892097019299</c:v>
                </c:pt>
                <c:pt idx="704">
                  <c:v>2.6206052403528552</c:v>
                </c:pt>
                <c:pt idx="705">
                  <c:v>2.7517334197969912</c:v>
                </c:pt>
                <c:pt idx="706">
                  <c:v>2.8872570701044951</c:v>
                </c:pt>
                <c:pt idx="707">
                  <c:v>3.0271560289114223</c:v>
                </c:pt>
                <c:pt idx="708">
                  <c:v>3.1714095383354146</c:v>
                </c:pt>
                <c:pt idx="709">
                  <c:v>3.3199962471332976</c:v>
                </c:pt>
                <c:pt idx="710">
                  <c:v>3.4728942133649063</c:v>
                </c:pt>
                <c:pt idx="711">
                  <c:v>3.6300809075170029</c:v>
                </c:pt>
                <c:pt idx="712">
                  <c:v>3.7915332160471138</c:v>
                </c:pt>
                <c:pt idx="713">
                  <c:v>3.9572274453122849</c:v>
                </c:pt>
                <c:pt idx="714">
                  <c:v>4.1271393258520863</c:v>
                </c:pt>
                <c:pt idx="715">
                  <c:v>4.3012440169989805</c:v>
                </c:pt>
                <c:pt idx="716">
                  <c:v>4.4795161117923739</c:v>
                </c:pt>
                <c:pt idx="717">
                  <c:v>4.6619296421754024</c:v>
                </c:pt>
                <c:pt idx="718">
                  <c:v>4.8484580844559462</c:v>
                </c:pt>
                <c:pt idx="719">
                  <c:v>5.0390743650152974</c:v>
                </c:pt>
                <c:pt idx="720">
                  <c:v>5.2337508662497267</c:v>
                </c:pt>
                <c:pt idx="721">
                  <c:v>5.4324594327316609</c:v>
                </c:pt>
                <c:pt idx="722">
                  <c:v>5.6351713775784633</c:v>
                </c:pt>
                <c:pt idx="723">
                  <c:v>5.8418574890180004</c:v>
                </c:pt>
                <c:pt idx="724">
                  <c:v>6.0524880371410017</c:v>
                </c:pt>
                <c:pt idx="725">
                  <c:v>6.2670327808311672</c:v>
                </c:pt>
                <c:pt idx="726">
                  <c:v>6.485460974864675</c:v>
                </c:pt>
                <c:pt idx="727">
                  <c:v>6.7077413771712893</c:v>
                </c:pt>
                <c:pt idx="728">
                  <c:v>6.9338422562498705</c:v>
                </c:pt>
                <c:pt idx="729">
                  <c:v>7.1637313987315583</c:v>
                </c:pt>
                <c:pt idx="730">
                  <c:v>7.3973761170842742</c:v>
                </c:pt>
                <c:pt idx="731">
                  <c:v>7.6347432574525014</c:v>
                </c:pt>
                <c:pt idx="732">
                  <c:v>7.8757992076267156</c:v>
                </c:pt>
                <c:pt idx="733">
                  <c:v>8.1205099051370038</c:v>
                </c:pt>
                <c:pt idx="734">
                  <c:v>8.3688408454656358</c:v>
                </c:pt>
                <c:pt idx="735">
                  <c:v>8.6207570903736723</c:v>
                </c:pt>
                <c:pt idx="736">
                  <c:v>8.8762232763366793</c:v>
                </c:pt>
                <c:pt idx="737">
                  <c:v>9.1352036230849674</c:v>
                </c:pt>
                <c:pt idx="738">
                  <c:v>9.3976619422437384</c:v>
                </c:pt>
                <c:pt idx="739">
                  <c:v>9.6635616460687555</c:v>
                </c:pt>
                <c:pt idx="740">
                  <c:v>9.9328657562731912</c:v>
                </c:pt>
                <c:pt idx="741">
                  <c:v>10.205536912941398</c:v>
                </c:pt>
                <c:pt idx="742">
                  <c:v>10.481537383525495</c:v>
                </c:pt>
                <c:pt idx="743">
                  <c:v>10.760829071920586</c:v>
                </c:pt>
                <c:pt idx="744">
                  <c:v>11.043373527614682</c:v>
                </c:pt>
                <c:pt idx="745">
                  <c:v>11.329131954909245</c:v>
                </c:pt>
                <c:pt idx="746">
                  <c:v>11.61806522220645</c:v>
                </c:pt>
                <c:pt idx="747">
                  <c:v>11.910133871359383</c:v>
                </c:pt>
                <c:pt idx="748">
                  <c:v>12.205298127081054</c:v>
                </c:pt>
                <c:pt idx="749">
                  <c:v>12.503517906408753</c:v>
                </c:pt>
                <c:pt idx="750">
                  <c:v>12.804752828219609</c:v>
                </c:pt>
                <c:pt idx="751">
                  <c:v>13.108962222793853</c:v>
                </c:pt>
                <c:pt idx="752">
                  <c:v>13.416105141421912</c:v>
                </c:pt>
                <c:pt idx="753">
                  <c:v>13.726140366051633</c:v>
                </c:pt>
                <c:pt idx="754">
                  <c:v>14.039026418972027</c:v>
                </c:pt>
                <c:pt idx="755">
                  <c:v>14.354721572529701</c:v>
                </c:pt>
                <c:pt idx="756">
                  <c:v>14.673183858874523</c:v>
                </c:pt>
                <c:pt idx="757">
                  <c:v>14.994371079730755</c:v>
                </c:pt>
                <c:pt idx="758">
                  <c:v>15.318240816190066</c:v>
                </c:pt>
                <c:pt idx="759">
                  <c:v>15.644750438522909</c:v>
                </c:pt>
                <c:pt idx="760">
                  <c:v>15.973857116004611</c:v>
                </c:pt>
                <c:pt idx="761">
                  <c:v>16.305517826752652</c:v>
                </c:pt>
                <c:pt idx="762">
                  <c:v>16.639689367571613</c:v>
                </c:pt>
                <c:pt idx="763">
                  <c:v>16.976328363802349</c:v>
                </c:pt>
                <c:pt idx="764">
                  <c:v>17.315391279171696</c:v>
                </c:pt>
                <c:pt idx="765">
                  <c:v>17.656834425639587</c:v>
                </c:pt>
                <c:pt idx="766">
                  <c:v>18.000613973239734</c:v>
                </c:pt>
                <c:pt idx="767">
                  <c:v>18.34668595991084</c:v>
                </c:pt>
                <c:pt idx="768">
                  <c:v>18.695006301314685</c:v>
                </c:pt>
                <c:pt idx="769">
                  <c:v>19.045530800637813</c:v>
                </c:pt>
                <c:pt idx="770">
                  <c:v>19.39821515837356</c:v>
                </c:pt>
                <c:pt idx="771">
                  <c:v>19.753014982080952</c:v>
                </c:pt>
                <c:pt idx="772">
                  <c:v>20.109885796117275</c:v>
                </c:pt>
                <c:pt idx="773">
                  <c:v>20.468783051341155</c:v>
                </c:pt>
                <c:pt idx="774">
                  <c:v>20.829662134782737</c:v>
                </c:pt>
                <c:pt idx="775">
                  <c:v>21.192478379277944</c:v>
                </c:pt>
                <c:pt idx="776">
                  <c:v>21.557187073063503</c:v>
                </c:pt>
                <c:pt idx="777">
                  <c:v>21.923743469329843</c:v>
                </c:pt>
                <c:pt idx="778">
                  <c:v>22.292102795728471</c:v>
                </c:pt>
                <c:pt idx="779">
                  <c:v>22.662220263831102</c:v>
                </c:pt>
                <c:pt idx="780">
                  <c:v>23.034051078537278</c:v>
                </c:pt>
                <c:pt idx="781">
                  <c:v>23.407550447427688</c:v>
                </c:pt>
                <c:pt idx="782">
                  <c:v>23.782673590060046</c:v>
                </c:pt>
                <c:pt idx="783">
                  <c:v>24.159375747204926</c:v>
                </c:pt>
                <c:pt idx="784">
                  <c:v>24.537612190018436</c:v>
                </c:pt>
                <c:pt idx="785">
                  <c:v>24.917338229149046</c:v>
                </c:pt>
                <c:pt idx="786">
                  <c:v>25.298509223775866</c:v>
                </c:pt>
                <c:pt idx="787">
                  <c:v>25.681080590575547</c:v>
                </c:pt>
                <c:pt idx="788">
                  <c:v>26.065007812615224</c:v>
                </c:pt>
                <c:pt idx="789">
                  <c:v>26.450246448168802</c:v>
                </c:pt>
                <c:pt idx="790">
                  <c:v>26.836752139454113</c:v>
                </c:pt>
                <c:pt idx="791">
                  <c:v>27.224480621288372</c:v>
                </c:pt>
                <c:pt idx="792">
                  <c:v>27.613387729659422</c:v>
                </c:pt>
                <c:pt idx="793">
                  <c:v>28.003429410210469</c:v>
                </c:pt>
                <c:pt idx="794">
                  <c:v>28.394561726635818</c:v>
                </c:pt>
                <c:pt idx="795">
                  <c:v>28.786740868985355</c:v>
                </c:pt>
                <c:pt idx="796">
                  <c:v>29.179923161875589</c:v>
                </c:pt>
                <c:pt idx="797">
                  <c:v>29.574065072604903</c:v>
                </c:pt>
                <c:pt idx="798">
                  <c:v>29.969123219171014</c:v>
                </c:pt>
                <c:pt idx="799">
                  <c:v>30.365054378188404</c:v>
                </c:pt>
                <c:pt idx="800">
                  <c:v>30.761815492703921</c:v>
                </c:pt>
                <c:pt idx="801">
                  <c:v>31.159363679908324</c:v>
                </c:pt>
                <c:pt idx="802">
                  <c:v>31.557656238742069</c:v>
                </c:pt>
                <c:pt idx="803">
                  <c:v>31.95665065739329</c:v>
                </c:pt>
                <c:pt idx="804">
                  <c:v>32.356304620686338</c:v>
                </c:pt>
                <c:pt idx="805">
                  <c:v>32.756576017359173</c:v>
                </c:pt>
                <c:pt idx="806">
                  <c:v>33.157422947227658</c:v>
                </c:pt>
                <c:pt idx="807">
                  <c:v>33.558803728235638</c:v>
                </c:pt>
                <c:pt idx="808">
                  <c:v>33.960676903388588</c:v>
                </c:pt>
                <c:pt idx="809">
                  <c:v>34.363001247570075</c:v>
                </c:pt>
                <c:pt idx="810">
                  <c:v>34.765735774239097</c:v>
                </c:pt>
                <c:pt idx="811">
                  <c:v>35.168839742007066</c:v>
                </c:pt>
                <c:pt idx="812">
                  <c:v>35.572272661093244</c:v>
                </c:pt>
                <c:pt idx="813">
                  <c:v>35.975994299657337</c:v>
                </c:pt>
                <c:pt idx="814">
                  <c:v>36.379964690008016</c:v>
                </c:pt>
                <c:pt idx="815">
                  <c:v>36.784144134686322</c:v>
                </c:pt>
                <c:pt idx="816">
                  <c:v>37.188493212423005</c:v>
                </c:pt>
                <c:pt idx="817">
                  <c:v>37.592972783968513</c:v>
                </c:pt>
                <c:pt idx="818">
                  <c:v>37.997543997795177</c:v>
                </c:pt>
                <c:pt idx="819">
                  <c:v>38.402168295670222</c:v>
                </c:pt>
                <c:pt idx="820">
                  <c:v>38.806807418099325</c:v>
                </c:pt>
                <c:pt idx="821">
                  <c:v>39.211423409639536</c:v>
                </c:pt>
                <c:pt idx="822">
                  <c:v>39.615978624081315</c:v>
                </c:pt>
                <c:pt idx="823">
                  <c:v>40.020435729498722</c:v>
                </c:pt>
                <c:pt idx="824">
                  <c:v>40.424757713167565</c:v>
                </c:pt>
                <c:pt idx="825">
                  <c:v>40.828907886350606</c:v>
                </c:pt>
                <c:pt idx="826">
                  <c:v>41.232849888950064</c:v>
                </c:pt>
                <c:pt idx="827">
                  <c:v>41.636547694026213</c:v>
                </c:pt>
                <c:pt idx="828">
                  <c:v>42.039965612182677</c:v>
                </c:pt>
                <c:pt idx="829">
                  <c:v>42.443068295817469</c:v>
                </c:pt>
                <c:pt idx="830">
                  <c:v>42.845820743240168</c:v>
                </c:pt>
                <c:pt idx="831">
                  <c:v>43.248188302654604</c:v>
                </c:pt>
                <c:pt idx="832">
                  <c:v>43.650136676007499</c:v>
                </c:pt>
                <c:pt idx="833">
                  <c:v>44.051631922702832</c:v>
                </c:pt>
                <c:pt idx="834">
                  <c:v>44.452640463181908</c:v>
                </c:pt>
                <c:pt idx="835">
                  <c:v>44.85312908236947</c:v>
                </c:pt>
                <c:pt idx="836">
                  <c:v>45.253064932986092</c:v>
                </c:pt>
                <c:pt idx="837">
                  <c:v>45.652415538726572</c:v>
                </c:pt>
                <c:pt idx="838">
                  <c:v>46.051148797305615</c:v>
                </c:pt>
                <c:pt idx="839">
                  <c:v>46.449232983369825</c:v>
                </c:pt>
                <c:pt idx="840">
                  <c:v>46.846636751277899</c:v>
                </c:pt>
                <c:pt idx="841">
                  <c:v>47.243329137748255</c:v>
                </c:pt>
                <c:pt idx="842">
                  <c:v>47.639279564375187</c:v>
                </c:pt>
                <c:pt idx="843">
                  <c:v>48.034457840014191</c:v>
                </c:pt>
                <c:pt idx="844">
                  <c:v>48.428834163036768</c:v>
                </c:pt>
                <c:pt idx="845">
                  <c:v>48.822379123455526</c:v>
                </c:pt>
                <c:pt idx="846">
                  <c:v>49.215063704920389</c:v>
                </c:pt>
                <c:pt idx="847">
                  <c:v>49.606859286586456</c:v>
                </c:pt>
                <c:pt idx="848">
                  <c:v>49.997737644854574</c:v>
                </c:pt>
                <c:pt idx="849">
                  <c:v>50.387670954985289</c:v>
                </c:pt>
                <c:pt idx="850">
                  <c:v>50.776631792586947</c:v>
                </c:pt>
                <c:pt idx="851">
                  <c:v>51.164593134979732</c:v>
                </c:pt>
                <c:pt idx="852">
                  <c:v>51.551528362435114</c:v>
                </c:pt>
                <c:pt idx="853">
                  <c:v>51.937411259293427</c:v>
                </c:pt>
                <c:pt idx="854">
                  <c:v>52.322216014959189</c:v>
                </c:pt>
                <c:pt idx="855">
                  <c:v>52.705917224776364</c:v>
                </c:pt>
                <c:pt idx="856">
                  <c:v>53.088489890784174</c:v>
                </c:pt>
                <c:pt idx="857">
                  <c:v>53.46990942235459</c:v>
                </c:pt>
                <c:pt idx="858">
                  <c:v>53.850151636713179</c:v>
                </c:pt>
                <c:pt idx="859">
                  <c:v>54.229192759344016</c:v>
                </c:pt>
                <c:pt idx="860">
                  <c:v>54.607009424280349</c:v>
                </c:pt>
                <c:pt idx="861">
                  <c:v>54.983578674282398</c:v>
                </c:pt>
                <c:pt idx="862">
                  <c:v>55.358877960902994</c:v>
                </c:pt>
                <c:pt idx="863">
                  <c:v>55.732885144443436</c:v>
                </c:pt>
                <c:pt idx="864">
                  <c:v>56.105578493800145</c:v>
                </c:pt>
                <c:pt idx="865">
                  <c:v>56.47693668620412</c:v>
                </c:pt>
                <c:pt idx="866">
                  <c:v>56.846938806854162</c:v>
                </c:pt>
                <c:pt idx="867">
                  <c:v>57.215564348445938</c:v>
                </c:pt>
                <c:pt idx="868">
                  <c:v>57.582793210597913</c:v>
                </c:pt>
                <c:pt idx="869">
                  <c:v>57.948605699176163</c:v>
                </c:pt>
                <c:pt idx="870">
                  <c:v>58.312982525518919</c:v>
                </c:pt>
                <c:pt idx="871">
                  <c:v>58.675904805563476</c:v>
                </c:pt>
                <c:pt idx="872">
                  <c:v>59.037354058876055</c:v>
                </c:pt>
                <c:pt idx="873">
                  <c:v>59.397312207586921</c:v>
                </c:pt>
                <c:pt idx="874">
                  <c:v>59.755761575232171</c:v>
                </c:pt>
                <c:pt idx="875">
                  <c:v>60.112684885503924</c:v>
                </c:pt>
                <c:pt idx="876">
                  <c:v>60.46806526091018</c:v>
                </c:pt>
                <c:pt idx="877">
                  <c:v>60.821886221347135</c:v>
                </c:pt>
                <c:pt idx="878">
                  <c:v>61.174131682584125</c:v>
                </c:pt>
                <c:pt idx="879">
                  <c:v>61.524785954664338</c:v>
                </c:pt>
                <c:pt idx="880">
                  <c:v>61.873833740222196</c:v>
                </c:pt>
                <c:pt idx="881">
                  <c:v>62.221260132719379</c:v>
                </c:pt>
                <c:pt idx="882">
                  <c:v>62.567050614601122</c:v>
                </c:pt>
                <c:pt idx="883">
                  <c:v>62.911191055375056</c:v>
                </c:pt>
                <c:pt idx="884">
                  <c:v>63.253667709613673</c:v>
                </c:pt>
                <c:pt idx="885">
                  <c:v>63.594467214882393</c:v>
                </c:pt>
                <c:pt idx="886">
                  <c:v>63.933576589595354</c:v>
                </c:pt>
                <c:pt idx="887">
                  <c:v>64.270983230800397</c:v>
                </c:pt>
                <c:pt idx="888">
                  <c:v>64.606674911894984</c:v>
                </c:pt>
                <c:pt idx="889">
                  <c:v>64.94063978027512</c:v>
                </c:pt>
                <c:pt idx="890">
                  <c:v>65.272866354918619</c:v>
                </c:pt>
                <c:pt idx="891">
                  <c:v>65.603343523905096</c:v>
                </c:pt>
                <c:pt idx="892">
                  <c:v>65.932060541873753</c:v>
                </c:pt>
                <c:pt idx="893">
                  <c:v>66.25900702742149</c:v>
                </c:pt>
                <c:pt idx="894">
                  <c:v>66.5841729604427</c:v>
                </c:pt>
                <c:pt idx="895">
                  <c:v>66.907548679412301</c:v>
                </c:pt>
                <c:pt idx="896">
                  <c:v>67.229124878614257</c:v>
                </c:pt>
                <c:pt idx="897">
                  <c:v>67.54889260531742</c:v>
                </c:pt>
                <c:pt idx="898">
                  <c:v>67.866843256899571</c:v>
                </c:pt>
                <c:pt idx="899">
                  <c:v>68.182968577922537</c:v>
                </c:pt>
                <c:pt idx="900">
                  <c:v>68.497260657159458</c:v>
                </c:pt>
                <c:pt idx="901">
                  <c:v>68.809711924576121</c:v>
                </c:pt>
                <c:pt idx="902">
                  <c:v>69.120315148267949</c:v>
                </c:pt>
                <c:pt idx="903">
                  <c:v>69.42906343135455</c:v>
                </c:pt>
                <c:pt idx="904">
                  <c:v>69.7359502088336</c:v>
                </c:pt>
                <c:pt idx="905">
                  <c:v>70.040969244395285</c:v>
                </c:pt>
                <c:pt idx="906">
                  <c:v>70.344114627199744</c:v>
                </c:pt>
                <c:pt idx="907">
                  <c:v>70.645380768618139</c:v>
                </c:pt>
                <c:pt idx="908">
                  <c:v>70.944762398940327</c:v>
                </c:pt>
                <c:pt idx="909">
                  <c:v>71.242254564049333</c:v>
                </c:pt>
                <c:pt idx="910">
                  <c:v>71.537852622065571</c:v>
                </c:pt>
                <c:pt idx="911">
                  <c:v>71.831552239961454</c:v>
                </c:pt>
                <c:pt idx="912">
                  <c:v>72.123349390148391</c:v>
                </c:pt>
                <c:pt idx="913">
                  <c:v>72.413240347037856</c:v>
                </c:pt>
                <c:pt idx="914">
                  <c:v>72.70122168357787</c:v>
                </c:pt>
                <c:pt idx="915">
                  <c:v>72.98729026776634</c:v>
                </c:pt>
                <c:pt idx="916">
                  <c:v>73.271443259143254</c:v>
                </c:pt>
                <c:pt idx="917">
                  <c:v>73.553678105262605</c:v>
                </c:pt>
                <c:pt idx="918">
                  <c:v>73.833992538146305</c:v>
                </c:pt>
                <c:pt idx="919">
                  <c:v>74.112384570720266</c:v>
                </c:pt>
                <c:pt idx="920">
                  <c:v>74.388852493236186</c:v>
                </c:pt>
                <c:pt idx="921">
                  <c:v>74.66339486967793</c:v>
                </c:pt>
                <c:pt idx="922">
                  <c:v>74.936010534156082</c:v>
                </c:pt>
                <c:pt idx="923">
                  <c:v>75.20669858729083</c:v>
                </c:pt>
                <c:pt idx="924">
                  <c:v>75.475458392584898</c:v>
                </c:pt>
                <c:pt idx="925">
                  <c:v>75.742289572788053</c:v>
                </c:pt>
                <c:pt idx="926">
                  <c:v>76.007192006253902</c:v>
                </c:pt>
                <c:pt idx="927">
                  <c:v>76.270165823291492</c:v>
                </c:pt>
                <c:pt idx="928">
                  <c:v>76.531211402511119</c:v>
                </c:pt>
                <c:pt idx="929">
                  <c:v>76.790329367167772</c:v>
                </c:pt>
                <c:pt idx="930">
                  <c:v>77.047520581501672</c:v>
                </c:pt>
                <c:pt idx="931">
                  <c:v>77.30278614707801</c:v>
                </c:pt>
                <c:pt idx="932">
                  <c:v>77.55612739912695</c:v>
                </c:pt>
                <c:pt idx="933">
                  <c:v>77.807545902884982</c:v>
                </c:pt>
                <c:pt idx="934">
                  <c:v>78.057043449938789</c:v>
                </c:pt>
                <c:pt idx="935">
                  <c:v>78.304622054572391</c:v>
                </c:pt>
                <c:pt idx="936">
                  <c:v>78.550283950119805</c:v>
                </c:pt>
                <c:pt idx="937">
                  <c:v>78.794031585322713</c:v>
                </c:pt>
                <c:pt idx="938">
                  <c:v>79.035867620695427</c:v>
                </c:pt>
                <c:pt idx="939">
                  <c:v>79.275794924897681</c:v>
                </c:pt>
                <c:pt idx="940">
                  <c:v>79.513816571116209</c:v>
                </c:pt>
                <c:pt idx="941">
                  <c:v>79.749935833456334</c:v>
                </c:pt>
                <c:pt idx="942">
                  <c:v>79.984156183344226</c:v>
                </c:pt>
                <c:pt idx="943">
                  <c:v>80.216481285941143</c:v>
                </c:pt>
                <c:pt idx="944">
                  <c:v>80.446914996570413</c:v>
                </c:pt>
                <c:pt idx="945">
                  <c:v>80.675461357157488</c:v>
                </c:pt>
                <c:pt idx="946">
                  <c:v>80.675687686053621</c:v>
                </c:pt>
                <c:pt idx="947">
                  <c:v>80.675914013084835</c:v>
                </c:pt>
                <c:pt idx="948">
                  <c:v>80.676140338251003</c:v>
                </c:pt>
                <c:pt idx="949">
                  <c:v>80.676366661552265</c:v>
                </c:pt>
                <c:pt idx="950">
                  <c:v>80.676592982988495</c:v>
                </c:pt>
                <c:pt idx="951">
                  <c:v>80.676819302559778</c:v>
                </c:pt>
                <c:pt idx="952">
                  <c:v>80.677045620266128</c:v>
                </c:pt>
                <c:pt idx="953">
                  <c:v>80.677271936107488</c:v>
                </c:pt>
                <c:pt idx="954">
                  <c:v>80.677498250083914</c:v>
                </c:pt>
                <c:pt idx="955">
                  <c:v>80.67772456219538</c:v>
                </c:pt>
                <c:pt idx="956">
                  <c:v>80.677950872441912</c:v>
                </c:pt>
                <c:pt idx="957">
                  <c:v>80.678177180823525</c:v>
                </c:pt>
                <c:pt idx="958">
                  <c:v>80.678403487340162</c:v>
                </c:pt>
                <c:pt idx="959">
                  <c:v>80.678629791991924</c:v>
                </c:pt>
                <c:pt idx="960">
                  <c:v>80.678856094778737</c:v>
                </c:pt>
                <c:pt idx="961">
                  <c:v>80.67908239570059</c:v>
                </c:pt>
                <c:pt idx="962">
                  <c:v>80.67930869475758</c:v>
                </c:pt>
                <c:pt idx="963">
                  <c:v>80.679534991949609</c:v>
                </c:pt>
                <c:pt idx="964">
                  <c:v>80.679761287276776</c:v>
                </c:pt>
                <c:pt idx="965">
                  <c:v>80.679987580739024</c:v>
                </c:pt>
                <c:pt idx="966">
                  <c:v>80.680213872336395</c:v>
                </c:pt>
                <c:pt idx="967">
                  <c:v>80.68044016206882</c:v>
                </c:pt>
                <c:pt idx="968">
                  <c:v>80.68066644993641</c:v>
                </c:pt>
                <c:pt idx="969">
                  <c:v>80.680892735939054</c:v>
                </c:pt>
                <c:pt idx="970">
                  <c:v>80.681119020076835</c:v>
                </c:pt>
                <c:pt idx="971">
                  <c:v>80.681345302349783</c:v>
                </c:pt>
                <c:pt idx="972">
                  <c:v>80.681571582757769</c:v>
                </c:pt>
                <c:pt idx="973">
                  <c:v>80.681797861300979</c:v>
                </c:pt>
                <c:pt idx="974">
                  <c:v>80.682024137979298</c:v>
                </c:pt>
                <c:pt idx="975">
                  <c:v>80.682250412792754</c:v>
                </c:pt>
                <c:pt idx="976">
                  <c:v>80.682476685741321</c:v>
                </c:pt>
                <c:pt idx="977">
                  <c:v>80.68270295682504</c:v>
                </c:pt>
                <c:pt idx="978">
                  <c:v>80.682929226043939</c:v>
                </c:pt>
                <c:pt idx="979">
                  <c:v>80.683155493397976</c:v>
                </c:pt>
                <c:pt idx="980">
                  <c:v>80.683381758887194</c:v>
                </c:pt>
                <c:pt idx="981">
                  <c:v>80.683608022511578</c:v>
                </c:pt>
                <c:pt idx="982">
                  <c:v>80.683834284271072</c:v>
                </c:pt>
                <c:pt idx="983">
                  <c:v>80.684060544165831</c:v>
                </c:pt>
                <c:pt idx="984">
                  <c:v>80.684286802195714</c:v>
                </c:pt>
                <c:pt idx="985">
                  <c:v>80.684513058360793</c:v>
                </c:pt>
                <c:pt idx="986">
                  <c:v>80.684739312661051</c:v>
                </c:pt>
                <c:pt idx="987">
                  <c:v>80.684965565096505</c:v>
                </c:pt>
                <c:pt idx="988">
                  <c:v>80.68519181566721</c:v>
                </c:pt>
                <c:pt idx="989">
                  <c:v>80.685418064373025</c:v>
                </c:pt>
                <c:pt idx="990">
                  <c:v>80.685644311214077</c:v>
                </c:pt>
                <c:pt idx="991">
                  <c:v>80.685870556190324</c:v>
                </c:pt>
                <c:pt idx="992">
                  <c:v>80.686096799301808</c:v>
                </c:pt>
                <c:pt idx="993">
                  <c:v>80.686323040548459</c:v>
                </c:pt>
                <c:pt idx="994">
                  <c:v>80.686549279930389</c:v>
                </c:pt>
                <c:pt idx="995">
                  <c:v>80.686775517447515</c:v>
                </c:pt>
                <c:pt idx="996">
                  <c:v>80.687001753099835</c:v>
                </c:pt>
                <c:pt idx="997">
                  <c:v>80.687227986887478</c:v>
                </c:pt>
                <c:pt idx="998">
                  <c:v>80.687454218810288</c:v>
                </c:pt>
                <c:pt idx="999">
                  <c:v>80.687680448868321</c:v>
                </c:pt>
                <c:pt idx="1000">
                  <c:v>80.68790667706169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33-7045-93AD-06357D4BE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997744"/>
        <c:axId val="1"/>
      </c:scatterChart>
      <c:valAx>
        <c:axId val="9289977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Forces [N]</a:t>
                </a:r>
              </a:p>
            </c:rich>
          </c:tx>
          <c:layout>
            <c:manualLayout>
              <c:xMode val="edge"/>
              <c:yMode val="edge"/>
              <c:x val="2.0047169811320754E-2"/>
              <c:y val="0.333334383202099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28997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56931973537896"/>
          <c:y val="0.34616601298281663"/>
          <c:w val="0.12046826702267209"/>
          <c:h val="0.222230033026005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Courbes!$B$140</c:f>
          <c:strCache>
            <c:ptCount val="1"/>
            <c:pt idx="0">
              <c:v>Vitesse</c:v>
            </c:pt>
          </c:strCache>
        </c:strRef>
      </c:tx>
      <c:overlay val="1"/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495283018867926"/>
          <c:y val="9.4771544282144501E-2"/>
          <c:w val="0.87617924528302105"/>
          <c:h val="0.74183243282920064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Courbes!$B$140</c:f>
              <c:strCache>
                <c:ptCount val="1"/>
                <c:pt idx="0">
                  <c:v>Vitesse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5.0999999999999375</c:v>
                </c:pt>
                <c:pt idx="502">
                  <c:v>5.1999999999999371</c:v>
                </c:pt>
                <c:pt idx="503">
                  <c:v>5.2999999999999368</c:v>
                </c:pt>
                <c:pt idx="504">
                  <c:v>5.3999999999999364</c:v>
                </c:pt>
                <c:pt idx="505">
                  <c:v>5.4999999999999361</c:v>
                </c:pt>
                <c:pt idx="506">
                  <c:v>5.5999999999999357</c:v>
                </c:pt>
                <c:pt idx="507">
                  <c:v>5.6999999999999353</c:v>
                </c:pt>
                <c:pt idx="508">
                  <c:v>5.799999999999935</c:v>
                </c:pt>
                <c:pt idx="509">
                  <c:v>5.8999999999999346</c:v>
                </c:pt>
                <c:pt idx="510">
                  <c:v>5.9999999999999343</c:v>
                </c:pt>
                <c:pt idx="511">
                  <c:v>6.0999999999999339</c:v>
                </c:pt>
                <c:pt idx="512">
                  <c:v>6.1999999999999336</c:v>
                </c:pt>
                <c:pt idx="513">
                  <c:v>6.2999999999999332</c:v>
                </c:pt>
                <c:pt idx="514">
                  <c:v>6.3999999999999329</c:v>
                </c:pt>
                <c:pt idx="515">
                  <c:v>6.4999999999999325</c:v>
                </c:pt>
                <c:pt idx="516">
                  <c:v>6.5999999999999321</c:v>
                </c:pt>
                <c:pt idx="517">
                  <c:v>6.6999999999999318</c:v>
                </c:pt>
                <c:pt idx="518">
                  <c:v>6.7999999999999314</c:v>
                </c:pt>
                <c:pt idx="519">
                  <c:v>6.8999999999999311</c:v>
                </c:pt>
                <c:pt idx="520">
                  <c:v>6.9999999999999307</c:v>
                </c:pt>
                <c:pt idx="521">
                  <c:v>7.0999999999999304</c:v>
                </c:pt>
                <c:pt idx="522">
                  <c:v>7.19999999999993</c:v>
                </c:pt>
                <c:pt idx="523">
                  <c:v>7.2999999999999297</c:v>
                </c:pt>
                <c:pt idx="524">
                  <c:v>7.3999999999999293</c:v>
                </c:pt>
                <c:pt idx="525">
                  <c:v>7.4999999999999289</c:v>
                </c:pt>
                <c:pt idx="526">
                  <c:v>7.5999999999999286</c:v>
                </c:pt>
                <c:pt idx="527">
                  <c:v>7.6999999999999282</c:v>
                </c:pt>
                <c:pt idx="528">
                  <c:v>7.7999999999999279</c:v>
                </c:pt>
                <c:pt idx="529">
                  <c:v>7.8999999999999275</c:v>
                </c:pt>
                <c:pt idx="530">
                  <c:v>7.9999999999999272</c:v>
                </c:pt>
                <c:pt idx="531">
                  <c:v>8.0999999999999268</c:v>
                </c:pt>
                <c:pt idx="532">
                  <c:v>8.1999999999999265</c:v>
                </c:pt>
                <c:pt idx="533">
                  <c:v>8.2999999999999261</c:v>
                </c:pt>
                <c:pt idx="534">
                  <c:v>8.3999999999999257</c:v>
                </c:pt>
                <c:pt idx="535">
                  <c:v>8.4999999999999254</c:v>
                </c:pt>
                <c:pt idx="536">
                  <c:v>8.599999999999925</c:v>
                </c:pt>
                <c:pt idx="537">
                  <c:v>8.6999999999999247</c:v>
                </c:pt>
                <c:pt idx="538">
                  <c:v>8.7999999999999243</c:v>
                </c:pt>
                <c:pt idx="539">
                  <c:v>8.899999999999924</c:v>
                </c:pt>
                <c:pt idx="540">
                  <c:v>8.9999999999999236</c:v>
                </c:pt>
                <c:pt idx="541">
                  <c:v>9.0999999999999233</c:v>
                </c:pt>
                <c:pt idx="542">
                  <c:v>9.1999999999999229</c:v>
                </c:pt>
                <c:pt idx="543">
                  <c:v>9.2999999999999226</c:v>
                </c:pt>
                <c:pt idx="544">
                  <c:v>9.3999999999999222</c:v>
                </c:pt>
                <c:pt idx="545">
                  <c:v>9.4999999999999218</c:v>
                </c:pt>
                <c:pt idx="546">
                  <c:v>9.5999999999999215</c:v>
                </c:pt>
                <c:pt idx="547">
                  <c:v>9.6999999999999211</c:v>
                </c:pt>
                <c:pt idx="548">
                  <c:v>9.7999999999999208</c:v>
                </c:pt>
                <c:pt idx="549">
                  <c:v>9.8999999999999204</c:v>
                </c:pt>
                <c:pt idx="550">
                  <c:v>9.9999999999999201</c:v>
                </c:pt>
                <c:pt idx="551">
                  <c:v>10.09999999999992</c:v>
                </c:pt>
                <c:pt idx="552">
                  <c:v>10.199999999999919</c:v>
                </c:pt>
                <c:pt idx="553">
                  <c:v>10.299999999999919</c:v>
                </c:pt>
                <c:pt idx="554">
                  <c:v>10.399999999999919</c:v>
                </c:pt>
                <c:pt idx="555">
                  <c:v>10.499999999999918</c:v>
                </c:pt>
                <c:pt idx="556">
                  <c:v>10.599999999999918</c:v>
                </c:pt>
                <c:pt idx="557">
                  <c:v>10.699999999999918</c:v>
                </c:pt>
                <c:pt idx="558">
                  <c:v>10.799999999999917</c:v>
                </c:pt>
                <c:pt idx="559">
                  <c:v>10.899999999999917</c:v>
                </c:pt>
                <c:pt idx="560">
                  <c:v>10.999999999999917</c:v>
                </c:pt>
                <c:pt idx="561">
                  <c:v>11.099999999999916</c:v>
                </c:pt>
                <c:pt idx="562">
                  <c:v>11.199999999999916</c:v>
                </c:pt>
                <c:pt idx="563">
                  <c:v>11.299999999999915</c:v>
                </c:pt>
                <c:pt idx="564">
                  <c:v>11.399999999999915</c:v>
                </c:pt>
                <c:pt idx="565">
                  <c:v>11.499999999999915</c:v>
                </c:pt>
                <c:pt idx="566">
                  <c:v>11.599999999999914</c:v>
                </c:pt>
                <c:pt idx="567">
                  <c:v>11.699999999999914</c:v>
                </c:pt>
                <c:pt idx="568">
                  <c:v>11.799999999999914</c:v>
                </c:pt>
                <c:pt idx="569">
                  <c:v>11.899999999999913</c:v>
                </c:pt>
                <c:pt idx="570">
                  <c:v>11.999999999999913</c:v>
                </c:pt>
                <c:pt idx="571">
                  <c:v>12.099999999999913</c:v>
                </c:pt>
                <c:pt idx="572">
                  <c:v>12.199999999999912</c:v>
                </c:pt>
                <c:pt idx="573">
                  <c:v>12.299999999999912</c:v>
                </c:pt>
                <c:pt idx="574">
                  <c:v>12.399999999999912</c:v>
                </c:pt>
                <c:pt idx="575">
                  <c:v>12.499999999999911</c:v>
                </c:pt>
                <c:pt idx="576">
                  <c:v>12.599999999999911</c:v>
                </c:pt>
                <c:pt idx="577">
                  <c:v>12.69999999999991</c:v>
                </c:pt>
                <c:pt idx="578">
                  <c:v>12.79999999999991</c:v>
                </c:pt>
                <c:pt idx="579">
                  <c:v>12.89999999999991</c:v>
                </c:pt>
                <c:pt idx="580">
                  <c:v>12.999999999999909</c:v>
                </c:pt>
                <c:pt idx="581">
                  <c:v>13.099999999999909</c:v>
                </c:pt>
                <c:pt idx="582">
                  <c:v>13.199999999999909</c:v>
                </c:pt>
                <c:pt idx="583">
                  <c:v>13.299999999999908</c:v>
                </c:pt>
                <c:pt idx="584">
                  <c:v>13.399999999999908</c:v>
                </c:pt>
                <c:pt idx="585">
                  <c:v>13.499999999999908</c:v>
                </c:pt>
                <c:pt idx="586">
                  <c:v>13.599999999999907</c:v>
                </c:pt>
                <c:pt idx="587">
                  <c:v>13.699999999999907</c:v>
                </c:pt>
                <c:pt idx="588">
                  <c:v>13.799999999999907</c:v>
                </c:pt>
                <c:pt idx="589">
                  <c:v>13.899999999999906</c:v>
                </c:pt>
                <c:pt idx="590">
                  <c:v>13.999999999999906</c:v>
                </c:pt>
                <c:pt idx="591">
                  <c:v>14.099999999999905</c:v>
                </c:pt>
                <c:pt idx="592">
                  <c:v>14.199999999999905</c:v>
                </c:pt>
                <c:pt idx="593">
                  <c:v>14.299999999999905</c:v>
                </c:pt>
                <c:pt idx="594">
                  <c:v>14.399999999999904</c:v>
                </c:pt>
                <c:pt idx="595">
                  <c:v>14.499999999999904</c:v>
                </c:pt>
                <c:pt idx="596">
                  <c:v>14.599999999999904</c:v>
                </c:pt>
                <c:pt idx="597">
                  <c:v>14.699999999999903</c:v>
                </c:pt>
                <c:pt idx="598">
                  <c:v>14.799999999999903</c:v>
                </c:pt>
                <c:pt idx="599">
                  <c:v>14.899999999999903</c:v>
                </c:pt>
                <c:pt idx="600">
                  <c:v>14.999999999999902</c:v>
                </c:pt>
                <c:pt idx="601">
                  <c:v>15.099999999999902</c:v>
                </c:pt>
                <c:pt idx="602">
                  <c:v>15.199999999999902</c:v>
                </c:pt>
                <c:pt idx="603">
                  <c:v>15.299999999999901</c:v>
                </c:pt>
                <c:pt idx="604">
                  <c:v>15.399999999999901</c:v>
                </c:pt>
                <c:pt idx="605">
                  <c:v>15.499999999999901</c:v>
                </c:pt>
                <c:pt idx="606">
                  <c:v>15.5999999999999</c:v>
                </c:pt>
                <c:pt idx="607">
                  <c:v>15.6999999999999</c:v>
                </c:pt>
                <c:pt idx="608">
                  <c:v>15.799999999999899</c:v>
                </c:pt>
                <c:pt idx="609">
                  <c:v>15.899999999999899</c:v>
                </c:pt>
                <c:pt idx="610">
                  <c:v>15.999999999999899</c:v>
                </c:pt>
                <c:pt idx="611">
                  <c:v>16.099999999999898</c:v>
                </c:pt>
                <c:pt idx="612">
                  <c:v>16.1999999999999</c:v>
                </c:pt>
                <c:pt idx="613">
                  <c:v>16.299999999999901</c:v>
                </c:pt>
                <c:pt idx="614">
                  <c:v>16.399999999999903</c:v>
                </c:pt>
                <c:pt idx="615">
                  <c:v>16.499999999999904</c:v>
                </c:pt>
                <c:pt idx="616">
                  <c:v>16.599999999999905</c:v>
                </c:pt>
                <c:pt idx="617">
                  <c:v>16.699999999999907</c:v>
                </c:pt>
                <c:pt idx="618">
                  <c:v>16.799999999999908</c:v>
                </c:pt>
                <c:pt idx="619">
                  <c:v>16.89999999999991</c:v>
                </c:pt>
                <c:pt idx="620">
                  <c:v>16.999999999999911</c:v>
                </c:pt>
                <c:pt idx="621">
                  <c:v>17.099999999999913</c:v>
                </c:pt>
                <c:pt idx="622">
                  <c:v>17.199999999999914</c:v>
                </c:pt>
                <c:pt idx="623">
                  <c:v>17.299999999999915</c:v>
                </c:pt>
                <c:pt idx="624">
                  <c:v>17.399999999999917</c:v>
                </c:pt>
                <c:pt idx="625">
                  <c:v>17.499999999999918</c:v>
                </c:pt>
                <c:pt idx="626">
                  <c:v>17.59999999999992</c:v>
                </c:pt>
                <c:pt idx="627">
                  <c:v>17.699999999999921</c:v>
                </c:pt>
                <c:pt idx="628">
                  <c:v>17.799999999999923</c:v>
                </c:pt>
                <c:pt idx="629">
                  <c:v>17.899999999999924</c:v>
                </c:pt>
                <c:pt idx="630">
                  <c:v>17.999999999999925</c:v>
                </c:pt>
                <c:pt idx="631">
                  <c:v>18.099999999999927</c:v>
                </c:pt>
                <c:pt idx="632">
                  <c:v>18.199999999999928</c:v>
                </c:pt>
                <c:pt idx="633">
                  <c:v>18.29999999999993</c:v>
                </c:pt>
                <c:pt idx="634">
                  <c:v>18.399999999999931</c:v>
                </c:pt>
                <c:pt idx="635">
                  <c:v>18.499999999999932</c:v>
                </c:pt>
                <c:pt idx="636">
                  <c:v>18.599999999999934</c:v>
                </c:pt>
                <c:pt idx="637">
                  <c:v>18.699999999999935</c:v>
                </c:pt>
                <c:pt idx="638">
                  <c:v>18.799999999999937</c:v>
                </c:pt>
                <c:pt idx="639">
                  <c:v>18.899999999999938</c:v>
                </c:pt>
                <c:pt idx="640">
                  <c:v>18.99999999999994</c:v>
                </c:pt>
                <c:pt idx="641">
                  <c:v>19.099999999999941</c:v>
                </c:pt>
                <c:pt idx="642">
                  <c:v>19.199999999999942</c:v>
                </c:pt>
                <c:pt idx="643">
                  <c:v>19.299999999999944</c:v>
                </c:pt>
                <c:pt idx="644">
                  <c:v>19.399999999999945</c:v>
                </c:pt>
                <c:pt idx="645">
                  <c:v>19.499999999999947</c:v>
                </c:pt>
                <c:pt idx="646">
                  <c:v>19.599999999999948</c:v>
                </c:pt>
                <c:pt idx="647">
                  <c:v>19.69999999999995</c:v>
                </c:pt>
                <c:pt idx="648">
                  <c:v>19.799999999999951</c:v>
                </c:pt>
                <c:pt idx="649">
                  <c:v>19.899999999999952</c:v>
                </c:pt>
                <c:pt idx="650">
                  <c:v>19.999999999999954</c:v>
                </c:pt>
                <c:pt idx="651">
                  <c:v>20.099999999999955</c:v>
                </c:pt>
                <c:pt idx="652">
                  <c:v>20.199999999999957</c:v>
                </c:pt>
                <c:pt idx="653">
                  <c:v>20.299999999999958</c:v>
                </c:pt>
                <c:pt idx="654">
                  <c:v>20.399999999999959</c:v>
                </c:pt>
                <c:pt idx="655">
                  <c:v>20.499999999999961</c:v>
                </c:pt>
                <c:pt idx="656">
                  <c:v>20.599999999999962</c:v>
                </c:pt>
                <c:pt idx="657">
                  <c:v>20.699999999999964</c:v>
                </c:pt>
                <c:pt idx="658">
                  <c:v>20.799999999999965</c:v>
                </c:pt>
                <c:pt idx="659">
                  <c:v>20.899999999999967</c:v>
                </c:pt>
                <c:pt idx="660">
                  <c:v>20.999999999999968</c:v>
                </c:pt>
                <c:pt idx="661">
                  <c:v>21.099999999999969</c:v>
                </c:pt>
                <c:pt idx="662">
                  <c:v>21.199999999999971</c:v>
                </c:pt>
                <c:pt idx="663">
                  <c:v>21.299999999999972</c:v>
                </c:pt>
                <c:pt idx="664">
                  <c:v>21.399999999999974</c:v>
                </c:pt>
                <c:pt idx="665">
                  <c:v>21.499999999999975</c:v>
                </c:pt>
                <c:pt idx="666">
                  <c:v>21.599999999999977</c:v>
                </c:pt>
                <c:pt idx="667">
                  <c:v>21.699999999999978</c:v>
                </c:pt>
                <c:pt idx="668">
                  <c:v>21.799999999999979</c:v>
                </c:pt>
                <c:pt idx="669">
                  <c:v>21.899999999999981</c:v>
                </c:pt>
                <c:pt idx="670">
                  <c:v>21.999999999999982</c:v>
                </c:pt>
                <c:pt idx="671">
                  <c:v>22.099999999999984</c:v>
                </c:pt>
                <c:pt idx="672">
                  <c:v>22.199999999999985</c:v>
                </c:pt>
                <c:pt idx="673">
                  <c:v>22.299999999999986</c:v>
                </c:pt>
                <c:pt idx="674">
                  <c:v>22.399999999999988</c:v>
                </c:pt>
                <c:pt idx="675">
                  <c:v>22.499999999999989</c:v>
                </c:pt>
                <c:pt idx="676">
                  <c:v>22.599999999999991</c:v>
                </c:pt>
                <c:pt idx="677">
                  <c:v>22.699999999999992</c:v>
                </c:pt>
                <c:pt idx="678">
                  <c:v>22.799999999999994</c:v>
                </c:pt>
                <c:pt idx="679">
                  <c:v>22.899999999999995</c:v>
                </c:pt>
                <c:pt idx="680">
                  <c:v>22.999999999999996</c:v>
                </c:pt>
                <c:pt idx="681">
                  <c:v>23.099999999999998</c:v>
                </c:pt>
                <c:pt idx="682">
                  <c:v>23.2</c:v>
                </c:pt>
                <c:pt idx="683">
                  <c:v>23.3</c:v>
                </c:pt>
                <c:pt idx="684">
                  <c:v>23.400000000000002</c:v>
                </c:pt>
                <c:pt idx="685">
                  <c:v>23.500000000000004</c:v>
                </c:pt>
                <c:pt idx="686">
                  <c:v>23.600000000000005</c:v>
                </c:pt>
                <c:pt idx="687">
                  <c:v>23.700000000000006</c:v>
                </c:pt>
                <c:pt idx="688">
                  <c:v>23.800000000000008</c:v>
                </c:pt>
                <c:pt idx="689">
                  <c:v>23.900000000000009</c:v>
                </c:pt>
                <c:pt idx="690">
                  <c:v>24.000000000000011</c:v>
                </c:pt>
                <c:pt idx="691">
                  <c:v>24.100000000000012</c:v>
                </c:pt>
                <c:pt idx="692">
                  <c:v>24.200000000000014</c:v>
                </c:pt>
                <c:pt idx="693">
                  <c:v>24.300000000000015</c:v>
                </c:pt>
                <c:pt idx="694">
                  <c:v>24.400000000000016</c:v>
                </c:pt>
                <c:pt idx="695">
                  <c:v>24.500000000000018</c:v>
                </c:pt>
                <c:pt idx="696">
                  <c:v>24.600000000000019</c:v>
                </c:pt>
                <c:pt idx="697">
                  <c:v>24.700000000000021</c:v>
                </c:pt>
                <c:pt idx="698">
                  <c:v>24.800000000000022</c:v>
                </c:pt>
                <c:pt idx="699">
                  <c:v>24.900000000000023</c:v>
                </c:pt>
                <c:pt idx="700">
                  <c:v>25.000000000000025</c:v>
                </c:pt>
                <c:pt idx="701">
                  <c:v>25.100000000000026</c:v>
                </c:pt>
                <c:pt idx="702">
                  <c:v>25.200000000000028</c:v>
                </c:pt>
                <c:pt idx="703">
                  <c:v>25.300000000000029</c:v>
                </c:pt>
                <c:pt idx="704">
                  <c:v>25.400000000000031</c:v>
                </c:pt>
                <c:pt idx="705">
                  <c:v>25.500000000000032</c:v>
                </c:pt>
                <c:pt idx="706">
                  <c:v>25.600000000000033</c:v>
                </c:pt>
                <c:pt idx="707">
                  <c:v>25.700000000000035</c:v>
                </c:pt>
                <c:pt idx="708">
                  <c:v>25.800000000000036</c:v>
                </c:pt>
                <c:pt idx="709">
                  <c:v>25.900000000000038</c:v>
                </c:pt>
                <c:pt idx="710">
                  <c:v>26.000000000000039</c:v>
                </c:pt>
                <c:pt idx="711">
                  <c:v>26.100000000000041</c:v>
                </c:pt>
                <c:pt idx="712">
                  <c:v>26.200000000000042</c:v>
                </c:pt>
                <c:pt idx="713">
                  <c:v>26.300000000000043</c:v>
                </c:pt>
                <c:pt idx="714">
                  <c:v>26.400000000000045</c:v>
                </c:pt>
                <c:pt idx="715">
                  <c:v>26.500000000000046</c:v>
                </c:pt>
                <c:pt idx="716">
                  <c:v>26.600000000000048</c:v>
                </c:pt>
                <c:pt idx="717">
                  <c:v>26.700000000000049</c:v>
                </c:pt>
                <c:pt idx="718">
                  <c:v>26.80000000000005</c:v>
                </c:pt>
                <c:pt idx="719">
                  <c:v>26.900000000000052</c:v>
                </c:pt>
                <c:pt idx="720">
                  <c:v>27.000000000000053</c:v>
                </c:pt>
                <c:pt idx="721">
                  <c:v>27.100000000000055</c:v>
                </c:pt>
                <c:pt idx="722">
                  <c:v>27.200000000000056</c:v>
                </c:pt>
                <c:pt idx="723">
                  <c:v>27.300000000000058</c:v>
                </c:pt>
                <c:pt idx="724">
                  <c:v>27.400000000000059</c:v>
                </c:pt>
                <c:pt idx="725">
                  <c:v>27.50000000000006</c:v>
                </c:pt>
                <c:pt idx="726">
                  <c:v>27.600000000000062</c:v>
                </c:pt>
                <c:pt idx="727">
                  <c:v>27.700000000000063</c:v>
                </c:pt>
                <c:pt idx="728">
                  <c:v>27.800000000000065</c:v>
                </c:pt>
                <c:pt idx="729">
                  <c:v>27.900000000000066</c:v>
                </c:pt>
                <c:pt idx="730">
                  <c:v>28.000000000000068</c:v>
                </c:pt>
                <c:pt idx="731">
                  <c:v>28.100000000000069</c:v>
                </c:pt>
                <c:pt idx="732">
                  <c:v>28.20000000000007</c:v>
                </c:pt>
                <c:pt idx="733">
                  <c:v>28.300000000000072</c:v>
                </c:pt>
                <c:pt idx="734">
                  <c:v>28.400000000000073</c:v>
                </c:pt>
                <c:pt idx="735">
                  <c:v>28.500000000000075</c:v>
                </c:pt>
                <c:pt idx="736">
                  <c:v>28.600000000000076</c:v>
                </c:pt>
                <c:pt idx="737">
                  <c:v>28.700000000000077</c:v>
                </c:pt>
                <c:pt idx="738">
                  <c:v>28.800000000000079</c:v>
                </c:pt>
                <c:pt idx="739">
                  <c:v>28.90000000000008</c:v>
                </c:pt>
                <c:pt idx="740">
                  <c:v>29.000000000000082</c:v>
                </c:pt>
                <c:pt idx="741">
                  <c:v>29.100000000000083</c:v>
                </c:pt>
                <c:pt idx="742">
                  <c:v>29.200000000000085</c:v>
                </c:pt>
                <c:pt idx="743">
                  <c:v>29.300000000000086</c:v>
                </c:pt>
                <c:pt idx="744">
                  <c:v>29.400000000000087</c:v>
                </c:pt>
                <c:pt idx="745">
                  <c:v>29.500000000000089</c:v>
                </c:pt>
                <c:pt idx="746">
                  <c:v>29.60000000000009</c:v>
                </c:pt>
                <c:pt idx="747">
                  <c:v>29.700000000000092</c:v>
                </c:pt>
                <c:pt idx="748">
                  <c:v>29.800000000000093</c:v>
                </c:pt>
                <c:pt idx="749">
                  <c:v>29.900000000000095</c:v>
                </c:pt>
                <c:pt idx="750">
                  <c:v>30.000000000000096</c:v>
                </c:pt>
                <c:pt idx="751">
                  <c:v>30.100000000000097</c:v>
                </c:pt>
                <c:pt idx="752">
                  <c:v>30.200000000000099</c:v>
                </c:pt>
                <c:pt idx="753">
                  <c:v>30.3000000000001</c:v>
                </c:pt>
                <c:pt idx="754">
                  <c:v>30.400000000000102</c:v>
                </c:pt>
                <c:pt idx="755">
                  <c:v>30.500000000000103</c:v>
                </c:pt>
                <c:pt idx="756">
                  <c:v>30.600000000000104</c:v>
                </c:pt>
                <c:pt idx="757">
                  <c:v>30.700000000000106</c:v>
                </c:pt>
                <c:pt idx="758">
                  <c:v>30.800000000000107</c:v>
                </c:pt>
                <c:pt idx="759">
                  <c:v>30.900000000000109</c:v>
                </c:pt>
                <c:pt idx="760">
                  <c:v>31.00000000000011</c:v>
                </c:pt>
                <c:pt idx="761">
                  <c:v>31.100000000000112</c:v>
                </c:pt>
                <c:pt idx="762">
                  <c:v>31.200000000000113</c:v>
                </c:pt>
                <c:pt idx="763">
                  <c:v>31.300000000000114</c:v>
                </c:pt>
                <c:pt idx="764">
                  <c:v>31.400000000000116</c:v>
                </c:pt>
                <c:pt idx="765">
                  <c:v>31.500000000000117</c:v>
                </c:pt>
                <c:pt idx="766">
                  <c:v>31.600000000000119</c:v>
                </c:pt>
                <c:pt idx="767">
                  <c:v>31.70000000000012</c:v>
                </c:pt>
                <c:pt idx="768">
                  <c:v>31.800000000000122</c:v>
                </c:pt>
                <c:pt idx="769">
                  <c:v>31.900000000000123</c:v>
                </c:pt>
                <c:pt idx="770">
                  <c:v>32.000000000000121</c:v>
                </c:pt>
                <c:pt idx="771">
                  <c:v>32.100000000000122</c:v>
                </c:pt>
                <c:pt idx="772">
                  <c:v>32.200000000000124</c:v>
                </c:pt>
                <c:pt idx="773">
                  <c:v>32.300000000000125</c:v>
                </c:pt>
                <c:pt idx="774">
                  <c:v>32.400000000000126</c:v>
                </c:pt>
                <c:pt idx="775">
                  <c:v>32.500000000000128</c:v>
                </c:pt>
                <c:pt idx="776">
                  <c:v>32.600000000000129</c:v>
                </c:pt>
                <c:pt idx="777">
                  <c:v>32.700000000000131</c:v>
                </c:pt>
                <c:pt idx="778">
                  <c:v>32.800000000000132</c:v>
                </c:pt>
                <c:pt idx="779">
                  <c:v>32.900000000000134</c:v>
                </c:pt>
                <c:pt idx="780">
                  <c:v>33.000000000000135</c:v>
                </c:pt>
                <c:pt idx="781">
                  <c:v>33.100000000000136</c:v>
                </c:pt>
                <c:pt idx="782">
                  <c:v>33.200000000000138</c:v>
                </c:pt>
                <c:pt idx="783">
                  <c:v>33.300000000000139</c:v>
                </c:pt>
                <c:pt idx="784">
                  <c:v>33.400000000000141</c:v>
                </c:pt>
                <c:pt idx="785">
                  <c:v>33.500000000000142</c:v>
                </c:pt>
                <c:pt idx="786">
                  <c:v>33.600000000000144</c:v>
                </c:pt>
                <c:pt idx="787">
                  <c:v>33.700000000000145</c:v>
                </c:pt>
                <c:pt idx="788">
                  <c:v>33.800000000000146</c:v>
                </c:pt>
                <c:pt idx="789">
                  <c:v>33.900000000000148</c:v>
                </c:pt>
                <c:pt idx="790">
                  <c:v>34.000000000000149</c:v>
                </c:pt>
                <c:pt idx="791">
                  <c:v>34.100000000000151</c:v>
                </c:pt>
                <c:pt idx="792">
                  <c:v>34.200000000000152</c:v>
                </c:pt>
                <c:pt idx="793">
                  <c:v>34.300000000000153</c:v>
                </c:pt>
                <c:pt idx="794">
                  <c:v>34.400000000000155</c:v>
                </c:pt>
                <c:pt idx="795">
                  <c:v>34.500000000000156</c:v>
                </c:pt>
                <c:pt idx="796">
                  <c:v>34.600000000000158</c:v>
                </c:pt>
                <c:pt idx="797">
                  <c:v>34.700000000000159</c:v>
                </c:pt>
                <c:pt idx="798">
                  <c:v>34.800000000000161</c:v>
                </c:pt>
                <c:pt idx="799">
                  <c:v>34.900000000000162</c:v>
                </c:pt>
                <c:pt idx="800">
                  <c:v>35.000000000000163</c:v>
                </c:pt>
                <c:pt idx="801">
                  <c:v>35.100000000000165</c:v>
                </c:pt>
                <c:pt idx="802">
                  <c:v>35.200000000000166</c:v>
                </c:pt>
                <c:pt idx="803">
                  <c:v>35.300000000000168</c:v>
                </c:pt>
                <c:pt idx="804">
                  <c:v>35.400000000000169</c:v>
                </c:pt>
                <c:pt idx="805">
                  <c:v>35.500000000000171</c:v>
                </c:pt>
                <c:pt idx="806">
                  <c:v>35.600000000000172</c:v>
                </c:pt>
                <c:pt idx="807">
                  <c:v>35.700000000000173</c:v>
                </c:pt>
                <c:pt idx="808">
                  <c:v>35.800000000000175</c:v>
                </c:pt>
                <c:pt idx="809">
                  <c:v>35.900000000000176</c:v>
                </c:pt>
                <c:pt idx="810">
                  <c:v>36.000000000000178</c:v>
                </c:pt>
                <c:pt idx="811">
                  <c:v>36.100000000000179</c:v>
                </c:pt>
                <c:pt idx="812">
                  <c:v>36.20000000000018</c:v>
                </c:pt>
                <c:pt idx="813">
                  <c:v>36.300000000000182</c:v>
                </c:pt>
                <c:pt idx="814">
                  <c:v>36.400000000000183</c:v>
                </c:pt>
                <c:pt idx="815">
                  <c:v>36.500000000000185</c:v>
                </c:pt>
                <c:pt idx="816">
                  <c:v>36.600000000000186</c:v>
                </c:pt>
                <c:pt idx="817">
                  <c:v>36.700000000000188</c:v>
                </c:pt>
                <c:pt idx="818">
                  <c:v>36.800000000000189</c:v>
                </c:pt>
                <c:pt idx="819">
                  <c:v>36.90000000000019</c:v>
                </c:pt>
                <c:pt idx="820">
                  <c:v>37.000000000000192</c:v>
                </c:pt>
                <c:pt idx="821">
                  <c:v>37.100000000000193</c:v>
                </c:pt>
                <c:pt idx="822">
                  <c:v>37.200000000000195</c:v>
                </c:pt>
                <c:pt idx="823">
                  <c:v>37.300000000000196</c:v>
                </c:pt>
                <c:pt idx="824">
                  <c:v>37.400000000000198</c:v>
                </c:pt>
                <c:pt idx="825">
                  <c:v>37.500000000000199</c:v>
                </c:pt>
                <c:pt idx="826">
                  <c:v>37.6000000000002</c:v>
                </c:pt>
                <c:pt idx="827">
                  <c:v>37.700000000000202</c:v>
                </c:pt>
                <c:pt idx="828">
                  <c:v>37.800000000000203</c:v>
                </c:pt>
                <c:pt idx="829">
                  <c:v>37.900000000000205</c:v>
                </c:pt>
                <c:pt idx="830">
                  <c:v>38.000000000000206</c:v>
                </c:pt>
                <c:pt idx="831">
                  <c:v>38.100000000000207</c:v>
                </c:pt>
                <c:pt idx="832">
                  <c:v>38.200000000000209</c:v>
                </c:pt>
                <c:pt idx="833">
                  <c:v>38.30000000000021</c:v>
                </c:pt>
                <c:pt idx="834">
                  <c:v>38.400000000000212</c:v>
                </c:pt>
                <c:pt idx="835">
                  <c:v>38.500000000000213</c:v>
                </c:pt>
                <c:pt idx="836">
                  <c:v>38.600000000000215</c:v>
                </c:pt>
                <c:pt idx="837">
                  <c:v>38.700000000000216</c:v>
                </c:pt>
                <c:pt idx="838">
                  <c:v>38.800000000000217</c:v>
                </c:pt>
                <c:pt idx="839">
                  <c:v>38.900000000000219</c:v>
                </c:pt>
                <c:pt idx="840">
                  <c:v>39.00000000000022</c:v>
                </c:pt>
                <c:pt idx="841">
                  <c:v>39.100000000000222</c:v>
                </c:pt>
                <c:pt idx="842">
                  <c:v>39.200000000000223</c:v>
                </c:pt>
                <c:pt idx="843">
                  <c:v>39.300000000000225</c:v>
                </c:pt>
                <c:pt idx="844">
                  <c:v>39.400000000000226</c:v>
                </c:pt>
                <c:pt idx="845">
                  <c:v>39.500000000000227</c:v>
                </c:pt>
                <c:pt idx="846">
                  <c:v>39.600000000000229</c:v>
                </c:pt>
                <c:pt idx="847">
                  <c:v>39.70000000000023</c:v>
                </c:pt>
                <c:pt idx="848">
                  <c:v>39.800000000000232</c:v>
                </c:pt>
                <c:pt idx="849">
                  <c:v>39.900000000000233</c:v>
                </c:pt>
                <c:pt idx="850">
                  <c:v>40.000000000000234</c:v>
                </c:pt>
                <c:pt idx="851">
                  <c:v>40.100000000000236</c:v>
                </c:pt>
                <c:pt idx="852">
                  <c:v>40.200000000000237</c:v>
                </c:pt>
                <c:pt idx="853">
                  <c:v>40.300000000000239</c:v>
                </c:pt>
                <c:pt idx="854">
                  <c:v>40.40000000000024</c:v>
                </c:pt>
                <c:pt idx="855">
                  <c:v>40.500000000000242</c:v>
                </c:pt>
                <c:pt idx="856">
                  <c:v>40.600000000000243</c:v>
                </c:pt>
                <c:pt idx="857">
                  <c:v>40.700000000000244</c:v>
                </c:pt>
                <c:pt idx="858">
                  <c:v>40.800000000000246</c:v>
                </c:pt>
                <c:pt idx="859">
                  <c:v>40.900000000000247</c:v>
                </c:pt>
                <c:pt idx="860">
                  <c:v>41.000000000000249</c:v>
                </c:pt>
                <c:pt idx="861">
                  <c:v>41.10000000000025</c:v>
                </c:pt>
                <c:pt idx="862">
                  <c:v>41.200000000000252</c:v>
                </c:pt>
                <c:pt idx="863">
                  <c:v>41.300000000000253</c:v>
                </c:pt>
                <c:pt idx="864">
                  <c:v>41.400000000000254</c:v>
                </c:pt>
                <c:pt idx="865">
                  <c:v>41.500000000000256</c:v>
                </c:pt>
                <c:pt idx="866">
                  <c:v>41.600000000000257</c:v>
                </c:pt>
                <c:pt idx="867">
                  <c:v>41.700000000000259</c:v>
                </c:pt>
                <c:pt idx="868">
                  <c:v>41.80000000000026</c:v>
                </c:pt>
                <c:pt idx="869">
                  <c:v>41.900000000000261</c:v>
                </c:pt>
                <c:pt idx="870">
                  <c:v>42.000000000000263</c:v>
                </c:pt>
                <c:pt idx="871">
                  <c:v>42.100000000000264</c:v>
                </c:pt>
                <c:pt idx="872">
                  <c:v>42.200000000000266</c:v>
                </c:pt>
                <c:pt idx="873">
                  <c:v>42.300000000000267</c:v>
                </c:pt>
                <c:pt idx="874">
                  <c:v>42.400000000000269</c:v>
                </c:pt>
                <c:pt idx="875">
                  <c:v>42.50000000000027</c:v>
                </c:pt>
                <c:pt idx="876">
                  <c:v>42.600000000000271</c:v>
                </c:pt>
                <c:pt idx="877">
                  <c:v>42.700000000000273</c:v>
                </c:pt>
                <c:pt idx="878">
                  <c:v>42.800000000000274</c:v>
                </c:pt>
                <c:pt idx="879">
                  <c:v>42.900000000000276</c:v>
                </c:pt>
                <c:pt idx="880">
                  <c:v>43.000000000000277</c:v>
                </c:pt>
                <c:pt idx="881">
                  <c:v>43.100000000000279</c:v>
                </c:pt>
                <c:pt idx="882">
                  <c:v>43.20000000000028</c:v>
                </c:pt>
                <c:pt idx="883">
                  <c:v>43.300000000000281</c:v>
                </c:pt>
                <c:pt idx="884">
                  <c:v>43.400000000000283</c:v>
                </c:pt>
                <c:pt idx="885">
                  <c:v>43.500000000000284</c:v>
                </c:pt>
                <c:pt idx="886">
                  <c:v>43.600000000000286</c:v>
                </c:pt>
                <c:pt idx="887">
                  <c:v>43.700000000000287</c:v>
                </c:pt>
                <c:pt idx="888">
                  <c:v>43.800000000000288</c:v>
                </c:pt>
                <c:pt idx="889">
                  <c:v>43.90000000000029</c:v>
                </c:pt>
                <c:pt idx="890">
                  <c:v>44.000000000000291</c:v>
                </c:pt>
                <c:pt idx="891">
                  <c:v>44.100000000000293</c:v>
                </c:pt>
                <c:pt idx="892">
                  <c:v>44.200000000000294</c:v>
                </c:pt>
                <c:pt idx="893">
                  <c:v>44.300000000000296</c:v>
                </c:pt>
                <c:pt idx="894">
                  <c:v>44.400000000000297</c:v>
                </c:pt>
                <c:pt idx="895">
                  <c:v>44.500000000000298</c:v>
                </c:pt>
                <c:pt idx="896">
                  <c:v>44.6000000000003</c:v>
                </c:pt>
                <c:pt idx="897">
                  <c:v>44.700000000000301</c:v>
                </c:pt>
                <c:pt idx="898">
                  <c:v>44.800000000000303</c:v>
                </c:pt>
                <c:pt idx="899">
                  <c:v>44.900000000000304</c:v>
                </c:pt>
                <c:pt idx="900">
                  <c:v>45.000000000000306</c:v>
                </c:pt>
                <c:pt idx="901">
                  <c:v>45.100000000000307</c:v>
                </c:pt>
                <c:pt idx="902">
                  <c:v>45.200000000000308</c:v>
                </c:pt>
                <c:pt idx="903">
                  <c:v>45.30000000000031</c:v>
                </c:pt>
                <c:pt idx="904">
                  <c:v>45.400000000000311</c:v>
                </c:pt>
                <c:pt idx="905">
                  <c:v>45.500000000000313</c:v>
                </c:pt>
                <c:pt idx="906">
                  <c:v>45.600000000000314</c:v>
                </c:pt>
                <c:pt idx="907">
                  <c:v>45.700000000000315</c:v>
                </c:pt>
                <c:pt idx="908">
                  <c:v>45.800000000000317</c:v>
                </c:pt>
                <c:pt idx="909">
                  <c:v>45.900000000000318</c:v>
                </c:pt>
                <c:pt idx="910">
                  <c:v>46.00000000000032</c:v>
                </c:pt>
                <c:pt idx="911">
                  <c:v>46.100000000000321</c:v>
                </c:pt>
                <c:pt idx="912">
                  <c:v>46.200000000000323</c:v>
                </c:pt>
                <c:pt idx="913">
                  <c:v>46.300000000000324</c:v>
                </c:pt>
                <c:pt idx="914">
                  <c:v>46.400000000000325</c:v>
                </c:pt>
                <c:pt idx="915">
                  <c:v>46.500000000000327</c:v>
                </c:pt>
                <c:pt idx="916">
                  <c:v>46.600000000000328</c:v>
                </c:pt>
                <c:pt idx="917">
                  <c:v>46.70000000000033</c:v>
                </c:pt>
                <c:pt idx="918">
                  <c:v>46.800000000000331</c:v>
                </c:pt>
                <c:pt idx="919">
                  <c:v>46.900000000000333</c:v>
                </c:pt>
                <c:pt idx="920">
                  <c:v>47.000000000000334</c:v>
                </c:pt>
                <c:pt idx="921">
                  <c:v>47.100000000000335</c:v>
                </c:pt>
                <c:pt idx="922">
                  <c:v>47.200000000000337</c:v>
                </c:pt>
                <c:pt idx="923">
                  <c:v>47.300000000000338</c:v>
                </c:pt>
                <c:pt idx="924">
                  <c:v>47.40000000000034</c:v>
                </c:pt>
                <c:pt idx="925">
                  <c:v>47.500000000000341</c:v>
                </c:pt>
                <c:pt idx="926">
                  <c:v>47.600000000000342</c:v>
                </c:pt>
                <c:pt idx="927">
                  <c:v>47.700000000000344</c:v>
                </c:pt>
                <c:pt idx="928">
                  <c:v>47.800000000000345</c:v>
                </c:pt>
                <c:pt idx="929">
                  <c:v>47.900000000000347</c:v>
                </c:pt>
                <c:pt idx="930">
                  <c:v>48.000000000000348</c:v>
                </c:pt>
                <c:pt idx="931">
                  <c:v>48.10000000000035</c:v>
                </c:pt>
                <c:pt idx="932">
                  <c:v>48.200000000000351</c:v>
                </c:pt>
                <c:pt idx="933">
                  <c:v>48.300000000000352</c:v>
                </c:pt>
                <c:pt idx="934">
                  <c:v>48.400000000000354</c:v>
                </c:pt>
                <c:pt idx="935">
                  <c:v>48.500000000000355</c:v>
                </c:pt>
                <c:pt idx="936">
                  <c:v>48.600000000000357</c:v>
                </c:pt>
                <c:pt idx="937">
                  <c:v>48.700000000000358</c:v>
                </c:pt>
                <c:pt idx="938">
                  <c:v>48.80000000000036</c:v>
                </c:pt>
                <c:pt idx="939">
                  <c:v>48.900000000000361</c:v>
                </c:pt>
                <c:pt idx="940">
                  <c:v>49.000000000000362</c:v>
                </c:pt>
                <c:pt idx="941">
                  <c:v>49.100000000000364</c:v>
                </c:pt>
                <c:pt idx="942">
                  <c:v>49.200000000000365</c:v>
                </c:pt>
                <c:pt idx="943">
                  <c:v>49.300000000000367</c:v>
                </c:pt>
                <c:pt idx="944">
                  <c:v>49.400000000000368</c:v>
                </c:pt>
                <c:pt idx="945">
                  <c:v>49.500000000000369</c:v>
                </c:pt>
                <c:pt idx="946">
                  <c:v>49.500100000000373</c:v>
                </c:pt>
                <c:pt idx="947">
                  <c:v>49.500200000000376</c:v>
                </c:pt>
                <c:pt idx="948">
                  <c:v>49.500300000000379</c:v>
                </c:pt>
                <c:pt idx="949">
                  <c:v>49.500400000000383</c:v>
                </c:pt>
                <c:pt idx="950">
                  <c:v>49.500500000000386</c:v>
                </c:pt>
                <c:pt idx="951">
                  <c:v>49.500600000000389</c:v>
                </c:pt>
                <c:pt idx="952">
                  <c:v>49.500700000000393</c:v>
                </c:pt>
                <c:pt idx="953">
                  <c:v>49.500800000000396</c:v>
                </c:pt>
                <c:pt idx="954">
                  <c:v>49.500900000000399</c:v>
                </c:pt>
                <c:pt idx="955">
                  <c:v>49.501000000000403</c:v>
                </c:pt>
                <c:pt idx="956">
                  <c:v>49.501100000000406</c:v>
                </c:pt>
                <c:pt idx="957">
                  <c:v>49.501200000000409</c:v>
                </c:pt>
                <c:pt idx="958">
                  <c:v>49.501300000000413</c:v>
                </c:pt>
                <c:pt idx="959">
                  <c:v>49.501400000000416</c:v>
                </c:pt>
                <c:pt idx="960">
                  <c:v>49.501500000000419</c:v>
                </c:pt>
                <c:pt idx="961">
                  <c:v>49.501600000000423</c:v>
                </c:pt>
                <c:pt idx="962">
                  <c:v>49.501700000000426</c:v>
                </c:pt>
                <c:pt idx="963">
                  <c:v>49.501800000000429</c:v>
                </c:pt>
                <c:pt idx="964">
                  <c:v>49.501900000000433</c:v>
                </c:pt>
                <c:pt idx="965">
                  <c:v>49.502000000000436</c:v>
                </c:pt>
                <c:pt idx="966">
                  <c:v>49.502100000000439</c:v>
                </c:pt>
                <c:pt idx="967">
                  <c:v>49.502200000000443</c:v>
                </c:pt>
                <c:pt idx="968">
                  <c:v>49.502300000000446</c:v>
                </c:pt>
                <c:pt idx="969">
                  <c:v>49.502400000000449</c:v>
                </c:pt>
                <c:pt idx="970">
                  <c:v>49.502500000000452</c:v>
                </c:pt>
                <c:pt idx="971">
                  <c:v>49.502600000000456</c:v>
                </c:pt>
                <c:pt idx="972">
                  <c:v>49.502700000000459</c:v>
                </c:pt>
                <c:pt idx="973">
                  <c:v>49.502800000000462</c:v>
                </c:pt>
                <c:pt idx="974">
                  <c:v>49.502900000000466</c:v>
                </c:pt>
                <c:pt idx="975">
                  <c:v>49.503000000000469</c:v>
                </c:pt>
                <c:pt idx="976">
                  <c:v>49.503100000000472</c:v>
                </c:pt>
                <c:pt idx="977">
                  <c:v>49.503200000000476</c:v>
                </c:pt>
                <c:pt idx="978">
                  <c:v>49.503300000000479</c:v>
                </c:pt>
                <c:pt idx="979">
                  <c:v>49.503400000000482</c:v>
                </c:pt>
                <c:pt idx="980">
                  <c:v>49.503500000000486</c:v>
                </c:pt>
                <c:pt idx="981">
                  <c:v>49.503600000000489</c:v>
                </c:pt>
                <c:pt idx="982">
                  <c:v>49.503700000000492</c:v>
                </c:pt>
                <c:pt idx="983">
                  <c:v>49.503800000000496</c:v>
                </c:pt>
                <c:pt idx="984">
                  <c:v>49.503900000000499</c:v>
                </c:pt>
                <c:pt idx="985">
                  <c:v>49.504000000000502</c:v>
                </c:pt>
                <c:pt idx="986">
                  <c:v>49.504100000000506</c:v>
                </c:pt>
                <c:pt idx="987">
                  <c:v>49.504200000000509</c:v>
                </c:pt>
                <c:pt idx="988">
                  <c:v>49.504300000000512</c:v>
                </c:pt>
                <c:pt idx="989">
                  <c:v>49.504400000000516</c:v>
                </c:pt>
                <c:pt idx="990">
                  <c:v>49.504500000000519</c:v>
                </c:pt>
                <c:pt idx="991">
                  <c:v>49.504600000000522</c:v>
                </c:pt>
                <c:pt idx="992">
                  <c:v>49.504700000000526</c:v>
                </c:pt>
                <c:pt idx="993">
                  <c:v>49.504800000000529</c:v>
                </c:pt>
                <c:pt idx="994">
                  <c:v>49.504900000000532</c:v>
                </c:pt>
                <c:pt idx="995">
                  <c:v>49.505000000000535</c:v>
                </c:pt>
                <c:pt idx="996">
                  <c:v>49.505100000000539</c:v>
                </c:pt>
                <c:pt idx="997">
                  <c:v>49.505200000000542</c:v>
                </c:pt>
                <c:pt idx="998">
                  <c:v>49.505300000000545</c:v>
                </c:pt>
                <c:pt idx="999">
                  <c:v>49.505400000000549</c:v>
                </c:pt>
                <c:pt idx="1000">
                  <c:v>49.505500000000552</c:v>
                </c:pt>
              </c:numCache>
            </c:numRef>
          </c:xVal>
          <c:yVal>
            <c:numRef>
              <c:f>Calculs!$I$4:$I$1004</c:f>
              <c:numCache>
                <c:formatCode>0.00</c:formatCode>
                <c:ptCount val="1001"/>
                <c:pt idx="0">
                  <c:v>0</c:v>
                </c:pt>
                <c:pt idx="1">
                  <c:v>9.7279178708327724E-2</c:v>
                </c:pt>
                <c:pt idx="2">
                  <c:v>0.40971116973640187</c:v>
                </c:pt>
                <c:pt idx="3">
                  <c:v>0.8114580263324066</c:v>
                </c:pt>
                <c:pt idx="4">
                  <c:v>1.3025897978545367</c:v>
                </c:pt>
                <c:pt idx="5">
                  <c:v>1.8831879524867439</c:v>
                </c:pt>
                <c:pt idx="6">
                  <c:v>2.5533452715373168</c:v>
                </c:pt>
                <c:pt idx="7">
                  <c:v>3.313165748034272</c:v>
                </c:pt>
                <c:pt idx="8">
                  <c:v>4.1627644894732523</c:v>
                </c:pt>
                <c:pt idx="9">
                  <c:v>5.1022676245785705</c:v>
                </c:pt>
                <c:pt idx="10">
                  <c:v>6.1318122139425686</c:v>
                </c:pt>
                <c:pt idx="11">
                  <c:v>7.2001363255313997</c:v>
                </c:pt>
                <c:pt idx="12">
                  <c:v>8.2558612025638283</c:v>
                </c:pt>
                <c:pt idx="13">
                  <c:v>9.2985670660915272</c:v>
                </c:pt>
                <c:pt idx="14">
                  <c:v>10.327833722478189</c:v>
                </c:pt>
                <c:pt idx="15">
                  <c:v>11.343632542819019</c:v>
                </c:pt>
                <c:pt idx="16">
                  <c:v>12.34593538257999</c:v>
                </c:pt>
                <c:pt idx="17">
                  <c:v>13.334714581314918</c:v>
                </c:pt>
                <c:pt idx="18">
                  <c:v>14.309942962307566</c:v>
                </c:pt>
                <c:pt idx="19">
                  <c:v>15.271593832139169</c:v>
                </c:pt>
                <c:pt idx="20">
                  <c:v>16.219640980181893</c:v>
                </c:pt>
                <c:pt idx="21">
                  <c:v>17.154058678018682</c:v>
                </c:pt>
                <c:pt idx="22">
                  <c:v>18.074821678790023</c:v>
                </c:pt>
                <c:pt idx="23">
                  <c:v>18.981905216468093</c:v>
                </c:pt>
                <c:pt idx="24">
                  <c:v>19.875285005058885</c:v>
                </c:pt>
                <c:pt idx="25">
                  <c:v>20.754937237732833</c:v>
                </c:pt>
                <c:pt idx="26">
                  <c:v>21.620838585884488</c:v>
                </c:pt>
                <c:pt idx="27">
                  <c:v>22.479878068957003</c:v>
                </c:pt>
                <c:pt idx="28">
                  <c:v>23.338957308720946</c:v>
                </c:pt>
                <c:pt idx="29">
                  <c:v>24.198071798283198</c:v>
                </c:pt>
                <c:pt idx="30">
                  <c:v>25.057217024881801</c:v>
                </c:pt>
                <c:pt idx="31">
                  <c:v>25.916388469994683</c:v>
                </c:pt>
                <c:pt idx="32">
                  <c:v>26.775581609448828</c:v>
                </c:pt>
                <c:pt idx="33">
                  <c:v>27.634791913529757</c:v>
                </c:pt>
                <c:pt idx="34">
                  <c:v>28.494016090146683</c:v>
                </c:pt>
                <c:pt idx="35">
                  <c:v>29.35325089623835</c:v>
                </c:pt>
                <c:pt idx="36">
                  <c:v>30.212491728909754</c:v>
                </c:pt>
                <c:pt idx="37">
                  <c:v>31.071733982973363</c:v>
                </c:pt>
                <c:pt idx="38">
                  <c:v>31.930973050836613</c:v>
                </c:pt>
                <c:pt idx="39">
                  <c:v>32.790204322421737</c:v>
                </c:pt>
                <c:pt idx="40">
                  <c:v>33.649423185104794</c:v>
                </c:pt>
                <c:pt idx="41">
                  <c:v>34.50862502367147</c:v>
                </c:pt>
                <c:pt idx="42">
                  <c:v>35.367805220287856</c:v>
                </c:pt>
                <c:pt idx="43">
                  <c:v>36.226959154484391</c:v>
                </c:pt>
                <c:pt idx="44">
                  <c:v>37.086082203151612</c:v>
                </c:pt>
                <c:pt idx="45">
                  <c:v>37.945169740546447</c:v>
                </c:pt>
                <c:pt idx="46">
                  <c:v>38.804217138307862</c:v>
                </c:pt>
                <c:pt idx="47">
                  <c:v>39.663219765481038</c:v>
                </c:pt>
                <c:pt idx="48">
                  <c:v>40.522172988549137</c:v>
                </c:pt>
                <c:pt idx="49">
                  <c:v>41.381072171471914</c:v>
                </c:pt>
                <c:pt idx="50">
                  <c:v>42.239912675730643</c:v>
                </c:pt>
                <c:pt idx="51">
                  <c:v>43.09868986037862</c:v>
                </c:pt>
                <c:pt idx="52">
                  <c:v>43.957399082096821</c:v>
                </c:pt>
                <c:pt idx="53">
                  <c:v>44.816035695254264</c:v>
                </c:pt>
                <c:pt idx="54">
                  <c:v>45.674595051972624</c:v>
                </c:pt>
                <c:pt idx="55">
                  <c:v>46.533072502194763</c:v>
                </c:pt>
                <c:pt idx="56">
                  <c:v>47.391463393756872</c:v>
                </c:pt>
                <c:pt idx="57">
                  <c:v>48.249763072463885</c:v>
                </c:pt>
                <c:pt idx="58">
                  <c:v>49.107966882167908</c:v>
                </c:pt>
                <c:pt idx="59">
                  <c:v>49.966070164849491</c:v>
                </c:pt>
                <c:pt idx="60">
                  <c:v>50.824068260701445</c:v>
                </c:pt>
                <c:pt idx="61">
                  <c:v>51.681956508215066</c:v>
                </c:pt>
                <c:pt idx="62">
                  <c:v>52.539730244268512</c:v>
                </c:pt>
                <c:pt idx="63">
                  <c:v>53.397384804217324</c:v>
                </c:pt>
                <c:pt idx="64">
                  <c:v>54.25491552198676</c:v>
                </c:pt>
                <c:pt idx="65">
                  <c:v>55.112317730165927</c:v>
                </c:pt>
                <c:pt idx="66">
                  <c:v>55.969586760103603</c:v>
                </c:pt>
                <c:pt idx="67">
                  <c:v>56.826717942005509</c:v>
                </c:pt>
                <c:pt idx="68">
                  <c:v>57.683706605033045</c:v>
                </c:pt>
                <c:pt idx="69">
                  <c:v>58.540548077403436</c:v>
                </c:pt>
                <c:pt idx="70">
                  <c:v>59.397237686490975</c:v>
                </c:pt>
                <c:pt idx="71">
                  <c:v>60.253770758929562</c:v>
                </c:pt>
                <c:pt idx="72">
                  <c:v>61.11006343893547</c:v>
                </c:pt>
                <c:pt idx="73">
                  <c:v>61.96603174696147</c:v>
                </c:pt>
                <c:pt idx="74">
                  <c:v>62.821670839729272</c:v>
                </c:pt>
                <c:pt idx="75">
                  <c:v>63.67697587608135</c:v>
                </c:pt>
                <c:pt idx="76">
                  <c:v>64.531942017095034</c:v>
                </c:pt>
                <c:pt idx="77">
                  <c:v>65.386564426197396</c:v>
                </c:pt>
                <c:pt idx="78">
                  <c:v>66.240838269280772</c:v>
                </c:pt>
                <c:pt idx="79">
                  <c:v>67.09475871481871</c:v>
                </c:pt>
                <c:pt idx="80">
                  <c:v>67.948320933982714</c:v>
                </c:pt>
                <c:pt idx="81">
                  <c:v>68.801520100759191</c:v>
                </c:pt>
                <c:pt idx="82">
                  <c:v>69.654351392067056</c:v>
                </c:pt>
                <c:pt idx="83">
                  <c:v>70.506809987875627</c:v>
                </c:pt>
                <c:pt idx="84">
                  <c:v>71.358891071323015</c:v>
                </c:pt>
                <c:pt idx="85">
                  <c:v>72.210589828834728</c:v>
                </c:pt>
                <c:pt idx="86">
                  <c:v>73.061901450242729</c:v>
                </c:pt>
                <c:pt idx="87">
                  <c:v>73.912821128904639</c:v>
                </c:pt>
                <c:pt idx="88">
                  <c:v>74.763344061823375</c:v>
                </c:pt>
                <c:pt idx="89">
                  <c:v>75.613465449766792</c:v>
                </c:pt>
                <c:pt idx="90">
                  <c:v>76.463180497387754</c:v>
                </c:pt>
                <c:pt idx="91">
                  <c:v>77.312484413344293</c:v>
                </c:pt>
                <c:pt idx="92">
                  <c:v>78.161372410419816</c:v>
                </c:pt>
                <c:pt idx="93">
                  <c:v>79.009839705643699</c:v>
                </c:pt>
                <c:pt idx="94">
                  <c:v>79.857881520411752</c:v>
                </c:pt>
                <c:pt idx="95">
                  <c:v>80.705493080606942</c:v>
                </c:pt>
                <c:pt idx="96">
                  <c:v>81.552669616720095</c:v>
                </c:pt>
                <c:pt idx="97">
                  <c:v>82.399406363970726</c:v>
                </c:pt>
                <c:pt idx="98">
                  <c:v>83.245698562427862</c:v>
                </c:pt>
                <c:pt idx="99">
                  <c:v>84.091541457130901</c:v>
                </c:pt>
                <c:pt idx="100">
                  <c:v>84.936930298210484</c:v>
                </c:pt>
                <c:pt idx="101">
                  <c:v>85.781860341009349</c:v>
                </c:pt>
                <c:pt idx="102">
                  <c:v>86.626326846203114</c:v>
                </c:pt>
                <c:pt idx="103">
                  <c:v>87.470325079921139</c:v>
                </c:pt>
                <c:pt idx="104">
                  <c:v>88.313850313867192</c:v>
                </c:pt>
                <c:pt idx="105">
                  <c:v>89.156897825440169</c:v>
                </c:pt>
                <c:pt idx="106">
                  <c:v>89.999462897854571</c:v>
                </c:pt>
                <c:pt idx="107">
                  <c:v>90.841540820261045</c:v>
                </c:pt>
                <c:pt idx="108">
                  <c:v>91.683126887866777</c:v>
                </c:pt>
                <c:pt idx="109">
                  <c:v>92.524216402055629</c:v>
                </c:pt>
                <c:pt idx="110">
                  <c:v>93.364804670508363</c:v>
                </c:pt>
                <c:pt idx="111">
                  <c:v>94.204887007322469</c:v>
                </c:pt>
                <c:pt idx="112">
                  <c:v>95.044458733132046</c:v>
                </c:pt>
                <c:pt idx="113">
                  <c:v>95.883515175227387</c:v>
                </c:pt>
                <c:pt idx="114">
                  <c:v>96.722051667674421</c:v>
                </c:pt>
                <c:pt idx="115">
                  <c:v>97.560063551433913</c:v>
                </c:pt>
                <c:pt idx="116">
                  <c:v>98.39754617448061</c:v>
                </c:pt>
                <c:pt idx="117">
                  <c:v>99.234494891921926</c:v>
                </c:pt>
                <c:pt idx="118">
                  <c:v>100.07090506611662</c:v>
                </c:pt>
                <c:pt idx="119">
                  <c:v>100.90677206679311</c:v>
                </c:pt>
                <c:pt idx="120">
                  <c:v>101.7420912711676</c:v>
                </c:pt>
                <c:pt idx="121">
                  <c:v>102.57685806406188</c:v>
                </c:pt>
                <c:pt idx="122">
                  <c:v>103.41106783802103</c:v>
                </c:pt>
                <c:pt idx="123">
                  <c:v>104.24471599343057</c:v>
                </c:pt>
                <c:pt idx="124">
                  <c:v>105.07779793863362</c:v>
                </c:pt>
                <c:pt idx="125">
                  <c:v>105.91030909004751</c:v>
                </c:pt>
                <c:pt idx="126">
                  <c:v>106.74224487228028</c:v>
                </c:pt>
                <c:pt idx="127">
                  <c:v>107.57360071824678</c:v>
                </c:pt>
                <c:pt idx="128">
                  <c:v>108.40437206928442</c:v>
                </c:pt>
                <c:pt idx="129">
                  <c:v>109.23418806934528</c:v>
                </c:pt>
                <c:pt idx="130">
                  <c:v>110.06267741977175</c:v>
                </c:pt>
                <c:pt idx="131">
                  <c:v>110.88983504719405</c:v>
                </c:pt>
                <c:pt idx="132">
                  <c:v>111.71565589986402</c:v>
                </c:pt>
                <c:pt idx="133">
                  <c:v>112.54013494777175</c:v>
                </c:pt>
                <c:pt idx="134">
                  <c:v>113.36326718276104</c:v>
                </c:pt>
                <c:pt idx="135">
                  <c:v>114.18504761864372</c:v>
                </c:pt>
                <c:pt idx="136">
                  <c:v>115.00547129131279</c:v>
                </c:pt>
                <c:pt idx="137">
                  <c:v>115.82453325885437</c:v>
                </c:pt>
                <c:pt idx="138">
                  <c:v>116.64222860165859</c:v>
                </c:pt>
                <c:pt idx="139">
                  <c:v>117.45855242252907</c:v>
                </c:pt>
                <c:pt idx="140">
                  <c:v>118.27349984679148</c:v>
                </c:pt>
                <c:pt idx="141">
                  <c:v>119.08706602240075</c:v>
                </c:pt>
                <c:pt idx="142">
                  <c:v>119.89924612004695</c:v>
                </c:pt>
                <c:pt idx="143">
                  <c:v>120.71003533326028</c:v>
                </c:pt>
                <c:pt idx="144">
                  <c:v>121.51942887851459</c:v>
                </c:pt>
                <c:pt idx="145">
                  <c:v>122.32742199532977</c:v>
                </c:pt>
                <c:pt idx="146">
                  <c:v>123.13400994637288</c:v>
                </c:pt>
                <c:pt idx="147">
                  <c:v>123.9391880175581</c:v>
                </c:pt>
                <c:pt idx="148">
                  <c:v>124.74295151814542</c:v>
                </c:pt>
                <c:pt idx="149">
                  <c:v>125.54529578083802</c:v>
                </c:pt>
                <c:pt idx="150">
                  <c:v>126.34621616187854</c:v>
                </c:pt>
                <c:pt idx="151">
                  <c:v>127.145708041144</c:v>
                </c:pt>
                <c:pt idx="152">
                  <c:v>127.94376682223944</c:v>
                </c:pt>
                <c:pt idx="153">
                  <c:v>128.74038793259035</c:v>
                </c:pt>
                <c:pt idx="154">
                  <c:v>129.53556682353394</c:v>
                </c:pt>
                <c:pt idx="155">
                  <c:v>130.32929897040887</c:v>
                </c:pt>
                <c:pt idx="156">
                  <c:v>131.12157987264405</c:v>
                </c:pt>
                <c:pt idx="157">
                  <c:v>131.91240505384576</c:v>
                </c:pt>
                <c:pt idx="158">
                  <c:v>132.70177006188396</c:v>
                </c:pt>
                <c:pt idx="159">
                  <c:v>133.48967046897684</c:v>
                </c:pt>
                <c:pt idx="160">
                  <c:v>134.2761018717745</c:v>
                </c:pt>
                <c:pt idx="161">
                  <c:v>135.06105989144109</c:v>
                </c:pt>
                <c:pt idx="162">
                  <c:v>135.84454017373565</c:v>
                </c:pt>
                <c:pt idx="163">
                  <c:v>136.62653838909185</c:v>
                </c:pt>
                <c:pt idx="164">
                  <c:v>137.40705023269621</c:v>
                </c:pt>
                <c:pt idx="165">
                  <c:v>138.18607142456514</c:v>
                </c:pt>
                <c:pt idx="166">
                  <c:v>138.96359770962079</c:v>
                </c:pt>
                <c:pt idx="167">
                  <c:v>139.73962485776522</c:v>
                </c:pt>
                <c:pt idx="168">
                  <c:v>140.51414866395368</c:v>
                </c:pt>
                <c:pt idx="169">
                  <c:v>141.28716494826642</c:v>
                </c:pt>
                <c:pt idx="170">
                  <c:v>142.05866955597901</c:v>
                </c:pt>
                <c:pt idx="171">
                  <c:v>142.82865835763167</c:v>
                </c:pt>
                <c:pt idx="172">
                  <c:v>143.5971272490971</c:v>
                </c:pt>
                <c:pt idx="173">
                  <c:v>144.36407215164692</c:v>
                </c:pt>
                <c:pt idx="174">
                  <c:v>145.12948901201702</c:v>
                </c:pt>
                <c:pt idx="175">
                  <c:v>145.89337380247144</c:v>
                </c:pt>
                <c:pt idx="176">
                  <c:v>146.65572252086483</c:v>
                </c:pt>
                <c:pt idx="177">
                  <c:v>147.41653119070401</c:v>
                </c:pt>
                <c:pt idx="178">
                  <c:v>148.17579586120755</c:v>
                </c:pt>
                <c:pt idx="179">
                  <c:v>148.93351260736466</c:v>
                </c:pt>
                <c:pt idx="180">
                  <c:v>149.68967752999245</c:v>
                </c:pt>
                <c:pt idx="181">
                  <c:v>150.44428675579181</c:v>
                </c:pt>
                <c:pt idx="182">
                  <c:v>151.19733643740219</c:v>
                </c:pt>
                <c:pt idx="183">
                  <c:v>151.94882275345481</c:v>
                </c:pt>
                <c:pt idx="184">
                  <c:v>152.69874190862481</c:v>
                </c:pt>
                <c:pt idx="185">
                  <c:v>153.44709013368191</c:v>
                </c:pt>
                <c:pt idx="186">
                  <c:v>154.19386368553972</c:v>
                </c:pt>
                <c:pt idx="187">
                  <c:v>154.93905884730381</c:v>
                </c:pt>
                <c:pt idx="188">
                  <c:v>155.68267192831846</c:v>
                </c:pt>
                <c:pt idx="189">
                  <c:v>156.42469926421208</c:v>
                </c:pt>
                <c:pt idx="190">
                  <c:v>157.1651372169413</c:v>
                </c:pt>
                <c:pt idx="191">
                  <c:v>157.90398217483366</c:v>
                </c:pt>
                <c:pt idx="192">
                  <c:v>158.64123055262917</c:v>
                </c:pt>
                <c:pt idx="193">
                  <c:v>159.3768787915204</c:v>
                </c:pt>
                <c:pt idx="194">
                  <c:v>160.11092335919122</c:v>
                </c:pt>
                <c:pt idx="195">
                  <c:v>160.8433607498545</c:v>
                </c:pt>
                <c:pt idx="196">
                  <c:v>161.57418748428805</c:v>
                </c:pt>
                <c:pt idx="197">
                  <c:v>162.30340010986976</c:v>
                </c:pt>
                <c:pt idx="198">
                  <c:v>163.03099520061096</c:v>
                </c:pt>
                <c:pt idx="199">
                  <c:v>163.75696935718878</c:v>
                </c:pt>
                <c:pt idx="200">
                  <c:v>164.48131920697713</c:v>
                </c:pt>
                <c:pt idx="201">
                  <c:v>165.20404140407626</c:v>
                </c:pt>
                <c:pt idx="202">
                  <c:v>165.92513262934128</c:v>
                </c:pt>
                <c:pt idx="203">
                  <c:v>166.64458959040903</c:v>
                </c:pt>
                <c:pt idx="204">
                  <c:v>167.36240902172389</c:v>
                </c:pt>
                <c:pt idx="205">
                  <c:v>168.07858768456234</c:v>
                </c:pt>
                <c:pt idx="206">
                  <c:v>168.79303262394714</c:v>
                </c:pt>
                <c:pt idx="207">
                  <c:v>169.50565085063351</c:v>
                </c:pt>
                <c:pt idx="208">
                  <c:v>170.21643916727038</c:v>
                </c:pt>
                <c:pt idx="209">
                  <c:v>170.92539440657549</c:v>
                </c:pt>
                <c:pt idx="210">
                  <c:v>171.63251343134317</c:v>
                </c:pt>
                <c:pt idx="211">
                  <c:v>172.33779313445052</c:v>
                </c:pt>
                <c:pt idx="212">
                  <c:v>173.04123043886256</c:v>
                </c:pt>
                <c:pt idx="213">
                  <c:v>173.74282229763534</c:v>
                </c:pt>
                <c:pt idx="214">
                  <c:v>174.44256569391831</c:v>
                </c:pt>
                <c:pt idx="215">
                  <c:v>175.14045764095462</c:v>
                </c:pt>
                <c:pt idx="216">
                  <c:v>175.8364951820804</c:v>
                </c:pt>
                <c:pt idx="217">
                  <c:v>176.53067539072256</c:v>
                </c:pt>
                <c:pt idx="218">
                  <c:v>177.22299537039495</c:v>
                </c:pt>
                <c:pt idx="219">
                  <c:v>177.91345225469342</c:v>
                </c:pt>
                <c:pt idx="220">
                  <c:v>178.60204320728926</c:v>
                </c:pt>
                <c:pt idx="221">
                  <c:v>179.2887654219214</c:v>
                </c:pt>
                <c:pt idx="222">
                  <c:v>179.97361612238706</c:v>
                </c:pt>
                <c:pt idx="223">
                  <c:v>180.6565925625311</c:v>
                </c:pt>
                <c:pt idx="224">
                  <c:v>181.33769202623409</c:v>
                </c:pt>
                <c:pt idx="225">
                  <c:v>182.0169118273987</c:v>
                </c:pt>
                <c:pt idx="226">
                  <c:v>182.69424930993523</c:v>
                </c:pt>
                <c:pt idx="227">
                  <c:v>183.36970184774518</c:v>
                </c:pt>
                <c:pt idx="228">
                  <c:v>184.04326684470385</c:v>
                </c:pt>
                <c:pt idx="229">
                  <c:v>184.71494173464168</c:v>
                </c:pt>
                <c:pt idx="230">
                  <c:v>185.38472398132384</c:v>
                </c:pt>
                <c:pt idx="231">
                  <c:v>186.05261107842892</c:v>
                </c:pt>
                <c:pt idx="232">
                  <c:v>186.71860054952592</c:v>
                </c:pt>
                <c:pt idx="233">
                  <c:v>187.38268994805026</c:v>
                </c:pt>
                <c:pt idx="234">
                  <c:v>188.04487685727815</c:v>
                </c:pt>
                <c:pt idx="235">
                  <c:v>188.7051588903</c:v>
                </c:pt>
                <c:pt idx="236">
                  <c:v>189.36353368999218</c:v>
                </c:pt>
                <c:pt idx="237">
                  <c:v>190.01999892898777</c:v>
                </c:pt>
                <c:pt idx="238">
                  <c:v>190.67455230964586</c:v>
                </c:pt>
                <c:pt idx="239">
                  <c:v>191.3271915640197</c:v>
                </c:pt>
                <c:pt idx="240">
                  <c:v>191.97791445382339</c:v>
                </c:pt>
                <c:pt idx="241">
                  <c:v>192.6267187703975</c:v>
                </c:pt>
                <c:pt idx="242">
                  <c:v>193.27329130390527</c:v>
                </c:pt>
                <c:pt idx="243">
                  <c:v>193.91731874336463</c:v>
                </c:pt>
                <c:pt idx="244">
                  <c:v>194.55879898301669</c:v>
                </c:pt>
                <c:pt idx="245">
                  <c:v>195.19772995751748</c:v>
                </c:pt>
                <c:pt idx="246">
                  <c:v>195.83410964184142</c:v>
                </c:pt>
                <c:pt idx="247">
                  <c:v>196.46793605118279</c:v>
                </c:pt>
                <c:pt idx="248">
                  <c:v>197.09920724085572</c:v>
                </c:pt>
                <c:pt idx="249">
                  <c:v>197.72792130619223</c:v>
                </c:pt>
                <c:pt idx="250">
                  <c:v>198.35407638243868</c:v>
                </c:pt>
                <c:pt idx="251">
                  <c:v>198.97767064465077</c:v>
                </c:pt>
                <c:pt idx="252">
                  <c:v>199.59870230758659</c:v>
                </c:pt>
                <c:pt idx="253">
                  <c:v>200.21716962559807</c:v>
                </c:pt>
                <c:pt idx="254">
                  <c:v>200.83307089252116</c:v>
                </c:pt>
                <c:pt idx="255">
                  <c:v>201.44640444156383</c:v>
                </c:pt>
                <c:pt idx="256">
                  <c:v>202.0571686451932</c:v>
                </c:pt>
                <c:pt idx="257">
                  <c:v>202.6653619150203</c:v>
                </c:pt>
                <c:pt idx="258">
                  <c:v>203.27098270168398</c:v>
                </c:pt>
                <c:pt idx="259">
                  <c:v>203.87402949473295</c:v>
                </c:pt>
                <c:pt idx="260">
                  <c:v>204.47450082250626</c:v>
                </c:pt>
                <c:pt idx="261">
                  <c:v>205.07239525201257</c:v>
                </c:pt>
                <c:pt idx="262">
                  <c:v>205.66771138880759</c:v>
                </c:pt>
                <c:pt idx="263">
                  <c:v>206.26044787687013</c:v>
                </c:pt>
                <c:pt idx="264">
                  <c:v>206.85060339847715</c:v>
                </c:pt>
                <c:pt idx="265">
                  <c:v>207.43817667407663</c:v>
                </c:pt>
                <c:pt idx="266">
                  <c:v>208.02316646215962</c:v>
                </c:pt>
                <c:pt idx="267">
                  <c:v>208.60557155913062</c:v>
                </c:pt>
                <c:pt idx="268">
                  <c:v>209.18539079917664</c:v>
                </c:pt>
                <c:pt idx="269">
                  <c:v>209.76262305413502</c:v>
                </c:pt>
                <c:pt idx="270">
                  <c:v>210.33726723335957</c:v>
                </c:pt>
                <c:pt idx="271">
                  <c:v>210.90932228358579</c:v>
                </c:pt>
                <c:pt idx="272">
                  <c:v>211.47878718879454</c:v>
                </c:pt>
                <c:pt idx="273">
                  <c:v>212.04566097007435</c:v>
                </c:pt>
                <c:pt idx="274">
                  <c:v>212.60994268548276</c:v>
                </c:pt>
                <c:pt idx="275">
                  <c:v>213.17163142990614</c:v>
                </c:pt>
                <c:pt idx="276">
                  <c:v>213.7307263349181</c:v>
                </c:pt>
                <c:pt idx="277">
                  <c:v>214.28722656863741</c:v>
                </c:pt>
                <c:pt idx="278">
                  <c:v>214.84113133558373</c:v>
                </c:pt>
                <c:pt idx="279">
                  <c:v>215.39243987653285</c:v>
                </c:pt>
                <c:pt idx="280">
                  <c:v>215.94115146837061</c:v>
                </c:pt>
                <c:pt idx="281">
                  <c:v>216.48726542394544</c:v>
                </c:pt>
                <c:pt idx="282">
                  <c:v>217.03078109192001</c:v>
                </c:pt>
                <c:pt idx="283">
                  <c:v>217.57169785662163</c:v>
                </c:pt>
                <c:pt idx="284">
                  <c:v>218.11038133233936</c:v>
                </c:pt>
                <c:pt idx="285">
                  <c:v>218.64719719896954</c:v>
                </c:pt>
                <c:pt idx="286">
                  <c:v>219.18214471111145</c:v>
                </c:pt>
                <c:pt idx="287">
                  <c:v>219.71522314726792</c:v>
                </c:pt>
                <c:pt idx="288">
                  <c:v>220.24643180976716</c:v>
                </c:pt>
                <c:pt idx="289">
                  <c:v>220.77577002468408</c:v>
                </c:pt>
                <c:pt idx="290">
                  <c:v>221.30323714176117</c:v>
                </c:pt>
                <c:pt idx="291">
                  <c:v>221.82883253432837</c:v>
                </c:pt>
                <c:pt idx="292">
                  <c:v>222.35255559922254</c:v>
                </c:pt>
                <c:pt idx="293">
                  <c:v>222.87440575670612</c:v>
                </c:pt>
                <c:pt idx="294">
                  <c:v>223.39438245038514</c:v>
                </c:pt>
                <c:pt idx="295">
                  <c:v>223.91248514712686</c:v>
                </c:pt>
                <c:pt idx="296">
                  <c:v>224.42871333697633</c:v>
                </c:pt>
                <c:pt idx="297">
                  <c:v>224.94306653307268</c:v>
                </c:pt>
                <c:pt idx="298">
                  <c:v>225.45554427156472</c:v>
                </c:pt>
                <c:pt idx="299">
                  <c:v>225.96614611152589</c:v>
                </c:pt>
                <c:pt idx="300">
                  <c:v>226.47487163486866</c:v>
                </c:pt>
                <c:pt idx="301">
                  <c:v>226.98172044625827</c:v>
                </c:pt>
                <c:pt idx="302">
                  <c:v>227.48669217302594</c:v>
                </c:pt>
                <c:pt idx="303">
                  <c:v>227.98978646508164</c:v>
                </c:pt>
                <c:pt idx="304">
                  <c:v>228.49100299482603</c:v>
                </c:pt>
                <c:pt idx="305">
                  <c:v>228.99034145706199</c:v>
                </c:pt>
                <c:pt idx="306">
                  <c:v>229.48780156890581</c:v>
                </c:pt>
                <c:pt idx="307">
                  <c:v>229.98338306969728</c:v>
                </c:pt>
                <c:pt idx="308">
                  <c:v>230.47708572091003</c:v>
                </c:pt>
                <c:pt idx="309">
                  <c:v>230.96890930606057</c:v>
                </c:pt>
                <c:pt idx="310">
                  <c:v>231.45885363061748</c:v>
                </c:pt>
                <c:pt idx="311">
                  <c:v>231.94691852190954</c:v>
                </c:pt>
                <c:pt idx="312">
                  <c:v>232.4331038290338</c:v>
                </c:pt>
                <c:pt idx="313">
                  <c:v>232.91740942276294</c:v>
                </c:pt>
                <c:pt idx="314">
                  <c:v>233.39983519545214</c:v>
                </c:pt>
                <c:pt idx="315">
                  <c:v>233.88038106094561</c:v>
                </c:pt>
                <c:pt idx="316">
                  <c:v>234.35904695448258</c:v>
                </c:pt>
                <c:pt idx="317">
                  <c:v>234.83583283260285</c:v>
                </c:pt>
                <c:pt idx="318">
                  <c:v>235.31073867305176</c:v>
                </c:pt>
                <c:pt idx="319">
                  <c:v>235.783764474685</c:v>
                </c:pt>
                <c:pt idx="320">
                  <c:v>236.25491025737287</c:v>
                </c:pt>
                <c:pt idx="321">
                  <c:v>236.7241760619039</c:v>
                </c:pt>
                <c:pt idx="322">
                  <c:v>237.19156194988841</c:v>
                </c:pt>
                <c:pt idx="323">
                  <c:v>237.65706800366144</c:v>
                </c:pt>
                <c:pt idx="324">
                  <c:v>238.12069432618529</c:v>
                </c:pt>
                <c:pt idx="325">
                  <c:v>238.58244104095184</c:v>
                </c:pt>
                <c:pt idx="326">
                  <c:v>239.04233084519862</c:v>
                </c:pt>
                <c:pt idx="327">
                  <c:v>239.5003864526343</c:v>
                </c:pt>
                <c:pt idx="328">
                  <c:v>239.9566080228964</c:v>
                </c:pt>
                <c:pt idx="329">
                  <c:v>240.41099573520432</c:v>
                </c:pt>
                <c:pt idx="330">
                  <c:v>240.86354978826446</c:v>
                </c:pt>
                <c:pt idx="331">
                  <c:v>241.31427040017428</c:v>
                </c:pt>
                <c:pt idx="332">
                  <c:v>241.76315780832667</c:v>
                </c:pt>
                <c:pt idx="333">
                  <c:v>242.21021226931367</c:v>
                </c:pt>
                <c:pt idx="334">
                  <c:v>242.65543405882991</c:v>
                </c:pt>
                <c:pt idx="335">
                  <c:v>243.09882347157583</c:v>
                </c:pt>
                <c:pt idx="336">
                  <c:v>243.54038082116048</c:v>
                </c:pt>
                <c:pt idx="337">
                  <c:v>243.98010644000428</c:v>
                </c:pt>
                <c:pt idx="338">
                  <c:v>244.41800067924109</c:v>
                </c:pt>
                <c:pt idx="339">
                  <c:v>244.85406390862047</c:v>
                </c:pt>
                <c:pt idx="340">
                  <c:v>245.28829651640928</c:v>
                </c:pt>
                <c:pt idx="341">
                  <c:v>245.72069890929322</c:v>
                </c:pt>
                <c:pt idx="342">
                  <c:v>246.1512715122781</c:v>
                </c:pt>
                <c:pt idx="343">
                  <c:v>246.58001476859084</c:v>
                </c:pt>
                <c:pt idx="344">
                  <c:v>247.00692913958034</c:v>
                </c:pt>
                <c:pt idx="345">
                  <c:v>247.43201510461768</c:v>
                </c:pt>
                <c:pt idx="346">
                  <c:v>247.85527316099675</c:v>
                </c:pt>
                <c:pt idx="347">
                  <c:v>248.27670382383425</c:v>
                </c:pt>
                <c:pt idx="348">
                  <c:v>248.6963076259695</c:v>
                </c:pt>
                <c:pt idx="349">
                  <c:v>249.11408511786414</c:v>
                </c:pt>
                <c:pt idx="350">
                  <c:v>249.53003686750165</c:v>
                </c:pt>
                <c:pt idx="351">
                  <c:v>249.94416346028655</c:v>
                </c:pt>
                <c:pt idx="352">
                  <c:v>250.35646549894352</c:v>
                </c:pt>
                <c:pt idx="353">
                  <c:v>250.76694360341648</c:v>
                </c:pt>
                <c:pt idx="354">
                  <c:v>251.17559841076701</c:v>
                </c:pt>
                <c:pt idx="355">
                  <c:v>251.58243057507332</c:v>
                </c:pt>
                <c:pt idx="356">
                  <c:v>251.98744076732842</c:v>
                </c:pt>
                <c:pt idx="357">
                  <c:v>252.39062967533849</c:v>
                </c:pt>
                <c:pt idx="358">
                  <c:v>252.79199800362096</c:v>
                </c:pt>
                <c:pt idx="359">
                  <c:v>253.19154647330265</c:v>
                </c:pt>
                <c:pt idx="360">
                  <c:v>253.58927582201764</c:v>
                </c:pt>
                <c:pt idx="361">
                  <c:v>253.98518680380471</c:v>
                </c:pt>
                <c:pt idx="362">
                  <c:v>254.37928018900541</c:v>
                </c:pt>
                <c:pt idx="363">
                  <c:v>254.77155676416135</c:v>
                </c:pt>
                <c:pt idx="364">
                  <c:v>255.16201733191158</c:v>
                </c:pt>
                <c:pt idx="365">
                  <c:v>255.55066271089007</c:v>
                </c:pt>
                <c:pt idx="366">
                  <c:v>255.93806676315427</c:v>
                </c:pt>
                <c:pt idx="367">
                  <c:v>256.3248031428339</c:v>
                </c:pt>
                <c:pt idx="368">
                  <c:v>256.71087186092177</c:v>
                </c:pt>
                <c:pt idx="369">
                  <c:v>257.09627293405475</c:v>
                </c:pt>
                <c:pt idx="370">
                  <c:v>257.48100638449574</c:v>
                </c:pt>
                <c:pt idx="371">
                  <c:v>257.86507224011547</c:v>
                </c:pt>
                <c:pt idx="372">
                  <c:v>258.24847053437355</c:v>
                </c:pt>
                <c:pt idx="373">
                  <c:v>258.63120130630051</c:v>
                </c:pt>
                <c:pt idx="374">
                  <c:v>259.01326460047875</c:v>
                </c:pt>
                <c:pt idx="375">
                  <c:v>259.39466046702449</c:v>
                </c:pt>
                <c:pt idx="376">
                  <c:v>259.77538896156847</c:v>
                </c:pt>
                <c:pt idx="377">
                  <c:v>260.15545014523775</c:v>
                </c:pt>
                <c:pt idx="378">
                  <c:v>260.53484408463652</c:v>
                </c:pt>
                <c:pt idx="379">
                  <c:v>260.91357085182744</c:v>
                </c:pt>
                <c:pt idx="380">
                  <c:v>261.29163052431255</c:v>
                </c:pt>
                <c:pt idx="381">
                  <c:v>261.6684042075189</c:v>
                </c:pt>
                <c:pt idx="382">
                  <c:v>262.04327328190288</c:v>
                </c:pt>
                <c:pt idx="383">
                  <c:v>262.4162388205329</c:v>
                </c:pt>
                <c:pt idx="384">
                  <c:v>262.78730191235132</c:v>
                </c:pt>
                <c:pt idx="385">
                  <c:v>263.15646366206016</c:v>
                </c:pt>
                <c:pt idx="386">
                  <c:v>263.52372519000693</c:v>
                </c:pt>
                <c:pt idx="387">
                  <c:v>263.88908763207047</c:v>
                </c:pt>
                <c:pt idx="388">
                  <c:v>264.25255213954659</c:v>
                </c:pt>
                <c:pt idx="389">
                  <c:v>264.61411987903386</c:v>
                </c:pt>
                <c:pt idx="390">
                  <c:v>264.97379203231992</c:v>
                </c:pt>
                <c:pt idx="391">
                  <c:v>265.33156979626665</c:v>
                </c:pt>
                <c:pt idx="392">
                  <c:v>265.68745438269667</c:v>
                </c:pt>
                <c:pt idx="393">
                  <c:v>266.04144701827897</c:v>
                </c:pt>
                <c:pt idx="394">
                  <c:v>266.39354894441482</c:v>
                </c:pt>
                <c:pt idx="395">
                  <c:v>266.74376141712401</c:v>
                </c:pt>
                <c:pt idx="396">
                  <c:v>267.09208570693085</c:v>
                </c:pt>
                <c:pt idx="397">
                  <c:v>267.43852309875041</c:v>
                </c:pt>
                <c:pt idx="398">
                  <c:v>267.78307489177445</c:v>
                </c:pt>
                <c:pt idx="399">
                  <c:v>268.12574239935816</c:v>
                </c:pt>
                <c:pt idx="400">
                  <c:v>268.46652694890611</c:v>
                </c:pt>
                <c:pt idx="401">
                  <c:v>268.80494354591008</c:v>
                </c:pt>
                <c:pt idx="402">
                  <c:v>269.14050747563215</c:v>
                </c:pt>
                <c:pt idx="403">
                  <c:v>269.47322097290424</c:v>
                </c:pt>
                <c:pt idx="404">
                  <c:v>269.80308629660749</c:v>
                </c:pt>
                <c:pt idx="405">
                  <c:v>270.13010572943591</c:v>
                </c:pt>
                <c:pt idx="406">
                  <c:v>270.45428157766048</c:v>
                </c:pt>
                <c:pt idx="407">
                  <c:v>270.77561617089316</c:v>
                </c:pt>
                <c:pt idx="408">
                  <c:v>271.09411186185173</c:v>
                </c:pt>
                <c:pt idx="409">
                  <c:v>271.40977102612459</c:v>
                </c:pt>
                <c:pt idx="410">
                  <c:v>271.72259606193603</c:v>
                </c:pt>
                <c:pt idx="411">
                  <c:v>272.0299039111066</c:v>
                </c:pt>
                <c:pt idx="412">
                  <c:v>272.32901323348023</c:v>
                </c:pt>
                <c:pt idx="413">
                  <c:v>272.61993168384407</c:v>
                </c:pt>
                <c:pt idx="414">
                  <c:v>272.9026670425082</c:v>
                </c:pt>
                <c:pt idx="415">
                  <c:v>273.17722721359826</c:v>
                </c:pt>
                <c:pt idx="416">
                  <c:v>273.44362022335059</c:v>
                </c:pt>
                <c:pt idx="417">
                  <c:v>273.70185421840881</c:v>
                </c:pt>
                <c:pt idx="418">
                  <c:v>273.95193746412366</c:v>
                </c:pt>
                <c:pt idx="419">
                  <c:v>274.19387834285408</c:v>
                </c:pt>
                <c:pt idx="420">
                  <c:v>274.4261586672414</c:v>
                </c:pt>
                <c:pt idx="421">
                  <c:v>274.6472615958711</c:v>
                </c:pt>
                <c:pt idx="422">
                  <c:v>274.85719924248463</c:v>
                </c:pt>
                <c:pt idx="423">
                  <c:v>275.05598392230672</c:v>
                </c:pt>
                <c:pt idx="424">
                  <c:v>275.24362814890708</c:v>
                </c:pt>
                <c:pt idx="425">
                  <c:v>275.4201446310658</c:v>
                </c:pt>
                <c:pt idx="426">
                  <c:v>275.58554626964417</c:v>
                </c:pt>
                <c:pt idx="427">
                  <c:v>275.73984615446017</c:v>
                </c:pt>
                <c:pt idx="428">
                  <c:v>275.88305756117086</c:v>
                </c:pt>
                <c:pt idx="429">
                  <c:v>276.01519394816034</c:v>
                </c:pt>
                <c:pt idx="430">
                  <c:v>276.13626895343469</c:v>
                </c:pt>
                <c:pt idx="431">
                  <c:v>276.24629639152403</c:v>
                </c:pt>
                <c:pt idx="432">
                  <c:v>276.34283208450444</c:v>
                </c:pt>
                <c:pt idx="433">
                  <c:v>276.42343472545826</c:v>
                </c:pt>
                <c:pt idx="434">
                  <c:v>276.48812522139252</c:v>
                </c:pt>
                <c:pt idx="435">
                  <c:v>276.53692483140878</c:v>
                </c:pt>
                <c:pt idx="436">
                  <c:v>276.56985516030596</c:v>
                </c:pt>
                <c:pt idx="437">
                  <c:v>276.58693815219476</c:v>
                </c:pt>
                <c:pt idx="438">
                  <c:v>276.58819608412512</c:v>
                </c:pt>
                <c:pt idx="439">
                  <c:v>276.57365155972803</c:v>
                </c:pt>
                <c:pt idx="440">
                  <c:v>276.5433275028725</c:v>
                </c:pt>
                <c:pt idx="441">
                  <c:v>276.49724715133902</c:v>
                </c:pt>
                <c:pt idx="442">
                  <c:v>276.43692613020971</c:v>
                </c:pt>
                <c:pt idx="443">
                  <c:v>276.36387824953397</c:v>
                </c:pt>
                <c:pt idx="444">
                  <c:v>276.27812294344011</c:v>
                </c:pt>
                <c:pt idx="445">
                  <c:v>276.17967982455434</c:v>
                </c:pt>
                <c:pt idx="446">
                  <c:v>276.06856867995714</c:v>
                </c:pt>
                <c:pt idx="447">
                  <c:v>275.94480946715595</c:v>
                </c:pt>
                <c:pt idx="448">
                  <c:v>275.80842231007779</c:v>
                </c:pt>
                <c:pt idx="449">
                  <c:v>275.65942749508002</c:v>
                </c:pt>
                <c:pt idx="450">
                  <c:v>275.49784546698049</c:v>
                </c:pt>
                <c:pt idx="451">
                  <c:v>275.32369682510779</c:v>
                </c:pt>
                <c:pt idx="452">
                  <c:v>275.1370023193715</c:v>
                </c:pt>
                <c:pt idx="453">
                  <c:v>274.93991841467312</c:v>
                </c:pt>
                <c:pt idx="454">
                  <c:v>274.7345981500153</c:v>
                </c:pt>
                <c:pt idx="455">
                  <c:v>274.52105521508076</c:v>
                </c:pt>
                <c:pt idx="456">
                  <c:v>274.29930333759648</c:v>
                </c:pt>
                <c:pt idx="457">
                  <c:v>274.06935628176711</c:v>
                </c:pt>
                <c:pt idx="458">
                  <c:v>273.83122784671963</c:v>
                </c:pt>
                <c:pt idx="459">
                  <c:v>273.58493186495883</c:v>
                </c:pt>
                <c:pt idx="460">
                  <c:v>273.33048220083492</c:v>
                </c:pt>
                <c:pt idx="461">
                  <c:v>273.06981411972595</c:v>
                </c:pt>
                <c:pt idx="462">
                  <c:v>272.8048595074539</c:v>
                </c:pt>
                <c:pt idx="463">
                  <c:v>272.53562533460854</c:v>
                </c:pt>
                <c:pt idx="464">
                  <c:v>272.26211856234511</c:v>
                </c:pt>
                <c:pt idx="465">
                  <c:v>271.98434614205104</c:v>
                </c:pt>
                <c:pt idx="466">
                  <c:v>271.70070108215077</c:v>
                </c:pt>
                <c:pt idx="467">
                  <c:v>271.40957929902004</c:v>
                </c:pt>
                <c:pt idx="468">
                  <c:v>271.09302106477975</c:v>
                </c:pt>
                <c:pt idx="469">
                  <c:v>270.75509439928044</c:v>
                </c:pt>
                <c:pt idx="470">
                  <c:v>270.41783217340128</c:v>
                </c:pt>
                <c:pt idx="471">
                  <c:v>270.08123204536133</c:v>
                </c:pt>
                <c:pt idx="472">
                  <c:v>269.74529168442211</c:v>
                </c:pt>
                <c:pt idx="473">
                  <c:v>269.41000877082291</c:v>
                </c:pt>
                <c:pt idx="474">
                  <c:v>269.0753809957148</c:v>
                </c:pt>
                <c:pt idx="475">
                  <c:v>268.7414060610962</c:v>
                </c:pt>
                <c:pt idx="476">
                  <c:v>268.4080816797487</c:v>
                </c:pt>
                <c:pt idx="477">
                  <c:v>268.07540557517319</c:v>
                </c:pt>
                <c:pt idx="478">
                  <c:v>267.74337548152658</c:v>
                </c:pt>
                <c:pt idx="479">
                  <c:v>267.41198914355869</c:v>
                </c:pt>
                <c:pt idx="480">
                  <c:v>267.08124431654994</c:v>
                </c:pt>
                <c:pt idx="481">
                  <c:v>266.75113876624965</c:v>
                </c:pt>
                <c:pt idx="482">
                  <c:v>266.42167026881384</c:v>
                </c:pt>
                <c:pt idx="483">
                  <c:v>266.09283661074471</c:v>
                </c:pt>
                <c:pt idx="484">
                  <c:v>265.76463558882949</c:v>
                </c:pt>
                <c:pt idx="485">
                  <c:v>265.43706501008052</c:v>
                </c:pt>
                <c:pt idx="486">
                  <c:v>265.11012269167526</c:v>
                </c:pt>
                <c:pt idx="487">
                  <c:v>264.78380646089687</c:v>
                </c:pt>
                <c:pt idx="488">
                  <c:v>264.45811415507518</c:v>
                </c:pt>
                <c:pt idx="489">
                  <c:v>264.1330436215282</c:v>
                </c:pt>
                <c:pt idx="490">
                  <c:v>263.80859271750387</c:v>
                </c:pt>
                <c:pt idx="491">
                  <c:v>263.48475931012246</c:v>
                </c:pt>
                <c:pt idx="492">
                  <c:v>263.16154127631893</c:v>
                </c:pt>
                <c:pt idx="493">
                  <c:v>262.83893650278623</c:v>
                </c:pt>
                <c:pt idx="494">
                  <c:v>262.51694288591858</c:v>
                </c:pt>
                <c:pt idx="495">
                  <c:v>262.19555833175536</c:v>
                </c:pt>
                <c:pt idx="496">
                  <c:v>261.87478075592554</c:v>
                </c:pt>
                <c:pt idx="497">
                  <c:v>261.55460808359186</c:v>
                </c:pt>
                <c:pt idx="498">
                  <c:v>261.23503824939621</c:v>
                </c:pt>
                <c:pt idx="499">
                  <c:v>260.91606919740485</c:v>
                </c:pt>
                <c:pt idx="500">
                  <c:v>260.59769888105433</c:v>
                </c:pt>
                <c:pt idx="501">
                  <c:v>257.41998753634743</c:v>
                </c:pt>
                <c:pt idx="502">
                  <c:v>254.30128777271963</c:v>
                </c:pt>
                <c:pt idx="503">
                  <c:v>251.23962586988392</c:v>
                </c:pt>
                <c:pt idx="504">
                  <c:v>248.23311556271253</c:v>
                </c:pt>
                <c:pt idx="505">
                  <c:v>245.27995319621053</c:v>
                </c:pt>
                <c:pt idx="506">
                  <c:v>242.37841320119639</c:v>
                </c:pt>
                <c:pt idx="507">
                  <c:v>239.52684386608186</c:v>
                </c:pt>
                <c:pt idx="508">
                  <c:v>236.72366338228576</c:v>
                </c:pt>
                <c:pt idx="509">
                  <c:v>233.96735614275161</c:v>
                </c:pt>
                <c:pt idx="510">
                  <c:v>231.25646927478596</c:v>
                </c:pt>
                <c:pt idx="511">
                  <c:v>228.58960939001798</c:v>
                </c:pt>
                <c:pt idx="512">
                  <c:v>225.96543953571319</c:v>
                </c:pt>
                <c:pt idx="513">
                  <c:v>223.38267633297522</c:v>
                </c:pt>
                <c:pt idx="514">
                  <c:v>220.84008728854909</c:v>
                </c:pt>
                <c:pt idx="515">
                  <c:v>218.33648826801291</c:v>
                </c:pt>
                <c:pt idx="516">
                  <c:v>215.87074111912091</c:v>
                </c:pt>
                <c:pt idx="517">
                  <c:v>213.44175143494934</c:v>
                </c:pt>
                <c:pt idx="518">
                  <c:v>211.0484664473077</c:v>
                </c:pt>
                <c:pt idx="519">
                  <c:v>208.68987304161723</c:v>
                </c:pt>
                <c:pt idx="520">
                  <c:v>206.36499588513388</c:v>
                </c:pt>
                <c:pt idx="521">
                  <c:v>204.07289566101062</c:v>
                </c:pt>
                <c:pt idx="522">
                  <c:v>201.81266740125963</c:v>
                </c:pt>
                <c:pt idx="523">
                  <c:v>199.58343891219141</c:v>
                </c:pt>
                <c:pt idx="524">
                  <c:v>197.38436928638367</c:v>
                </c:pt>
                <c:pt idx="525">
                  <c:v>195.21464749566729</c:v>
                </c:pt>
                <c:pt idx="526">
                  <c:v>193.07349106001644</c:v>
                </c:pt>
                <c:pt idx="527">
                  <c:v>190.96014478759807</c:v>
                </c:pt>
                <c:pt idx="528">
                  <c:v>188.87387958157274</c:v>
                </c:pt>
                <c:pt idx="529">
                  <c:v>186.81399130955126</c:v>
                </c:pt>
                <c:pt idx="530">
                  <c:v>184.77979973189636</c:v>
                </c:pt>
                <c:pt idx="531">
                  <c:v>182.77064748532462</c:v>
                </c:pt>
                <c:pt idx="532">
                  <c:v>180.78589911850617</c:v>
                </c:pt>
                <c:pt idx="533">
                  <c:v>178.82494017658578</c:v>
                </c:pt>
                <c:pt idx="534">
                  <c:v>176.8871763317558</c:v>
                </c:pt>
                <c:pt idx="535">
                  <c:v>174.9720325572049</c:v>
                </c:pt>
                <c:pt idx="536">
                  <c:v>173.07895234194362</c:v>
                </c:pt>
                <c:pt idx="537">
                  <c:v>171.20739694417279</c:v>
                </c:pt>
                <c:pt idx="538">
                  <c:v>169.35684468101314</c:v>
                </c:pt>
                <c:pt idx="539">
                  <c:v>167.52679025255725</c:v>
                </c:pt>
                <c:pt idx="540">
                  <c:v>165.71674409833417</c:v>
                </c:pt>
                <c:pt idx="541">
                  <c:v>163.92623178440141</c:v>
                </c:pt>
                <c:pt idx="542">
                  <c:v>162.15479341939027</c:v>
                </c:pt>
                <c:pt idx="543">
                  <c:v>160.4019830979374</c:v>
                </c:pt>
                <c:pt idx="544">
                  <c:v>158.66736837003225</c:v>
                </c:pt>
                <c:pt idx="545">
                  <c:v>156.95052973490212</c:v>
                </c:pt>
                <c:pt idx="546">
                  <c:v>155.2510601581416</c:v>
                </c:pt>
                <c:pt idx="547">
                  <c:v>153.56856461087168</c:v>
                </c:pt>
                <c:pt idx="548">
                  <c:v>151.90265962978819</c:v>
                </c:pt>
                <c:pt idx="549">
                  <c:v>150.25297289702885</c:v>
                </c:pt>
                <c:pt idx="550">
                  <c:v>148.61914283885142</c:v>
                </c:pt>
                <c:pt idx="551">
                  <c:v>147.00081824217651</c:v>
                </c:pt>
                <c:pt idx="552">
                  <c:v>145.39765788810493</c:v>
                </c:pt>
                <c:pt idx="553">
                  <c:v>143.80933020157201</c:v>
                </c:pt>
                <c:pt idx="554">
                  <c:v>142.23551291635064</c:v>
                </c:pt>
                <c:pt idx="555">
                  <c:v>140.67589275466128</c:v>
                </c:pt>
                <c:pt idx="556">
                  <c:v>139.13016512069072</c:v>
                </c:pt>
                <c:pt idx="557">
                  <c:v>137.59803380736204</c:v>
                </c:pt>
                <c:pt idx="558">
                  <c:v>136.07921071573639</c:v>
                </c:pt>
                <c:pt idx="559">
                  <c:v>134.5734155864632</c:v>
                </c:pt>
                <c:pt idx="560">
                  <c:v>133.08037574273044</c:v>
                </c:pt>
                <c:pt idx="561">
                  <c:v>131.59982584419666</c:v>
                </c:pt>
                <c:pt idx="562">
                  <c:v>130.13150765141813</c:v>
                </c:pt>
                <c:pt idx="563">
                  <c:v>128.67516980031283</c:v>
                </c:pt>
                <c:pt idx="564">
                  <c:v>127.23056758622897</c:v>
                </c:pt>
                <c:pt idx="565">
                  <c:v>125.7974627572121</c:v>
                </c:pt>
                <c:pt idx="566">
                  <c:v>124.37562331608902</c:v>
                </c:pt>
                <c:pt idx="567">
                  <c:v>122.96482333100896</c:v>
                </c:pt>
                <c:pt idx="568">
                  <c:v>121.56484275410527</c:v>
                </c:pt>
                <c:pt idx="569">
                  <c:v>120.17546724796058</c:v>
                </c:pt>
                <c:pt idx="570">
                  <c:v>118.79648801957947</c:v>
                </c:pt>
                <c:pt idx="571">
                  <c:v>117.42770166159035</c:v>
                </c:pt>
                <c:pt idx="572">
                  <c:v>116.06891000041772</c:v>
                </c:pt>
                <c:pt idx="573">
                  <c:v>114.71991995118246</c:v>
                </c:pt>
                <c:pt idx="574">
                  <c:v>113.38054337910528</c:v>
                </c:pt>
                <c:pt idx="575">
                  <c:v>112.05059696720471</c:v>
                </c:pt>
                <c:pt idx="576">
                  <c:v>110.72990209009657</c:v>
                </c:pt>
                <c:pt idx="577">
                  <c:v>109.41828469371738</c:v>
                </c:pt>
                <c:pt idx="578">
                  <c:v>108.1155751808096</c:v>
                </c:pt>
                <c:pt idx="579">
                  <c:v>106.82160830202069</c:v>
                </c:pt>
                <c:pt idx="580">
                  <c:v>105.53622305248322</c:v>
                </c:pt>
                <c:pt idx="581">
                  <c:v>104.25926257375717</c:v>
                </c:pt>
                <c:pt idx="582">
                  <c:v>102.99057406103023</c:v>
                </c:pt>
                <c:pt idx="583">
                  <c:v>101.73000867548602</c:v>
                </c:pt>
                <c:pt idx="584">
                  <c:v>100.47742146176491</c:v>
                </c:pt>
                <c:pt idx="585">
                  <c:v>99.23267127045608</c:v>
                </c:pt>
                <c:pt idx="586">
                  <c:v>97.995620685574991</c:v>
                </c:pt>
                <c:pt idx="587">
                  <c:v>96.766135956994958</c:v>
                </c:pt>
                <c:pt idx="588">
                  <c:v>95.544086937817241</c:v>
                </c:pt>
                <c:pt idx="589">
                  <c:v>94.329347026680182</c:v>
                </c:pt>
                <c:pt idx="590">
                  <c:v>93.121793115024403</c:v>
                </c:pt>
                <c:pt idx="591">
                  <c:v>91.921305539348538</c:v>
                </c:pt>
                <c:pt idx="592">
                  <c:v>90.727768038507762</c:v>
                </c:pt>
                <c:pt idx="593">
                  <c:v>89.541067716127358</c:v>
                </c:pt>
                <c:pt idx="594">
                  <c:v>88.361095008223032</c:v>
                </c:pt>
                <c:pt idx="595">
                  <c:v>87.187743656141492</c:v>
                </c:pt>
                <c:pt idx="596">
                  <c:v>86.020910684958295</c:v>
                </c:pt>
                <c:pt idx="597">
                  <c:v>84.86049638749374</c:v>
                </c:pt>
                <c:pt idx="598">
                  <c:v>83.706404314135085</c:v>
                </c:pt>
                <c:pt idx="599">
                  <c:v>82.558541268681239</c:v>
                </c:pt>
                <c:pt idx="600">
                  <c:v>81.416817310457489</c:v>
                </c:pt>
                <c:pt idx="601">
                  <c:v>80.281145762981339</c:v>
                </c:pt>
                <c:pt idx="602">
                  <c:v>79.15144322949736</c:v>
                </c:pt>
                <c:pt idx="603">
                  <c:v>78.027629615738633</c:v>
                </c:pt>
                <c:pt idx="604">
                  <c:v>76.909628160316387</c:v>
                </c:pt>
                <c:pt idx="605">
                  <c:v>75.797365473187412</c:v>
                </c:pt>
                <c:pt idx="606">
                  <c:v>74.690771582701387</c:v>
                </c:pt>
                <c:pt idx="607">
                  <c:v>73.589779991788291</c:v>
                </c:pt>
                <c:pt idx="608">
                  <c:v>72.494327743910347</c:v>
                </c:pt>
                <c:pt idx="609">
                  <c:v>71.404355499473169</c:v>
                </c:pt>
                <c:pt idx="610">
                  <c:v>70.319807623468904</c:v>
                </c:pt>
                <c:pt idx="611">
                  <c:v>69.240632285211547</c:v>
                </c:pt>
                <c:pt idx="612">
                  <c:v>68.166781571119245</c:v>
                </c:pt>
                <c:pt idx="613">
                  <c:v>67.098211611606175</c:v>
                </c:pt>
                <c:pt idx="614">
                  <c:v>66.034882723264531</c:v>
                </c:pt>
                <c:pt idx="615">
                  <c:v>64.976759567649268</c:v>
                </c:pt>
                <c:pt idx="616">
                  <c:v>63.923811328125012</c:v>
                </c:pt>
                <c:pt idx="617">
                  <c:v>62.876011906398872</c:v>
                </c:pt>
                <c:pt idx="618">
                  <c:v>61.833340140545332</c:v>
                </c:pt>
                <c:pt idx="619">
                  <c:v>60.795780046534375</c:v>
                </c:pt>
                <c:pt idx="620">
                  <c:v>59.763321085501971</c:v>
                </c:pt>
                <c:pt idx="621">
                  <c:v>58.735958459257951</c:v>
                </c:pt>
                <c:pt idx="622">
                  <c:v>57.713693436812413</c:v>
                </c:pt>
                <c:pt idx="623">
                  <c:v>56.696533715021808</c:v>
                </c:pt>
                <c:pt idx="624">
                  <c:v>55.684493816815028</c:v>
                </c:pt>
                <c:pt idx="625">
                  <c:v>54.677595530861396</c:v>
                </c:pt>
                <c:pt idx="626">
                  <c:v>53.675868396992833</c:v>
                </c:pt>
                <c:pt idx="627">
                  <c:v>52.679350242196847</c:v>
                </c:pt>
                <c:pt idx="628">
                  <c:v>51.688087772561396</c:v>
                </c:pt>
                <c:pt idx="629">
                  <c:v>50.702137227184799</c:v>
                </c:pt>
                <c:pt idx="630">
                  <c:v>49.72156510076973</c:v>
                </c:pt>
                <c:pt idx="631">
                  <c:v>48.74644894240938</c:v>
                </c:pt>
                <c:pt idx="632">
                  <c:v>47.776878238952357</c:v>
                </c:pt>
                <c:pt idx="633">
                  <c:v>46.81295539231045</c:v>
                </c:pt>
                <c:pt idx="634">
                  <c:v>45.854796801157541</c:v>
                </c:pt>
                <c:pt idx="635">
                  <c:v>44.902534058665026</c:v>
                </c:pt>
                <c:pt idx="636">
                  <c:v>43.956315279236293</c:v>
                </c:pt>
                <c:pt idx="637">
                  <c:v>43.016306568642605</c:v>
                </c:pt>
                <c:pt idx="638">
                  <c:v>42.082693653524153</c:v>
                </c:pt>
                <c:pt idx="639">
                  <c:v>41.155683687897763</c:v>
                </c:pt>
                <c:pt idx="640">
                  <c:v>40.235507256090976</c:v>
                </c:pt>
                <c:pt idx="641">
                  <c:v>39.322420593374027</c:v>
                </c:pt>
                <c:pt idx="642">
                  <c:v>38.41670804744335</c:v>
                </c:pt>
                <c:pt idx="643">
                  <c:v>37.51868480575363</c:v>
                </c:pt>
                <c:pt idx="644">
                  <c:v>36.628699915402201</c:v>
                </c:pt>
                <c:pt idx="645">
                  <c:v>35.747139623695716</c:v>
                </c:pt>
                <c:pt idx="646">
                  <c:v>34.874431068474458</c:v>
                </c:pt>
                <c:pt idx="647">
                  <c:v>34.011046347457544</c:v>
                </c:pt>
                <c:pt idx="648">
                  <c:v>33.157506994927118</c:v>
                </c:pt>
                <c:pt idx="649">
                  <c:v>32.314388891486182</c:v>
                </c:pt>
                <c:pt idx="650">
                  <c:v>31.482327627738435</c:v>
                </c:pt>
                <c:pt idx="651">
                  <c:v>30.662024334680222</c:v>
                </c:pt>
                <c:pt idx="652">
                  <c:v>29.854251981252329</c:v>
                </c:pt>
                <c:pt idx="653">
                  <c:v>29.059862121472396</c:v>
                </c:pt>
                <c:pt idx="654">
                  <c:v>28.279792048132471</c:v>
                </c:pt>
                <c:pt idx="655">
                  <c:v>27.515072275138902</c:v>
                </c:pt>
                <c:pt idx="656">
                  <c:v>26.766834223817639</c:v>
                </c:pt>
                <c:pt idx="657">
                  <c:v>26.036317927318983</c:v>
                </c:pt>
                <c:pt idx="658">
                  <c:v>25.324879489046584</c:v>
                </c:pt>
                <c:pt idx="659">
                  <c:v>24.633997933622222</c:v>
                </c:pt>
                <c:pt idx="660">
                  <c:v>23.965280971148385</c:v>
                </c:pt>
                <c:pt idx="661">
                  <c:v>23.320469058352312</c:v>
                </c:pt>
                <c:pt idx="662">
                  <c:v>22.701436987914235</c:v>
                </c:pt>
                <c:pt idx="663">
                  <c:v>22.110192079423332</c:v>
                </c:pt>
                <c:pt idx="664">
                  <c:v>21.548867898722499</c:v>
                </c:pt>
                <c:pt idx="665">
                  <c:v>21.019712322809731</c:v>
                </c:pt>
                <c:pt idx="666">
                  <c:v>20.52506873112916</c:v>
                </c:pt>
                <c:pt idx="667">
                  <c:v>20.067349186586526</c:v>
                </c:pt>
                <c:pt idx="668">
                  <c:v>19.64899872168078</c:v>
                </c:pt>
                <c:pt idx="669">
                  <c:v>19.272450313471555</c:v>
                </c:pt>
                <c:pt idx="670">
                  <c:v>18.940070843692595</c:v>
                </c:pt>
                <c:pt idx="671">
                  <c:v>18.654099287335097</c:v>
                </c:pt>
                <c:pt idx="672">
                  <c:v>18.416579487576218</c:v>
                </c:pt>
                <c:pt idx="673">
                  <c:v>18.229291021474541</c:v>
                </c:pt>
                <c:pt idx="674">
                  <c:v>18.093682640936006</c:v>
                </c:pt>
                <c:pt idx="675">
                  <c:v>18.010813356428724</c:v>
                </c:pt>
                <c:pt idx="676">
                  <c:v>17.981306209542318</c:v>
                </c:pt>
                <c:pt idx="677">
                  <c:v>18.005319038699859</c:v>
                </c:pt>
                <c:pt idx="678">
                  <c:v>18.082535111312712</c:v>
                </c:pt>
                <c:pt idx="679">
                  <c:v>18.212174571373755</c:v>
                </c:pt>
                <c:pt idx="680">
                  <c:v>18.393025558456781</c:v>
                </c:pt>
                <c:pt idx="681">
                  <c:v>18.623491962670833</c:v>
                </c:pt>
                <c:pt idx="682">
                  <c:v>18.901653406279397</c:v>
                </c:pt>
                <c:pt idx="683">
                  <c:v>19.225332368390216</c:v>
                </c:pt>
                <c:pt idx="684">
                  <c:v>19.592163410870274</c:v>
                </c:pt>
                <c:pt idx="685">
                  <c:v>19.999660094353409</c:v>
                </c:pt>
                <c:pt idx="686">
                  <c:v>20.445276180440661</c:v>
                </c:pt>
                <c:pt idx="687">
                  <c:v>20.926458869824732</c:v>
                </c:pt>
                <c:pt idx="688">
                  <c:v>21.440692932085575</c:v>
                </c:pt>
                <c:pt idx="689">
                  <c:v>21.985535511828665</c:v>
                </c:pt>
                <c:pt idx="690">
                  <c:v>22.558642086546723</c:v>
                </c:pt>
                <c:pt idx="691">
                  <c:v>23.157784498595525</c:v>
                </c:pt>
                <c:pt idx="692">
                  <c:v>23.780862217598241</c:v>
                </c:pt>
                <c:pt idx="693">
                  <c:v>24.425908058248318</c:v>
                </c:pt>
                <c:pt idx="694">
                  <c:v>25.091089532612418</c:v>
                </c:pt>
                <c:pt idx="695">
                  <c:v>25.774706900630733</c:v>
                </c:pt>
                <c:pt idx="696">
                  <c:v>26.475188832905655</c:v>
                </c:pt>
                <c:pt idx="697">
                  <c:v>27.191086441128473</c:v>
                </c:pt>
                <c:pt idx="698">
                  <c:v>27.921066279645952</c:v>
                </c:pt>
                <c:pt idx="699">
                  <c:v>28.663902785674562</c:v>
                </c:pt>
                <c:pt idx="700">
                  <c:v>29.418470509455453</c:v>
                </c:pt>
                <c:pt idx="701">
                  <c:v>30.183736389850445</c:v>
                </c:pt>
                <c:pt idx="702">
                  <c:v>30.958752254217497</c:v>
                </c:pt>
                <c:pt idx="703">
                  <c:v>31.742647661604771</c:v>
                </c:pt>
                <c:pt idx="704">
                  <c:v>32.534623162745547</c:v>
                </c:pt>
                <c:pt idx="705">
                  <c:v>33.333944016429299</c:v>
                </c:pt>
                <c:pt idx="706">
                  <c:v>34.139934377205101</c:v>
                </c:pt>
                <c:pt idx="707">
                  <c:v>34.951971952000513</c:v>
                </c:pt>
                <c:pt idx="708">
                  <c:v>35.769483111413095</c:v>
                </c:pt>
                <c:pt idx="709">
                  <c:v>36.591938433774935</c:v>
                </c:pt>
                <c:pt idx="710">
                  <c:v>37.418848655512299</c:v>
                </c:pt>
                <c:pt idx="711">
                  <c:v>38.249760998973805</c:v>
                </c:pt>
                <c:pt idx="712">
                  <c:v>39.084255848130233</c:v>
                </c:pt>
                <c:pt idx="713">
                  <c:v>39.921943742867249</c:v>
                </c:pt>
                <c:pt idx="714">
                  <c:v>40.762462663632242</c:v>
                </c:pt>
                <c:pt idx="715">
                  <c:v>41.605475579690506</c:v>
                </c:pt>
                <c:pt idx="716">
                  <c:v>42.450668235999743</c:v>
                </c:pt>
                <c:pt idx="717">
                  <c:v>43.297747155587672</c:v>
                </c:pt>
                <c:pt idx="718">
                  <c:v>44.146437836219881</c:v>
                </c:pt>
                <c:pt idx="719">
                  <c:v>44.996483122009266</c:v>
                </c:pt>
                <c:pt idx="720">
                  <c:v>45.8476417324027</c:v>
                </c:pt>
                <c:pt idx="721">
                  <c:v>46.699686932659795</c:v>
                </c:pt>
                <c:pt idx="722">
                  <c:v>47.55240533149901</c:v>
                </c:pt>
                <c:pt idx="723">
                  <c:v>48.405595793022691</c:v>
                </c:pt>
                <c:pt idx="724">
                  <c:v>49.259068451344497</c:v>
                </c:pt>
                <c:pt idx="725">
                  <c:v>50.112643817534746</c:v>
                </c:pt>
                <c:pt idx="726">
                  <c:v>50.966151969576849</c:v>
                </c:pt>
                <c:pt idx="727">
                  <c:v>51.819431816999163</c:v>
                </c:pt>
                <c:pt idx="728">
                  <c:v>52.672330432718873</c:v>
                </c:pt>
                <c:pt idx="729">
                  <c:v>53.524702445417233</c:v>
                </c:pt>
                <c:pt idx="730">
                  <c:v>54.376409486465349</c:v>
                </c:pt>
                <c:pt idx="731">
                  <c:v>55.227319686045831</c:v>
                </c:pt>
                <c:pt idx="732">
                  <c:v>56.077307213674814</c:v>
                </c:pt>
                <c:pt idx="733">
                  <c:v>56.926251858827719</c:v>
                </c:pt>
                <c:pt idx="734">
                  <c:v>57.774038647817555</c:v>
                </c:pt>
                <c:pt idx="735">
                  <c:v>58.620557493471715</c:v>
                </c:pt>
                <c:pt idx="736">
                  <c:v>59.465702874507485</c:v>
                </c:pt>
                <c:pt idx="737">
                  <c:v>60.309373541822772</c:v>
                </c:pt>
                <c:pt idx="738">
                  <c:v>61.151472249200523</c:v>
                </c:pt>
                <c:pt idx="739">
                  <c:v>61.991905506177019</c:v>
                </c:pt>
                <c:pt idx="740">
                  <c:v>62.830583351049491</c:v>
                </c:pt>
                <c:pt idx="741">
                  <c:v>63.667419142198938</c:v>
                </c:pt>
                <c:pt idx="742">
                  <c:v>64.502329366084055</c:v>
                </c:pt>
                <c:pt idx="743">
                  <c:v>65.335233460422657</c:v>
                </c:pt>
                <c:pt idx="744">
                  <c:v>66.166053651220977</c:v>
                </c:pt>
                <c:pt idx="745">
                  <c:v>66.994714802439844</c:v>
                </c:pt>
                <c:pt idx="746">
                  <c:v>67.821144277202436</c:v>
                </c:pt>
                <c:pt idx="747">
                  <c:v>68.645271809552099</c:v>
                </c:pt>
                <c:pt idx="748">
                  <c:v>69.467029385860997</c:v>
                </c:pt>
                <c:pt idx="749">
                  <c:v>70.286351135075236</c:v>
                </c:pt>
                <c:pt idx="750">
                  <c:v>71.103173227055677</c:v>
                </c:pt>
                <c:pt idx="751">
                  <c:v>71.917433778342925</c:v>
                </c:pt>
                <c:pt idx="752">
                  <c:v>72.729072764734553</c:v>
                </c:pt>
                <c:pt idx="753">
                  <c:v>73.538031940118557</c:v>
                </c:pt>
                <c:pt idx="754">
                  <c:v>74.344254761055993</c:v>
                </c:pt>
                <c:pt idx="755">
                  <c:v>75.147686316650635</c:v>
                </c:pt>
                <c:pt idx="756">
                  <c:v>75.948273263284364</c:v>
                </c:pt>
                <c:pt idx="757">
                  <c:v>76.745963763832847</c:v>
                </c:pt>
                <c:pt idx="758">
                  <c:v>77.540707431009935</c:v>
                </c:pt>
                <c:pt idx="759">
                  <c:v>78.332455274518665</c:v>
                </c:pt>
                <c:pt idx="760">
                  <c:v>79.121159651714422</c:v>
                </c:pt>
                <c:pt idx="761">
                  <c:v>79.90677422151002</c:v>
                </c:pt>
                <c:pt idx="762">
                  <c:v>80.689253901275634</c:v>
                </c:pt>
                <c:pt idx="763">
                  <c:v>81.468554826505994</c:v>
                </c:pt>
                <c:pt idx="764">
                  <c:v>82.244634313046703</c:v>
                </c:pt>
                <c:pt idx="765">
                  <c:v>83.017450821687916</c:v>
                </c:pt>
                <c:pt idx="766">
                  <c:v>83.786963924949006</c:v>
                </c:pt>
                <c:pt idx="767">
                  <c:v>84.553134275892447</c:v>
                </c:pt>
                <c:pt idx="768">
                  <c:v>85.315923578817163</c:v>
                </c:pt>
                <c:pt idx="769">
                  <c:v>86.075294561694022</c:v>
                </c:pt>
                <c:pt idx="770">
                  <c:v>86.831210950216544</c:v>
                </c:pt>
                <c:pt idx="771">
                  <c:v>87.583637443349517</c:v>
                </c:pt>
                <c:pt idx="772">
                  <c:v>88.332539690267737</c:v>
                </c:pt>
                <c:pt idx="773">
                  <c:v>89.077884268584796</c:v>
                </c:pt>
                <c:pt idx="774">
                  <c:v>89.819638663779529</c:v>
                </c:pt>
                <c:pt idx="775">
                  <c:v>90.557771249734927</c:v>
                </c:pt>
                <c:pt idx="776">
                  <c:v>91.29225127031016</c:v>
                </c:pt>
                <c:pt idx="777">
                  <c:v>92.023048821872791</c:v>
                </c:pt>
                <c:pt idx="778">
                  <c:v>92.75013483672312</c:v>
                </c:pt>
                <c:pt idx="779">
                  <c:v>93.473481067347919</c:v>
                </c:pt>
                <c:pt idx="780">
                  <c:v>94.193060071445089</c:v>
                </c:pt>
                <c:pt idx="781">
                  <c:v>94.9088451976653</c:v>
                </c:pt>
                <c:pt idx="782">
                  <c:v>95.620810572020062</c:v>
                </c:pt>
                <c:pt idx="783">
                  <c:v>96.328931084909811</c:v>
                </c:pt>
                <c:pt idx="784">
                  <c:v>97.033182378728569</c:v>
                </c:pt>
                <c:pt idx="785">
                  <c:v>97.733540836004622</c:v>
                </c:pt>
                <c:pt idx="786">
                  <c:v>98.429983568040086</c:v>
                </c:pt>
                <c:pt idx="787">
                  <c:v>99.122488404014121</c:v>
                </c:pt>
                <c:pt idx="788">
                  <c:v>99.811033880517527</c:v>
                </c:pt>
                <c:pt idx="789">
                  <c:v>100.49559923148833</c:v>
                </c:pt>
                <c:pt idx="790">
                  <c:v>101.17616437852028</c:v>
                </c:pt>
                <c:pt idx="791">
                  <c:v>101.85270992151813</c:v>
                </c:pt>
                <c:pt idx="792">
                  <c:v>102.52521712967489</c:v>
                </c:pt>
                <c:pt idx="793">
                  <c:v>103.19366793274874</c:v>
                </c:pt>
                <c:pt idx="794">
                  <c:v>103.85804491261801</c:v>
                </c:pt>
                <c:pt idx="795">
                  <c:v>104.51833129509453</c:v>
                </c:pt>
                <c:pt idx="796">
                  <c:v>105.17451094197689</c:v>
                </c:pt>
                <c:pt idx="797">
                  <c:v>105.82656834332651</c:v>
                </c:pt>
                <c:pt idx="798">
                  <c:v>106.47448860995007</c:v>
                </c:pt>
                <c:pt idx="799">
                  <c:v>107.11825746607376</c:v>
                </c:pt>
                <c:pt idx="800">
                  <c:v>107.75786124219508</c:v>
                </c:pt>
                <c:pt idx="801">
                  <c:v>108.3932868680993</c:v>
                </c:pt>
                <c:pt idx="802">
                  <c:v>109.02452186602828</c:v>
                </c:pt>
                <c:pt idx="803">
                  <c:v>109.65155434399044</c:v>
                </c:pt>
                <c:pt idx="804">
                  <c:v>110.2743729892011</c:v>
                </c:pt>
                <c:pt idx="805">
                  <c:v>110.89296706164363</c:v>
                </c:pt>
                <c:pt idx="806">
                  <c:v>111.50732638774193</c:v>
                </c:pt>
                <c:pt idx="807">
                  <c:v>112.11744135413576</c:v>
                </c:pt>
                <c:pt idx="808">
                  <c:v>112.72330290155102</c:v>
                </c:pt>
                <c:pt idx="809">
                  <c:v>113.32490251875736</c:v>
                </c:pt>
                <c:pt idx="810">
                  <c:v>113.92223223660638</c:v>
                </c:pt>
                <c:pt idx="811">
                  <c:v>114.51528462214389</c:v>
                </c:pt>
                <c:pt idx="812">
                  <c:v>115.10405277279027</c:v>
                </c:pt>
                <c:pt idx="813">
                  <c:v>115.6885303105832</c:v>
                </c:pt>
                <c:pt idx="814">
                  <c:v>116.26871137647791</c:v>
                </c:pt>
                <c:pt idx="815">
                  <c:v>116.84459062469983</c:v>
                </c:pt>
                <c:pt idx="816">
                  <c:v>117.41616321714551</c:v>
                </c:pt>
                <c:pt idx="817">
                  <c:v>117.98342481782721</c:v>
                </c:pt>
                <c:pt idx="818">
                  <c:v>118.546371587358</c:v>
                </c:pt>
                <c:pt idx="819">
                  <c:v>119.1050001774732</c:v>
                </c:pt>
                <c:pt idx="820">
                  <c:v>119.65930772558544</c:v>
                </c:pt>
                <c:pt idx="821">
                  <c:v>120.20929184936996</c:v>
                </c:pt>
                <c:pt idx="822">
                  <c:v>120.7549506413777</c:v>
                </c:pt>
                <c:pt idx="823">
                  <c:v>121.2962826636734</c:v>
                </c:pt>
                <c:pt idx="824">
                  <c:v>121.83328694249654</c:v>
                </c:pt>
                <c:pt idx="825">
                  <c:v>122.36596296294304</c:v>
                </c:pt>
                <c:pt idx="826">
                  <c:v>122.89431066366576</c:v>
                </c:pt>
                <c:pt idx="827">
                  <c:v>123.41833043159187</c:v>
                </c:pt>
                <c:pt idx="828">
                  <c:v>123.93802309665588</c:v>
                </c:pt>
                <c:pt idx="829">
                  <c:v>124.45338992654656</c:v>
                </c:pt>
                <c:pt idx="830">
                  <c:v>124.9644326214668</c:v>
                </c:pt>
                <c:pt idx="831">
                  <c:v>125.47115330890485</c:v>
                </c:pt>
                <c:pt idx="832">
                  <c:v>125.97355453841639</c:v>
                </c:pt>
                <c:pt idx="833">
                  <c:v>126.4716392764163</c:v>
                </c:pt>
                <c:pt idx="834">
                  <c:v>126.96541090097929</c:v>
                </c:pt>
                <c:pt idx="835">
                  <c:v>127.45487319664898</c:v>
                </c:pt>
                <c:pt idx="836">
                  <c:v>127.94003034925474</c:v>
                </c:pt>
                <c:pt idx="837">
                  <c:v>128.42088694073564</c:v>
                </c:pt>
                <c:pt idx="838">
                  <c:v>128.89744794397166</c:v>
                </c:pt>
                <c:pt idx="839">
                  <c:v>129.36971871762105</c:v>
                </c:pt>
                <c:pt idx="840">
                  <c:v>129.83770500096475</c:v>
                </c:pt>
                <c:pt idx="841">
                  <c:v>130.30141290875653</c:v>
                </c:pt>
                <c:pt idx="842">
                  <c:v>130.7608489260796</c:v>
                </c:pt>
                <c:pt idx="843">
                  <c:v>131.2160199032096</c:v>
                </c:pt>
                <c:pt idx="844">
                  <c:v>131.66693305048355</c:v>
                </c:pt>
                <c:pt idx="845">
                  <c:v>132.11359593317547</c:v>
                </c:pt>
                <c:pt idx="846">
                  <c:v>132.55601646637842</c:v>
                </c:pt>
                <c:pt idx="847">
                  <c:v>132.9942029098934</c:v>
                </c:pt>
                <c:pt idx="848">
                  <c:v>133.42816386312538</c:v>
                </c:pt>
                <c:pt idx="849">
                  <c:v>133.85790825998643</c:v>
                </c:pt>
                <c:pt idx="850">
                  <c:v>134.28344536380681</c:v>
                </c:pt>
                <c:pt idx="851">
                  <c:v>134.70478476225418</c:v>
                </c:pt>
                <c:pt idx="852">
                  <c:v>135.12193636226098</c:v>
                </c:pt>
                <c:pt idx="853">
                  <c:v>135.53491038496128</c:v>
                </c:pt>
                <c:pt idx="854">
                  <c:v>135.94371736063641</c:v>
                </c:pt>
                <c:pt idx="855">
                  <c:v>136.34836812367115</c:v>
                </c:pt>
                <c:pt idx="856">
                  <c:v>136.74887380751997</c:v>
                </c:pt>
                <c:pt idx="857">
                  <c:v>137.14524583968443</c:v>
                </c:pt>
                <c:pt idx="858">
                  <c:v>137.53749593670207</c:v>
                </c:pt>
                <c:pt idx="859">
                  <c:v>137.92563609914754</c:v>
                </c:pt>
                <c:pt idx="860">
                  <c:v>138.3096786066464</c:v>
                </c:pt>
                <c:pt idx="861">
                  <c:v>138.68963601290238</c:v>
                </c:pt>
                <c:pt idx="862">
                  <c:v>139.06552114073844</c:v>
                </c:pt>
                <c:pt idx="863">
                  <c:v>139.43734707715271</c:v>
                </c:pt>
                <c:pt idx="864">
                  <c:v>139.8051271683895</c:v>
                </c:pt>
                <c:pt idx="865">
                  <c:v>140.16887501502643</c:v>
                </c:pt>
                <c:pt idx="866">
                  <c:v>140.5286044670778</c:v>
                </c:pt>
                <c:pt idx="867">
                  <c:v>140.88432961911568</c:v>
                </c:pt>
                <c:pt idx="868">
                  <c:v>141.23606480540857</c:v>
                </c:pt>
                <c:pt idx="869">
                  <c:v>141.58382459507894</c:v>
                </c:pt>
                <c:pt idx="870">
                  <c:v>141.92762378727949</c:v>
                </c:pt>
                <c:pt idx="871">
                  <c:v>142.2674774063901</c:v>
                </c:pt>
                <c:pt idx="872">
                  <c:v>142.60340069723486</c:v>
                </c:pt>
                <c:pt idx="873">
                  <c:v>142.93540912032049</c:v>
                </c:pt>
                <c:pt idx="874">
                  <c:v>143.26351834709683</c:v>
                </c:pt>
                <c:pt idx="875">
                  <c:v>143.5877442552399</c:v>
                </c:pt>
                <c:pt idx="876">
                  <c:v>143.90810292395804</c:v>
                </c:pt>
                <c:pt idx="877">
                  <c:v>144.2246106293224</c:v>
                </c:pt>
                <c:pt idx="878">
                  <c:v>144.53728383962147</c:v>
                </c:pt>
                <c:pt idx="879">
                  <c:v>144.84613921074137</c:v>
                </c:pt>
                <c:pt idx="880">
                  <c:v>145.15119358157162</c:v>
                </c:pt>
                <c:pt idx="881">
                  <c:v>145.45246396943753</c:v>
                </c:pt>
                <c:pt idx="882">
                  <c:v>145.74996756555967</c:v>
                </c:pt>
                <c:pt idx="883">
                  <c:v>146.04372173054125</c:v>
                </c:pt>
                <c:pt idx="884">
                  <c:v>146.33374398988352</c:v>
                </c:pt>
                <c:pt idx="885">
                  <c:v>146.62005202953017</c:v>
                </c:pt>
                <c:pt idx="886">
                  <c:v>146.9026636914414</c:v>
                </c:pt>
                <c:pt idx="887">
                  <c:v>147.18159696919787</c:v>
                </c:pt>
                <c:pt idx="888">
                  <c:v>147.45687000363532</c:v>
                </c:pt>
                <c:pt idx="889">
                  <c:v>147.72850107851039</c:v>
                </c:pt>
                <c:pt idx="890">
                  <c:v>147.99650861619821</c:v>
                </c:pt>
                <c:pt idx="891">
                  <c:v>148.26091117342199</c:v>
                </c:pt>
                <c:pt idx="892">
                  <c:v>148.52172743701561</c:v>
                </c:pt>
                <c:pt idx="893">
                  <c:v>148.77897621971931</c:v>
                </c:pt>
                <c:pt idx="894">
                  <c:v>149.03267645600917</c:v>
                </c:pt>
                <c:pt idx="895">
                  <c:v>149.28284719796071</c:v>
                </c:pt>
                <c:pt idx="896">
                  <c:v>149.52950761114727</c:v>
                </c:pt>
                <c:pt idx="897">
                  <c:v>149.77267697057334</c:v>
                </c:pt>
                <c:pt idx="898">
                  <c:v>150.01237465664354</c:v>
                </c:pt>
                <c:pt idx="899">
                  <c:v>150.24862015116747</c:v>
                </c:pt>
                <c:pt idx="900">
                  <c:v>150.48143303340089</c:v>
                </c:pt>
                <c:pt idx="901">
                  <c:v>150.7108329761239</c:v>
                </c:pt>
                <c:pt idx="902">
                  <c:v>150.93683974175582</c:v>
                </c:pt>
                <c:pt idx="903">
                  <c:v>151.15947317850777</c:v>
                </c:pt>
                <c:pt idx="904">
                  <c:v>151.37875321657316</c:v>
                </c:pt>
                <c:pt idx="905">
                  <c:v>151.59469986435607</c:v>
                </c:pt>
                <c:pt idx="906">
                  <c:v>151.80733320473846</c:v>
                </c:pt>
                <c:pt idx="907">
                  <c:v>152.01667339138558</c:v>
                </c:pt>
                <c:pt idx="908">
                  <c:v>152.22274064509119</c:v>
                </c:pt>
                <c:pt idx="909">
                  <c:v>152.42555525016132</c:v>
                </c:pt>
                <c:pt idx="910">
                  <c:v>152.62513755083825</c:v>
                </c:pt>
                <c:pt idx="911">
                  <c:v>152.82150794776396</c:v>
                </c:pt>
                <c:pt idx="912">
                  <c:v>153.0146868944837</c:v>
                </c:pt>
                <c:pt idx="913">
                  <c:v>153.20469489398994</c:v>
                </c:pt>
                <c:pt idx="914">
                  <c:v>153.39155249530668</c:v>
                </c:pt>
                <c:pt idx="915">
                  <c:v>153.57528029011442</c:v>
                </c:pt>
                <c:pt idx="916">
                  <c:v>153.75589890941609</c:v>
                </c:pt>
                <c:pt idx="917">
                  <c:v>153.93342902024369</c:v>
                </c:pt>
                <c:pt idx="918">
                  <c:v>154.10789132240657</c:v>
                </c:pt>
                <c:pt idx="919">
                  <c:v>154.27930654528018</c:v>
                </c:pt>
                <c:pt idx="920">
                  <c:v>154.44769544463713</c:v>
                </c:pt>
                <c:pt idx="921">
                  <c:v>154.61307879951892</c:v>
                </c:pt>
                <c:pt idx="922">
                  <c:v>154.77547740914972</c:v>
                </c:pt>
                <c:pt idx="923">
                  <c:v>154.93491208989167</c:v>
                </c:pt>
                <c:pt idx="924">
                  <c:v>155.0914036722418</c:v>
                </c:pt>
                <c:pt idx="925">
                  <c:v>155.2449729978708</c:v>
                </c:pt>
                <c:pt idx="926">
                  <c:v>155.3956409167036</c:v>
                </c:pt>
                <c:pt idx="927">
                  <c:v>155.54342828404174</c:v>
                </c:pt>
                <c:pt idx="928">
                  <c:v>155.68835595772742</c:v>
                </c:pt>
                <c:pt idx="929">
                  <c:v>155.83044479534971</c:v>
                </c:pt>
                <c:pt idx="930">
                  <c:v>155.96971565149229</c:v>
                </c:pt>
                <c:pt idx="931">
                  <c:v>156.10618937502309</c:v>
                </c:pt>
                <c:pt idx="932">
                  <c:v>156.2398868064256</c:v>
                </c:pt>
                <c:pt idx="933">
                  <c:v>156.37082877517213</c:v>
                </c:pt>
                <c:pt idx="934">
                  <c:v>156.49903609713843</c:v>
                </c:pt>
                <c:pt idx="935">
                  <c:v>156.62452957205994</c:v>
                </c:pt>
                <c:pt idx="936">
                  <c:v>156.74732998102979</c:v>
                </c:pt>
                <c:pt idx="937">
                  <c:v>156.86745808403779</c:v>
                </c:pt>
                <c:pt idx="938">
                  <c:v>156.98493461755118</c:v>
                </c:pt>
                <c:pt idx="939">
                  <c:v>157.0997802921361</c:v>
                </c:pt>
                <c:pt idx="940">
                  <c:v>157.21201579012055</c:v>
                </c:pt>
                <c:pt idx="941">
                  <c:v>157.3216617632979</c:v>
                </c:pt>
                <c:pt idx="942">
                  <c:v>157.42873883067151</c:v>
                </c:pt>
                <c:pt idx="943">
                  <c:v>157.53326757623972</c:v>
                </c:pt>
                <c:pt idx="944">
                  <c:v>157.63526854682164</c:v>
                </c:pt>
                <c:pt idx="945">
                  <c:v>157.73476224992277</c:v>
                </c:pt>
                <c:pt idx="946">
                  <c:v>157.73485924972942</c:v>
                </c:pt>
                <c:pt idx="947">
                  <c:v>157.73495624707354</c:v>
                </c:pt>
                <c:pt idx="948">
                  <c:v>157.73505324195506</c:v>
                </c:pt>
                <c:pt idx="949">
                  <c:v>157.73515023437406</c:v>
                </c:pt>
                <c:pt idx="950">
                  <c:v>157.73524722433055</c:v>
                </c:pt>
                <c:pt idx="951">
                  <c:v>157.73534421182453</c:v>
                </c:pt>
                <c:pt idx="952">
                  <c:v>157.73544119685604</c:v>
                </c:pt>
                <c:pt idx="953">
                  <c:v>157.73553817942511</c:v>
                </c:pt>
                <c:pt idx="954">
                  <c:v>157.73563515953174</c:v>
                </c:pt>
                <c:pt idx="955">
                  <c:v>157.73573213717594</c:v>
                </c:pt>
                <c:pt idx="956">
                  <c:v>157.73582911235775</c:v>
                </c:pt>
                <c:pt idx="957">
                  <c:v>157.73592608507721</c:v>
                </c:pt>
                <c:pt idx="958">
                  <c:v>157.73602305533427</c:v>
                </c:pt>
                <c:pt idx="959">
                  <c:v>157.73612002312905</c:v>
                </c:pt>
                <c:pt idx="960">
                  <c:v>157.73621698846151</c:v>
                </c:pt>
                <c:pt idx="961">
                  <c:v>157.73631395133165</c:v>
                </c:pt>
                <c:pt idx="962">
                  <c:v>157.73641091173954</c:v>
                </c:pt>
                <c:pt idx="963">
                  <c:v>157.73650786968514</c:v>
                </c:pt>
                <c:pt idx="964">
                  <c:v>157.73660482516857</c:v>
                </c:pt>
                <c:pt idx="965">
                  <c:v>157.73670177818974</c:v>
                </c:pt>
                <c:pt idx="966">
                  <c:v>157.73679872874877</c:v>
                </c:pt>
                <c:pt idx="967">
                  <c:v>157.73689567684556</c:v>
                </c:pt>
                <c:pt idx="968">
                  <c:v>157.73699262248027</c:v>
                </c:pt>
                <c:pt idx="969">
                  <c:v>157.73708956565281</c:v>
                </c:pt>
                <c:pt idx="970">
                  <c:v>157.73718650636323</c:v>
                </c:pt>
                <c:pt idx="971">
                  <c:v>157.73728344461159</c:v>
                </c:pt>
                <c:pt idx="972">
                  <c:v>157.73738038039784</c:v>
                </c:pt>
                <c:pt idx="973">
                  <c:v>157.73747731372211</c:v>
                </c:pt>
                <c:pt idx="974">
                  <c:v>157.73757424458432</c:v>
                </c:pt>
                <c:pt idx="975">
                  <c:v>157.73767117298451</c:v>
                </c:pt>
                <c:pt idx="976">
                  <c:v>157.73776809892269</c:v>
                </c:pt>
                <c:pt idx="977">
                  <c:v>157.73786502239892</c:v>
                </c:pt>
                <c:pt idx="978">
                  <c:v>157.73796194341321</c:v>
                </c:pt>
                <c:pt idx="979">
                  <c:v>157.73805886196556</c:v>
                </c:pt>
                <c:pt idx="980">
                  <c:v>157.73815577805601</c:v>
                </c:pt>
                <c:pt idx="981">
                  <c:v>157.73825269168458</c:v>
                </c:pt>
                <c:pt idx="982">
                  <c:v>157.73834960285126</c:v>
                </c:pt>
                <c:pt idx="983">
                  <c:v>157.73844651155613</c:v>
                </c:pt>
                <c:pt idx="984">
                  <c:v>157.73854341779915</c:v>
                </c:pt>
                <c:pt idx="985">
                  <c:v>157.73864032158036</c:v>
                </c:pt>
                <c:pt idx="986">
                  <c:v>157.7387372228998</c:v>
                </c:pt>
                <c:pt idx="987">
                  <c:v>157.73883412175746</c:v>
                </c:pt>
                <c:pt idx="988">
                  <c:v>157.73893101815341</c:v>
                </c:pt>
                <c:pt idx="989">
                  <c:v>157.73902791208758</c:v>
                </c:pt>
                <c:pt idx="990">
                  <c:v>157.73912480356006</c:v>
                </c:pt>
                <c:pt idx="991">
                  <c:v>157.73922169257085</c:v>
                </c:pt>
                <c:pt idx="992">
                  <c:v>157.73931857911998</c:v>
                </c:pt>
                <c:pt idx="993">
                  <c:v>157.73941546320745</c:v>
                </c:pt>
                <c:pt idx="994">
                  <c:v>157.73951234483334</c:v>
                </c:pt>
                <c:pt idx="995">
                  <c:v>157.73960922399758</c:v>
                </c:pt>
                <c:pt idx="996">
                  <c:v>157.73970610070023</c:v>
                </c:pt>
                <c:pt idx="997">
                  <c:v>157.73980297494134</c:v>
                </c:pt>
                <c:pt idx="998">
                  <c:v>157.7398998467209</c:v>
                </c:pt>
                <c:pt idx="999">
                  <c:v>157.73999671603892</c:v>
                </c:pt>
                <c:pt idx="1000">
                  <c:v>157.7400935828955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5-5B4B-A9BE-4FC1D788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20192"/>
        <c:axId val="1"/>
      </c:scatterChart>
      <c:valAx>
        <c:axId val="18059201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Courbes!$B$141</c:f>
              <c:strCache>
                <c:ptCount val="1"/>
                <c:pt idx="0">
                  <c:v>Vitesse [m/s]</c:v>
                </c:pt>
              </c:strCache>
            </c:strRef>
          </c:tx>
          <c:layout>
            <c:manualLayout>
              <c:xMode val="edge"/>
              <c:yMode val="edge"/>
              <c:x val="2.5943396226415096E-2"/>
              <c:y val="0.2287587051618547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59201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40934540816568"/>
          <c:y val="0.46582833845835819"/>
          <c:w val="0.1219196919265597"/>
          <c:h val="7.69257806628481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Accélérations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4339622641509524E-2"/>
          <c:y val="9.4771241830065356E-2"/>
          <c:w val="0.88679245283019092"/>
          <c:h val="0.81699346405228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Courbes!$B$137</c:f>
              <c:strCache>
                <c:ptCount val="1"/>
                <c:pt idx="0">
                  <c:v>Accélération longitudinale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5.0999999999999375</c:v>
                </c:pt>
                <c:pt idx="502">
                  <c:v>5.1999999999999371</c:v>
                </c:pt>
                <c:pt idx="503">
                  <c:v>5.2999999999999368</c:v>
                </c:pt>
                <c:pt idx="504">
                  <c:v>5.3999999999999364</c:v>
                </c:pt>
                <c:pt idx="505">
                  <c:v>5.4999999999999361</c:v>
                </c:pt>
                <c:pt idx="506">
                  <c:v>5.5999999999999357</c:v>
                </c:pt>
                <c:pt idx="507">
                  <c:v>5.6999999999999353</c:v>
                </c:pt>
                <c:pt idx="508">
                  <c:v>5.799999999999935</c:v>
                </c:pt>
                <c:pt idx="509">
                  <c:v>5.8999999999999346</c:v>
                </c:pt>
                <c:pt idx="510">
                  <c:v>5.9999999999999343</c:v>
                </c:pt>
                <c:pt idx="511">
                  <c:v>6.0999999999999339</c:v>
                </c:pt>
                <c:pt idx="512">
                  <c:v>6.1999999999999336</c:v>
                </c:pt>
                <c:pt idx="513">
                  <c:v>6.2999999999999332</c:v>
                </c:pt>
                <c:pt idx="514">
                  <c:v>6.3999999999999329</c:v>
                </c:pt>
                <c:pt idx="515">
                  <c:v>6.4999999999999325</c:v>
                </c:pt>
                <c:pt idx="516">
                  <c:v>6.5999999999999321</c:v>
                </c:pt>
                <c:pt idx="517">
                  <c:v>6.6999999999999318</c:v>
                </c:pt>
                <c:pt idx="518">
                  <c:v>6.7999999999999314</c:v>
                </c:pt>
                <c:pt idx="519">
                  <c:v>6.8999999999999311</c:v>
                </c:pt>
                <c:pt idx="520">
                  <c:v>6.9999999999999307</c:v>
                </c:pt>
                <c:pt idx="521">
                  <c:v>7.0999999999999304</c:v>
                </c:pt>
                <c:pt idx="522">
                  <c:v>7.19999999999993</c:v>
                </c:pt>
                <c:pt idx="523">
                  <c:v>7.2999999999999297</c:v>
                </c:pt>
                <c:pt idx="524">
                  <c:v>7.3999999999999293</c:v>
                </c:pt>
                <c:pt idx="525">
                  <c:v>7.4999999999999289</c:v>
                </c:pt>
                <c:pt idx="526">
                  <c:v>7.5999999999999286</c:v>
                </c:pt>
                <c:pt idx="527">
                  <c:v>7.6999999999999282</c:v>
                </c:pt>
                <c:pt idx="528">
                  <c:v>7.7999999999999279</c:v>
                </c:pt>
                <c:pt idx="529">
                  <c:v>7.8999999999999275</c:v>
                </c:pt>
                <c:pt idx="530">
                  <c:v>7.9999999999999272</c:v>
                </c:pt>
                <c:pt idx="531">
                  <c:v>8.0999999999999268</c:v>
                </c:pt>
                <c:pt idx="532">
                  <c:v>8.1999999999999265</c:v>
                </c:pt>
                <c:pt idx="533">
                  <c:v>8.2999999999999261</c:v>
                </c:pt>
                <c:pt idx="534">
                  <c:v>8.3999999999999257</c:v>
                </c:pt>
                <c:pt idx="535">
                  <c:v>8.4999999999999254</c:v>
                </c:pt>
                <c:pt idx="536">
                  <c:v>8.599999999999925</c:v>
                </c:pt>
                <c:pt idx="537">
                  <c:v>8.6999999999999247</c:v>
                </c:pt>
                <c:pt idx="538">
                  <c:v>8.7999999999999243</c:v>
                </c:pt>
                <c:pt idx="539">
                  <c:v>8.899999999999924</c:v>
                </c:pt>
                <c:pt idx="540">
                  <c:v>8.9999999999999236</c:v>
                </c:pt>
                <c:pt idx="541">
                  <c:v>9.0999999999999233</c:v>
                </c:pt>
                <c:pt idx="542">
                  <c:v>9.1999999999999229</c:v>
                </c:pt>
                <c:pt idx="543">
                  <c:v>9.2999999999999226</c:v>
                </c:pt>
                <c:pt idx="544">
                  <c:v>9.3999999999999222</c:v>
                </c:pt>
                <c:pt idx="545">
                  <c:v>9.4999999999999218</c:v>
                </c:pt>
                <c:pt idx="546">
                  <c:v>9.5999999999999215</c:v>
                </c:pt>
                <c:pt idx="547">
                  <c:v>9.6999999999999211</c:v>
                </c:pt>
                <c:pt idx="548">
                  <c:v>9.7999999999999208</c:v>
                </c:pt>
                <c:pt idx="549">
                  <c:v>9.8999999999999204</c:v>
                </c:pt>
                <c:pt idx="550">
                  <c:v>9.9999999999999201</c:v>
                </c:pt>
                <c:pt idx="551">
                  <c:v>10.09999999999992</c:v>
                </c:pt>
                <c:pt idx="552">
                  <c:v>10.199999999999919</c:v>
                </c:pt>
                <c:pt idx="553">
                  <c:v>10.299999999999919</c:v>
                </c:pt>
                <c:pt idx="554">
                  <c:v>10.399999999999919</c:v>
                </c:pt>
                <c:pt idx="555">
                  <c:v>10.499999999999918</c:v>
                </c:pt>
                <c:pt idx="556">
                  <c:v>10.599999999999918</c:v>
                </c:pt>
                <c:pt idx="557">
                  <c:v>10.699999999999918</c:v>
                </c:pt>
                <c:pt idx="558">
                  <c:v>10.799999999999917</c:v>
                </c:pt>
                <c:pt idx="559">
                  <c:v>10.899999999999917</c:v>
                </c:pt>
                <c:pt idx="560">
                  <c:v>10.999999999999917</c:v>
                </c:pt>
                <c:pt idx="561">
                  <c:v>11.099999999999916</c:v>
                </c:pt>
                <c:pt idx="562">
                  <c:v>11.199999999999916</c:v>
                </c:pt>
                <c:pt idx="563">
                  <c:v>11.299999999999915</c:v>
                </c:pt>
                <c:pt idx="564">
                  <c:v>11.399999999999915</c:v>
                </c:pt>
                <c:pt idx="565">
                  <c:v>11.499999999999915</c:v>
                </c:pt>
                <c:pt idx="566">
                  <c:v>11.599999999999914</c:v>
                </c:pt>
                <c:pt idx="567">
                  <c:v>11.699999999999914</c:v>
                </c:pt>
                <c:pt idx="568">
                  <c:v>11.799999999999914</c:v>
                </c:pt>
                <c:pt idx="569">
                  <c:v>11.899999999999913</c:v>
                </c:pt>
                <c:pt idx="570">
                  <c:v>11.999999999999913</c:v>
                </c:pt>
                <c:pt idx="571">
                  <c:v>12.099999999999913</c:v>
                </c:pt>
                <c:pt idx="572">
                  <c:v>12.199999999999912</c:v>
                </c:pt>
                <c:pt idx="573">
                  <c:v>12.299999999999912</c:v>
                </c:pt>
                <c:pt idx="574">
                  <c:v>12.399999999999912</c:v>
                </c:pt>
                <c:pt idx="575">
                  <c:v>12.499999999999911</c:v>
                </c:pt>
                <c:pt idx="576">
                  <c:v>12.599999999999911</c:v>
                </c:pt>
                <c:pt idx="577">
                  <c:v>12.69999999999991</c:v>
                </c:pt>
                <c:pt idx="578">
                  <c:v>12.79999999999991</c:v>
                </c:pt>
                <c:pt idx="579">
                  <c:v>12.89999999999991</c:v>
                </c:pt>
                <c:pt idx="580">
                  <c:v>12.999999999999909</c:v>
                </c:pt>
                <c:pt idx="581">
                  <c:v>13.099999999999909</c:v>
                </c:pt>
                <c:pt idx="582">
                  <c:v>13.199999999999909</c:v>
                </c:pt>
                <c:pt idx="583">
                  <c:v>13.299999999999908</c:v>
                </c:pt>
                <c:pt idx="584">
                  <c:v>13.399999999999908</c:v>
                </c:pt>
                <c:pt idx="585">
                  <c:v>13.499999999999908</c:v>
                </c:pt>
                <c:pt idx="586">
                  <c:v>13.599999999999907</c:v>
                </c:pt>
                <c:pt idx="587">
                  <c:v>13.699999999999907</c:v>
                </c:pt>
                <c:pt idx="588">
                  <c:v>13.799999999999907</c:v>
                </c:pt>
                <c:pt idx="589">
                  <c:v>13.899999999999906</c:v>
                </c:pt>
                <c:pt idx="590">
                  <c:v>13.999999999999906</c:v>
                </c:pt>
                <c:pt idx="591">
                  <c:v>14.099999999999905</c:v>
                </c:pt>
                <c:pt idx="592">
                  <c:v>14.199999999999905</c:v>
                </c:pt>
                <c:pt idx="593">
                  <c:v>14.299999999999905</c:v>
                </c:pt>
                <c:pt idx="594">
                  <c:v>14.399999999999904</c:v>
                </c:pt>
                <c:pt idx="595">
                  <c:v>14.499999999999904</c:v>
                </c:pt>
                <c:pt idx="596">
                  <c:v>14.599999999999904</c:v>
                </c:pt>
                <c:pt idx="597">
                  <c:v>14.699999999999903</c:v>
                </c:pt>
                <c:pt idx="598">
                  <c:v>14.799999999999903</c:v>
                </c:pt>
                <c:pt idx="599">
                  <c:v>14.899999999999903</c:v>
                </c:pt>
                <c:pt idx="600">
                  <c:v>14.999999999999902</c:v>
                </c:pt>
                <c:pt idx="601">
                  <c:v>15.099999999999902</c:v>
                </c:pt>
                <c:pt idx="602">
                  <c:v>15.199999999999902</c:v>
                </c:pt>
                <c:pt idx="603">
                  <c:v>15.299999999999901</c:v>
                </c:pt>
                <c:pt idx="604">
                  <c:v>15.399999999999901</c:v>
                </c:pt>
                <c:pt idx="605">
                  <c:v>15.499999999999901</c:v>
                </c:pt>
                <c:pt idx="606">
                  <c:v>15.5999999999999</c:v>
                </c:pt>
                <c:pt idx="607">
                  <c:v>15.6999999999999</c:v>
                </c:pt>
                <c:pt idx="608">
                  <c:v>15.799999999999899</c:v>
                </c:pt>
                <c:pt idx="609">
                  <c:v>15.899999999999899</c:v>
                </c:pt>
                <c:pt idx="610">
                  <c:v>15.999999999999899</c:v>
                </c:pt>
                <c:pt idx="611">
                  <c:v>16.099999999999898</c:v>
                </c:pt>
                <c:pt idx="612">
                  <c:v>16.1999999999999</c:v>
                </c:pt>
                <c:pt idx="613">
                  <c:v>16.299999999999901</c:v>
                </c:pt>
                <c:pt idx="614">
                  <c:v>16.399999999999903</c:v>
                </c:pt>
                <c:pt idx="615">
                  <c:v>16.499999999999904</c:v>
                </c:pt>
                <c:pt idx="616">
                  <c:v>16.599999999999905</c:v>
                </c:pt>
                <c:pt idx="617">
                  <c:v>16.699999999999907</c:v>
                </c:pt>
                <c:pt idx="618">
                  <c:v>16.799999999999908</c:v>
                </c:pt>
                <c:pt idx="619">
                  <c:v>16.89999999999991</c:v>
                </c:pt>
                <c:pt idx="620">
                  <c:v>16.999999999999911</c:v>
                </c:pt>
                <c:pt idx="621">
                  <c:v>17.099999999999913</c:v>
                </c:pt>
                <c:pt idx="622">
                  <c:v>17.199999999999914</c:v>
                </c:pt>
                <c:pt idx="623">
                  <c:v>17.299999999999915</c:v>
                </c:pt>
                <c:pt idx="624">
                  <c:v>17.399999999999917</c:v>
                </c:pt>
                <c:pt idx="625">
                  <c:v>17.499999999999918</c:v>
                </c:pt>
                <c:pt idx="626">
                  <c:v>17.59999999999992</c:v>
                </c:pt>
                <c:pt idx="627">
                  <c:v>17.699999999999921</c:v>
                </c:pt>
                <c:pt idx="628">
                  <c:v>17.799999999999923</c:v>
                </c:pt>
                <c:pt idx="629">
                  <c:v>17.899999999999924</c:v>
                </c:pt>
                <c:pt idx="630">
                  <c:v>17.999999999999925</c:v>
                </c:pt>
                <c:pt idx="631">
                  <c:v>18.099999999999927</c:v>
                </c:pt>
                <c:pt idx="632">
                  <c:v>18.199999999999928</c:v>
                </c:pt>
                <c:pt idx="633">
                  <c:v>18.29999999999993</c:v>
                </c:pt>
                <c:pt idx="634">
                  <c:v>18.399999999999931</c:v>
                </c:pt>
                <c:pt idx="635">
                  <c:v>18.499999999999932</c:v>
                </c:pt>
                <c:pt idx="636">
                  <c:v>18.599999999999934</c:v>
                </c:pt>
                <c:pt idx="637">
                  <c:v>18.699999999999935</c:v>
                </c:pt>
                <c:pt idx="638">
                  <c:v>18.799999999999937</c:v>
                </c:pt>
                <c:pt idx="639">
                  <c:v>18.899999999999938</c:v>
                </c:pt>
                <c:pt idx="640">
                  <c:v>18.99999999999994</c:v>
                </c:pt>
                <c:pt idx="641">
                  <c:v>19.099999999999941</c:v>
                </c:pt>
                <c:pt idx="642">
                  <c:v>19.199999999999942</c:v>
                </c:pt>
                <c:pt idx="643">
                  <c:v>19.299999999999944</c:v>
                </c:pt>
                <c:pt idx="644">
                  <c:v>19.399999999999945</c:v>
                </c:pt>
                <c:pt idx="645">
                  <c:v>19.499999999999947</c:v>
                </c:pt>
                <c:pt idx="646">
                  <c:v>19.599999999999948</c:v>
                </c:pt>
                <c:pt idx="647">
                  <c:v>19.69999999999995</c:v>
                </c:pt>
                <c:pt idx="648">
                  <c:v>19.799999999999951</c:v>
                </c:pt>
                <c:pt idx="649">
                  <c:v>19.899999999999952</c:v>
                </c:pt>
                <c:pt idx="650">
                  <c:v>19.999999999999954</c:v>
                </c:pt>
                <c:pt idx="651">
                  <c:v>20.099999999999955</c:v>
                </c:pt>
                <c:pt idx="652">
                  <c:v>20.199999999999957</c:v>
                </c:pt>
                <c:pt idx="653">
                  <c:v>20.299999999999958</c:v>
                </c:pt>
                <c:pt idx="654">
                  <c:v>20.399999999999959</c:v>
                </c:pt>
                <c:pt idx="655">
                  <c:v>20.499999999999961</c:v>
                </c:pt>
                <c:pt idx="656">
                  <c:v>20.599999999999962</c:v>
                </c:pt>
                <c:pt idx="657">
                  <c:v>20.699999999999964</c:v>
                </c:pt>
                <c:pt idx="658">
                  <c:v>20.799999999999965</c:v>
                </c:pt>
                <c:pt idx="659">
                  <c:v>20.899999999999967</c:v>
                </c:pt>
                <c:pt idx="660">
                  <c:v>20.999999999999968</c:v>
                </c:pt>
                <c:pt idx="661">
                  <c:v>21.099999999999969</c:v>
                </c:pt>
                <c:pt idx="662">
                  <c:v>21.199999999999971</c:v>
                </c:pt>
                <c:pt idx="663">
                  <c:v>21.299999999999972</c:v>
                </c:pt>
                <c:pt idx="664">
                  <c:v>21.399999999999974</c:v>
                </c:pt>
                <c:pt idx="665">
                  <c:v>21.499999999999975</c:v>
                </c:pt>
                <c:pt idx="666">
                  <c:v>21.599999999999977</c:v>
                </c:pt>
                <c:pt idx="667">
                  <c:v>21.699999999999978</c:v>
                </c:pt>
                <c:pt idx="668">
                  <c:v>21.799999999999979</c:v>
                </c:pt>
                <c:pt idx="669">
                  <c:v>21.899999999999981</c:v>
                </c:pt>
                <c:pt idx="670">
                  <c:v>21.999999999999982</c:v>
                </c:pt>
                <c:pt idx="671">
                  <c:v>22.099999999999984</c:v>
                </c:pt>
                <c:pt idx="672">
                  <c:v>22.199999999999985</c:v>
                </c:pt>
                <c:pt idx="673">
                  <c:v>22.299999999999986</c:v>
                </c:pt>
                <c:pt idx="674">
                  <c:v>22.399999999999988</c:v>
                </c:pt>
                <c:pt idx="675">
                  <c:v>22.499999999999989</c:v>
                </c:pt>
                <c:pt idx="676">
                  <c:v>22.599999999999991</c:v>
                </c:pt>
                <c:pt idx="677">
                  <c:v>22.699999999999992</c:v>
                </c:pt>
                <c:pt idx="678">
                  <c:v>22.799999999999994</c:v>
                </c:pt>
                <c:pt idx="679">
                  <c:v>22.899999999999995</c:v>
                </c:pt>
                <c:pt idx="680">
                  <c:v>22.999999999999996</c:v>
                </c:pt>
                <c:pt idx="681">
                  <c:v>23.099999999999998</c:v>
                </c:pt>
                <c:pt idx="682">
                  <c:v>23.2</c:v>
                </c:pt>
                <c:pt idx="683">
                  <c:v>23.3</c:v>
                </c:pt>
                <c:pt idx="684">
                  <c:v>23.400000000000002</c:v>
                </c:pt>
                <c:pt idx="685">
                  <c:v>23.500000000000004</c:v>
                </c:pt>
                <c:pt idx="686">
                  <c:v>23.600000000000005</c:v>
                </c:pt>
                <c:pt idx="687">
                  <c:v>23.700000000000006</c:v>
                </c:pt>
                <c:pt idx="688">
                  <c:v>23.800000000000008</c:v>
                </c:pt>
                <c:pt idx="689">
                  <c:v>23.900000000000009</c:v>
                </c:pt>
                <c:pt idx="690">
                  <c:v>24.000000000000011</c:v>
                </c:pt>
                <c:pt idx="691">
                  <c:v>24.100000000000012</c:v>
                </c:pt>
                <c:pt idx="692">
                  <c:v>24.200000000000014</c:v>
                </c:pt>
                <c:pt idx="693">
                  <c:v>24.300000000000015</c:v>
                </c:pt>
                <c:pt idx="694">
                  <c:v>24.400000000000016</c:v>
                </c:pt>
                <c:pt idx="695">
                  <c:v>24.500000000000018</c:v>
                </c:pt>
                <c:pt idx="696">
                  <c:v>24.600000000000019</c:v>
                </c:pt>
                <c:pt idx="697">
                  <c:v>24.700000000000021</c:v>
                </c:pt>
                <c:pt idx="698">
                  <c:v>24.800000000000022</c:v>
                </c:pt>
                <c:pt idx="699">
                  <c:v>24.900000000000023</c:v>
                </c:pt>
                <c:pt idx="700">
                  <c:v>25.000000000000025</c:v>
                </c:pt>
                <c:pt idx="701">
                  <c:v>25.100000000000026</c:v>
                </c:pt>
                <c:pt idx="702">
                  <c:v>25.200000000000028</c:v>
                </c:pt>
                <c:pt idx="703">
                  <c:v>25.300000000000029</c:v>
                </c:pt>
                <c:pt idx="704">
                  <c:v>25.400000000000031</c:v>
                </c:pt>
                <c:pt idx="705">
                  <c:v>25.500000000000032</c:v>
                </c:pt>
                <c:pt idx="706">
                  <c:v>25.600000000000033</c:v>
                </c:pt>
                <c:pt idx="707">
                  <c:v>25.700000000000035</c:v>
                </c:pt>
                <c:pt idx="708">
                  <c:v>25.800000000000036</c:v>
                </c:pt>
                <c:pt idx="709">
                  <c:v>25.900000000000038</c:v>
                </c:pt>
                <c:pt idx="710">
                  <c:v>26.000000000000039</c:v>
                </c:pt>
                <c:pt idx="711">
                  <c:v>26.100000000000041</c:v>
                </c:pt>
                <c:pt idx="712">
                  <c:v>26.200000000000042</c:v>
                </c:pt>
                <c:pt idx="713">
                  <c:v>26.300000000000043</c:v>
                </c:pt>
                <c:pt idx="714">
                  <c:v>26.400000000000045</c:v>
                </c:pt>
                <c:pt idx="715">
                  <c:v>26.500000000000046</c:v>
                </c:pt>
                <c:pt idx="716">
                  <c:v>26.600000000000048</c:v>
                </c:pt>
                <c:pt idx="717">
                  <c:v>26.700000000000049</c:v>
                </c:pt>
                <c:pt idx="718">
                  <c:v>26.80000000000005</c:v>
                </c:pt>
                <c:pt idx="719">
                  <c:v>26.900000000000052</c:v>
                </c:pt>
                <c:pt idx="720">
                  <c:v>27.000000000000053</c:v>
                </c:pt>
                <c:pt idx="721">
                  <c:v>27.100000000000055</c:v>
                </c:pt>
                <c:pt idx="722">
                  <c:v>27.200000000000056</c:v>
                </c:pt>
                <c:pt idx="723">
                  <c:v>27.300000000000058</c:v>
                </c:pt>
                <c:pt idx="724">
                  <c:v>27.400000000000059</c:v>
                </c:pt>
                <c:pt idx="725">
                  <c:v>27.50000000000006</c:v>
                </c:pt>
                <c:pt idx="726">
                  <c:v>27.600000000000062</c:v>
                </c:pt>
                <c:pt idx="727">
                  <c:v>27.700000000000063</c:v>
                </c:pt>
                <c:pt idx="728">
                  <c:v>27.800000000000065</c:v>
                </c:pt>
                <c:pt idx="729">
                  <c:v>27.900000000000066</c:v>
                </c:pt>
                <c:pt idx="730">
                  <c:v>28.000000000000068</c:v>
                </c:pt>
                <c:pt idx="731">
                  <c:v>28.100000000000069</c:v>
                </c:pt>
                <c:pt idx="732">
                  <c:v>28.20000000000007</c:v>
                </c:pt>
                <c:pt idx="733">
                  <c:v>28.300000000000072</c:v>
                </c:pt>
                <c:pt idx="734">
                  <c:v>28.400000000000073</c:v>
                </c:pt>
                <c:pt idx="735">
                  <c:v>28.500000000000075</c:v>
                </c:pt>
                <c:pt idx="736">
                  <c:v>28.600000000000076</c:v>
                </c:pt>
                <c:pt idx="737">
                  <c:v>28.700000000000077</c:v>
                </c:pt>
                <c:pt idx="738">
                  <c:v>28.800000000000079</c:v>
                </c:pt>
                <c:pt idx="739">
                  <c:v>28.90000000000008</c:v>
                </c:pt>
                <c:pt idx="740">
                  <c:v>29.000000000000082</c:v>
                </c:pt>
                <c:pt idx="741">
                  <c:v>29.100000000000083</c:v>
                </c:pt>
                <c:pt idx="742">
                  <c:v>29.200000000000085</c:v>
                </c:pt>
                <c:pt idx="743">
                  <c:v>29.300000000000086</c:v>
                </c:pt>
                <c:pt idx="744">
                  <c:v>29.400000000000087</c:v>
                </c:pt>
                <c:pt idx="745">
                  <c:v>29.500000000000089</c:v>
                </c:pt>
                <c:pt idx="746">
                  <c:v>29.60000000000009</c:v>
                </c:pt>
                <c:pt idx="747">
                  <c:v>29.700000000000092</c:v>
                </c:pt>
                <c:pt idx="748">
                  <c:v>29.800000000000093</c:v>
                </c:pt>
                <c:pt idx="749">
                  <c:v>29.900000000000095</c:v>
                </c:pt>
                <c:pt idx="750">
                  <c:v>30.000000000000096</c:v>
                </c:pt>
                <c:pt idx="751">
                  <c:v>30.100000000000097</c:v>
                </c:pt>
                <c:pt idx="752">
                  <c:v>30.200000000000099</c:v>
                </c:pt>
                <c:pt idx="753">
                  <c:v>30.3000000000001</c:v>
                </c:pt>
                <c:pt idx="754">
                  <c:v>30.400000000000102</c:v>
                </c:pt>
                <c:pt idx="755">
                  <c:v>30.500000000000103</c:v>
                </c:pt>
                <c:pt idx="756">
                  <c:v>30.600000000000104</c:v>
                </c:pt>
                <c:pt idx="757">
                  <c:v>30.700000000000106</c:v>
                </c:pt>
                <c:pt idx="758">
                  <c:v>30.800000000000107</c:v>
                </c:pt>
                <c:pt idx="759">
                  <c:v>30.900000000000109</c:v>
                </c:pt>
                <c:pt idx="760">
                  <c:v>31.00000000000011</c:v>
                </c:pt>
                <c:pt idx="761">
                  <c:v>31.100000000000112</c:v>
                </c:pt>
                <c:pt idx="762">
                  <c:v>31.200000000000113</c:v>
                </c:pt>
                <c:pt idx="763">
                  <c:v>31.300000000000114</c:v>
                </c:pt>
                <c:pt idx="764">
                  <c:v>31.400000000000116</c:v>
                </c:pt>
                <c:pt idx="765">
                  <c:v>31.500000000000117</c:v>
                </c:pt>
                <c:pt idx="766">
                  <c:v>31.600000000000119</c:v>
                </c:pt>
                <c:pt idx="767">
                  <c:v>31.70000000000012</c:v>
                </c:pt>
                <c:pt idx="768">
                  <c:v>31.800000000000122</c:v>
                </c:pt>
                <c:pt idx="769">
                  <c:v>31.900000000000123</c:v>
                </c:pt>
                <c:pt idx="770">
                  <c:v>32.000000000000121</c:v>
                </c:pt>
                <c:pt idx="771">
                  <c:v>32.100000000000122</c:v>
                </c:pt>
                <c:pt idx="772">
                  <c:v>32.200000000000124</c:v>
                </c:pt>
                <c:pt idx="773">
                  <c:v>32.300000000000125</c:v>
                </c:pt>
                <c:pt idx="774">
                  <c:v>32.400000000000126</c:v>
                </c:pt>
                <c:pt idx="775">
                  <c:v>32.500000000000128</c:v>
                </c:pt>
                <c:pt idx="776">
                  <c:v>32.600000000000129</c:v>
                </c:pt>
                <c:pt idx="777">
                  <c:v>32.700000000000131</c:v>
                </c:pt>
                <c:pt idx="778">
                  <c:v>32.800000000000132</c:v>
                </c:pt>
                <c:pt idx="779">
                  <c:v>32.900000000000134</c:v>
                </c:pt>
                <c:pt idx="780">
                  <c:v>33.000000000000135</c:v>
                </c:pt>
                <c:pt idx="781">
                  <c:v>33.100000000000136</c:v>
                </c:pt>
                <c:pt idx="782">
                  <c:v>33.200000000000138</c:v>
                </c:pt>
                <c:pt idx="783">
                  <c:v>33.300000000000139</c:v>
                </c:pt>
                <c:pt idx="784">
                  <c:v>33.400000000000141</c:v>
                </c:pt>
                <c:pt idx="785">
                  <c:v>33.500000000000142</c:v>
                </c:pt>
                <c:pt idx="786">
                  <c:v>33.600000000000144</c:v>
                </c:pt>
                <c:pt idx="787">
                  <c:v>33.700000000000145</c:v>
                </c:pt>
                <c:pt idx="788">
                  <c:v>33.800000000000146</c:v>
                </c:pt>
                <c:pt idx="789">
                  <c:v>33.900000000000148</c:v>
                </c:pt>
                <c:pt idx="790">
                  <c:v>34.000000000000149</c:v>
                </c:pt>
                <c:pt idx="791">
                  <c:v>34.100000000000151</c:v>
                </c:pt>
                <c:pt idx="792">
                  <c:v>34.200000000000152</c:v>
                </c:pt>
                <c:pt idx="793">
                  <c:v>34.300000000000153</c:v>
                </c:pt>
                <c:pt idx="794">
                  <c:v>34.400000000000155</c:v>
                </c:pt>
                <c:pt idx="795">
                  <c:v>34.500000000000156</c:v>
                </c:pt>
                <c:pt idx="796">
                  <c:v>34.600000000000158</c:v>
                </c:pt>
                <c:pt idx="797">
                  <c:v>34.700000000000159</c:v>
                </c:pt>
                <c:pt idx="798">
                  <c:v>34.800000000000161</c:v>
                </c:pt>
                <c:pt idx="799">
                  <c:v>34.900000000000162</c:v>
                </c:pt>
                <c:pt idx="800">
                  <c:v>35.000000000000163</c:v>
                </c:pt>
                <c:pt idx="801">
                  <c:v>35.100000000000165</c:v>
                </c:pt>
                <c:pt idx="802">
                  <c:v>35.200000000000166</c:v>
                </c:pt>
                <c:pt idx="803">
                  <c:v>35.300000000000168</c:v>
                </c:pt>
                <c:pt idx="804">
                  <c:v>35.400000000000169</c:v>
                </c:pt>
                <c:pt idx="805">
                  <c:v>35.500000000000171</c:v>
                </c:pt>
                <c:pt idx="806">
                  <c:v>35.600000000000172</c:v>
                </c:pt>
                <c:pt idx="807">
                  <c:v>35.700000000000173</c:v>
                </c:pt>
                <c:pt idx="808">
                  <c:v>35.800000000000175</c:v>
                </c:pt>
                <c:pt idx="809">
                  <c:v>35.900000000000176</c:v>
                </c:pt>
                <c:pt idx="810">
                  <c:v>36.000000000000178</c:v>
                </c:pt>
                <c:pt idx="811">
                  <c:v>36.100000000000179</c:v>
                </c:pt>
                <c:pt idx="812">
                  <c:v>36.20000000000018</c:v>
                </c:pt>
                <c:pt idx="813">
                  <c:v>36.300000000000182</c:v>
                </c:pt>
                <c:pt idx="814">
                  <c:v>36.400000000000183</c:v>
                </c:pt>
                <c:pt idx="815">
                  <c:v>36.500000000000185</c:v>
                </c:pt>
                <c:pt idx="816">
                  <c:v>36.600000000000186</c:v>
                </c:pt>
                <c:pt idx="817">
                  <c:v>36.700000000000188</c:v>
                </c:pt>
                <c:pt idx="818">
                  <c:v>36.800000000000189</c:v>
                </c:pt>
                <c:pt idx="819">
                  <c:v>36.90000000000019</c:v>
                </c:pt>
                <c:pt idx="820">
                  <c:v>37.000000000000192</c:v>
                </c:pt>
                <c:pt idx="821">
                  <c:v>37.100000000000193</c:v>
                </c:pt>
                <c:pt idx="822">
                  <c:v>37.200000000000195</c:v>
                </c:pt>
                <c:pt idx="823">
                  <c:v>37.300000000000196</c:v>
                </c:pt>
                <c:pt idx="824">
                  <c:v>37.400000000000198</c:v>
                </c:pt>
                <c:pt idx="825">
                  <c:v>37.500000000000199</c:v>
                </c:pt>
                <c:pt idx="826">
                  <c:v>37.6000000000002</c:v>
                </c:pt>
                <c:pt idx="827">
                  <c:v>37.700000000000202</c:v>
                </c:pt>
                <c:pt idx="828">
                  <c:v>37.800000000000203</c:v>
                </c:pt>
                <c:pt idx="829">
                  <c:v>37.900000000000205</c:v>
                </c:pt>
                <c:pt idx="830">
                  <c:v>38.000000000000206</c:v>
                </c:pt>
                <c:pt idx="831">
                  <c:v>38.100000000000207</c:v>
                </c:pt>
                <c:pt idx="832">
                  <c:v>38.200000000000209</c:v>
                </c:pt>
                <c:pt idx="833">
                  <c:v>38.30000000000021</c:v>
                </c:pt>
                <c:pt idx="834">
                  <c:v>38.400000000000212</c:v>
                </c:pt>
                <c:pt idx="835">
                  <c:v>38.500000000000213</c:v>
                </c:pt>
                <c:pt idx="836">
                  <c:v>38.600000000000215</c:v>
                </c:pt>
                <c:pt idx="837">
                  <c:v>38.700000000000216</c:v>
                </c:pt>
                <c:pt idx="838">
                  <c:v>38.800000000000217</c:v>
                </c:pt>
                <c:pt idx="839">
                  <c:v>38.900000000000219</c:v>
                </c:pt>
                <c:pt idx="840">
                  <c:v>39.00000000000022</c:v>
                </c:pt>
                <c:pt idx="841">
                  <c:v>39.100000000000222</c:v>
                </c:pt>
                <c:pt idx="842">
                  <c:v>39.200000000000223</c:v>
                </c:pt>
                <c:pt idx="843">
                  <c:v>39.300000000000225</c:v>
                </c:pt>
                <c:pt idx="844">
                  <c:v>39.400000000000226</c:v>
                </c:pt>
                <c:pt idx="845">
                  <c:v>39.500000000000227</c:v>
                </c:pt>
                <c:pt idx="846">
                  <c:v>39.600000000000229</c:v>
                </c:pt>
                <c:pt idx="847">
                  <c:v>39.70000000000023</c:v>
                </c:pt>
                <c:pt idx="848">
                  <c:v>39.800000000000232</c:v>
                </c:pt>
                <c:pt idx="849">
                  <c:v>39.900000000000233</c:v>
                </c:pt>
                <c:pt idx="850">
                  <c:v>40.000000000000234</c:v>
                </c:pt>
                <c:pt idx="851">
                  <c:v>40.100000000000236</c:v>
                </c:pt>
                <c:pt idx="852">
                  <c:v>40.200000000000237</c:v>
                </c:pt>
                <c:pt idx="853">
                  <c:v>40.300000000000239</c:v>
                </c:pt>
                <c:pt idx="854">
                  <c:v>40.40000000000024</c:v>
                </c:pt>
                <c:pt idx="855">
                  <c:v>40.500000000000242</c:v>
                </c:pt>
                <c:pt idx="856">
                  <c:v>40.600000000000243</c:v>
                </c:pt>
                <c:pt idx="857">
                  <c:v>40.700000000000244</c:v>
                </c:pt>
                <c:pt idx="858">
                  <c:v>40.800000000000246</c:v>
                </c:pt>
                <c:pt idx="859">
                  <c:v>40.900000000000247</c:v>
                </c:pt>
                <c:pt idx="860">
                  <c:v>41.000000000000249</c:v>
                </c:pt>
                <c:pt idx="861">
                  <c:v>41.10000000000025</c:v>
                </c:pt>
                <c:pt idx="862">
                  <c:v>41.200000000000252</c:v>
                </c:pt>
                <c:pt idx="863">
                  <c:v>41.300000000000253</c:v>
                </c:pt>
                <c:pt idx="864">
                  <c:v>41.400000000000254</c:v>
                </c:pt>
                <c:pt idx="865">
                  <c:v>41.500000000000256</c:v>
                </c:pt>
                <c:pt idx="866">
                  <c:v>41.600000000000257</c:v>
                </c:pt>
                <c:pt idx="867">
                  <c:v>41.700000000000259</c:v>
                </c:pt>
                <c:pt idx="868">
                  <c:v>41.80000000000026</c:v>
                </c:pt>
                <c:pt idx="869">
                  <c:v>41.900000000000261</c:v>
                </c:pt>
                <c:pt idx="870">
                  <c:v>42.000000000000263</c:v>
                </c:pt>
                <c:pt idx="871">
                  <c:v>42.100000000000264</c:v>
                </c:pt>
                <c:pt idx="872">
                  <c:v>42.200000000000266</c:v>
                </c:pt>
                <c:pt idx="873">
                  <c:v>42.300000000000267</c:v>
                </c:pt>
                <c:pt idx="874">
                  <c:v>42.400000000000269</c:v>
                </c:pt>
                <c:pt idx="875">
                  <c:v>42.50000000000027</c:v>
                </c:pt>
                <c:pt idx="876">
                  <c:v>42.600000000000271</c:v>
                </c:pt>
                <c:pt idx="877">
                  <c:v>42.700000000000273</c:v>
                </c:pt>
                <c:pt idx="878">
                  <c:v>42.800000000000274</c:v>
                </c:pt>
                <c:pt idx="879">
                  <c:v>42.900000000000276</c:v>
                </c:pt>
                <c:pt idx="880">
                  <c:v>43.000000000000277</c:v>
                </c:pt>
                <c:pt idx="881">
                  <c:v>43.100000000000279</c:v>
                </c:pt>
                <c:pt idx="882">
                  <c:v>43.20000000000028</c:v>
                </c:pt>
                <c:pt idx="883">
                  <c:v>43.300000000000281</c:v>
                </c:pt>
                <c:pt idx="884">
                  <c:v>43.400000000000283</c:v>
                </c:pt>
                <c:pt idx="885">
                  <c:v>43.500000000000284</c:v>
                </c:pt>
                <c:pt idx="886">
                  <c:v>43.600000000000286</c:v>
                </c:pt>
                <c:pt idx="887">
                  <c:v>43.700000000000287</c:v>
                </c:pt>
                <c:pt idx="888">
                  <c:v>43.800000000000288</c:v>
                </c:pt>
                <c:pt idx="889">
                  <c:v>43.90000000000029</c:v>
                </c:pt>
                <c:pt idx="890">
                  <c:v>44.000000000000291</c:v>
                </c:pt>
                <c:pt idx="891">
                  <c:v>44.100000000000293</c:v>
                </c:pt>
                <c:pt idx="892">
                  <c:v>44.200000000000294</c:v>
                </c:pt>
                <c:pt idx="893">
                  <c:v>44.300000000000296</c:v>
                </c:pt>
                <c:pt idx="894">
                  <c:v>44.400000000000297</c:v>
                </c:pt>
                <c:pt idx="895">
                  <c:v>44.500000000000298</c:v>
                </c:pt>
                <c:pt idx="896">
                  <c:v>44.6000000000003</c:v>
                </c:pt>
                <c:pt idx="897">
                  <c:v>44.700000000000301</c:v>
                </c:pt>
                <c:pt idx="898">
                  <c:v>44.800000000000303</c:v>
                </c:pt>
                <c:pt idx="899">
                  <c:v>44.900000000000304</c:v>
                </c:pt>
                <c:pt idx="900">
                  <c:v>45.000000000000306</c:v>
                </c:pt>
                <c:pt idx="901">
                  <c:v>45.100000000000307</c:v>
                </c:pt>
                <c:pt idx="902">
                  <c:v>45.200000000000308</c:v>
                </c:pt>
                <c:pt idx="903">
                  <c:v>45.30000000000031</c:v>
                </c:pt>
                <c:pt idx="904">
                  <c:v>45.400000000000311</c:v>
                </c:pt>
                <c:pt idx="905">
                  <c:v>45.500000000000313</c:v>
                </c:pt>
                <c:pt idx="906">
                  <c:v>45.600000000000314</c:v>
                </c:pt>
                <c:pt idx="907">
                  <c:v>45.700000000000315</c:v>
                </c:pt>
                <c:pt idx="908">
                  <c:v>45.800000000000317</c:v>
                </c:pt>
                <c:pt idx="909">
                  <c:v>45.900000000000318</c:v>
                </c:pt>
                <c:pt idx="910">
                  <c:v>46.00000000000032</c:v>
                </c:pt>
                <c:pt idx="911">
                  <c:v>46.100000000000321</c:v>
                </c:pt>
                <c:pt idx="912">
                  <c:v>46.200000000000323</c:v>
                </c:pt>
                <c:pt idx="913">
                  <c:v>46.300000000000324</c:v>
                </c:pt>
                <c:pt idx="914">
                  <c:v>46.400000000000325</c:v>
                </c:pt>
                <c:pt idx="915">
                  <c:v>46.500000000000327</c:v>
                </c:pt>
                <c:pt idx="916">
                  <c:v>46.600000000000328</c:v>
                </c:pt>
                <c:pt idx="917">
                  <c:v>46.70000000000033</c:v>
                </c:pt>
                <c:pt idx="918">
                  <c:v>46.800000000000331</c:v>
                </c:pt>
                <c:pt idx="919">
                  <c:v>46.900000000000333</c:v>
                </c:pt>
                <c:pt idx="920">
                  <c:v>47.000000000000334</c:v>
                </c:pt>
                <c:pt idx="921">
                  <c:v>47.100000000000335</c:v>
                </c:pt>
                <c:pt idx="922">
                  <c:v>47.200000000000337</c:v>
                </c:pt>
                <c:pt idx="923">
                  <c:v>47.300000000000338</c:v>
                </c:pt>
                <c:pt idx="924">
                  <c:v>47.40000000000034</c:v>
                </c:pt>
                <c:pt idx="925">
                  <c:v>47.500000000000341</c:v>
                </c:pt>
                <c:pt idx="926">
                  <c:v>47.600000000000342</c:v>
                </c:pt>
                <c:pt idx="927">
                  <c:v>47.700000000000344</c:v>
                </c:pt>
                <c:pt idx="928">
                  <c:v>47.800000000000345</c:v>
                </c:pt>
                <c:pt idx="929">
                  <c:v>47.900000000000347</c:v>
                </c:pt>
                <c:pt idx="930">
                  <c:v>48.000000000000348</c:v>
                </c:pt>
                <c:pt idx="931">
                  <c:v>48.10000000000035</c:v>
                </c:pt>
                <c:pt idx="932">
                  <c:v>48.200000000000351</c:v>
                </c:pt>
                <c:pt idx="933">
                  <c:v>48.300000000000352</c:v>
                </c:pt>
                <c:pt idx="934">
                  <c:v>48.400000000000354</c:v>
                </c:pt>
                <c:pt idx="935">
                  <c:v>48.500000000000355</c:v>
                </c:pt>
                <c:pt idx="936">
                  <c:v>48.600000000000357</c:v>
                </c:pt>
                <c:pt idx="937">
                  <c:v>48.700000000000358</c:v>
                </c:pt>
                <c:pt idx="938">
                  <c:v>48.80000000000036</c:v>
                </c:pt>
                <c:pt idx="939">
                  <c:v>48.900000000000361</c:v>
                </c:pt>
                <c:pt idx="940">
                  <c:v>49.000000000000362</c:v>
                </c:pt>
                <c:pt idx="941">
                  <c:v>49.100000000000364</c:v>
                </c:pt>
                <c:pt idx="942">
                  <c:v>49.200000000000365</c:v>
                </c:pt>
                <c:pt idx="943">
                  <c:v>49.300000000000367</c:v>
                </c:pt>
                <c:pt idx="944">
                  <c:v>49.400000000000368</c:v>
                </c:pt>
                <c:pt idx="945">
                  <c:v>49.500000000000369</c:v>
                </c:pt>
                <c:pt idx="946">
                  <c:v>49.500100000000373</c:v>
                </c:pt>
                <c:pt idx="947">
                  <c:v>49.500200000000376</c:v>
                </c:pt>
                <c:pt idx="948">
                  <c:v>49.500300000000379</c:v>
                </c:pt>
                <c:pt idx="949">
                  <c:v>49.500400000000383</c:v>
                </c:pt>
                <c:pt idx="950">
                  <c:v>49.500500000000386</c:v>
                </c:pt>
                <c:pt idx="951">
                  <c:v>49.500600000000389</c:v>
                </c:pt>
                <c:pt idx="952">
                  <c:v>49.500700000000393</c:v>
                </c:pt>
                <c:pt idx="953">
                  <c:v>49.500800000000396</c:v>
                </c:pt>
                <c:pt idx="954">
                  <c:v>49.500900000000399</c:v>
                </c:pt>
                <c:pt idx="955">
                  <c:v>49.501000000000403</c:v>
                </c:pt>
                <c:pt idx="956">
                  <c:v>49.501100000000406</c:v>
                </c:pt>
                <c:pt idx="957">
                  <c:v>49.501200000000409</c:v>
                </c:pt>
                <c:pt idx="958">
                  <c:v>49.501300000000413</c:v>
                </c:pt>
                <c:pt idx="959">
                  <c:v>49.501400000000416</c:v>
                </c:pt>
                <c:pt idx="960">
                  <c:v>49.501500000000419</c:v>
                </c:pt>
                <c:pt idx="961">
                  <c:v>49.501600000000423</c:v>
                </c:pt>
                <c:pt idx="962">
                  <c:v>49.501700000000426</c:v>
                </c:pt>
                <c:pt idx="963">
                  <c:v>49.501800000000429</c:v>
                </c:pt>
                <c:pt idx="964">
                  <c:v>49.501900000000433</c:v>
                </c:pt>
                <c:pt idx="965">
                  <c:v>49.502000000000436</c:v>
                </c:pt>
                <c:pt idx="966">
                  <c:v>49.502100000000439</c:v>
                </c:pt>
                <c:pt idx="967">
                  <c:v>49.502200000000443</c:v>
                </c:pt>
                <c:pt idx="968">
                  <c:v>49.502300000000446</c:v>
                </c:pt>
                <c:pt idx="969">
                  <c:v>49.502400000000449</c:v>
                </c:pt>
                <c:pt idx="970">
                  <c:v>49.502500000000452</c:v>
                </c:pt>
                <c:pt idx="971">
                  <c:v>49.502600000000456</c:v>
                </c:pt>
                <c:pt idx="972">
                  <c:v>49.502700000000459</c:v>
                </c:pt>
                <c:pt idx="973">
                  <c:v>49.502800000000462</c:v>
                </c:pt>
                <c:pt idx="974">
                  <c:v>49.502900000000466</c:v>
                </c:pt>
                <c:pt idx="975">
                  <c:v>49.503000000000469</c:v>
                </c:pt>
                <c:pt idx="976">
                  <c:v>49.503100000000472</c:v>
                </c:pt>
                <c:pt idx="977">
                  <c:v>49.503200000000476</c:v>
                </c:pt>
                <c:pt idx="978">
                  <c:v>49.503300000000479</c:v>
                </c:pt>
                <c:pt idx="979">
                  <c:v>49.503400000000482</c:v>
                </c:pt>
                <c:pt idx="980">
                  <c:v>49.503500000000486</c:v>
                </c:pt>
                <c:pt idx="981">
                  <c:v>49.503600000000489</c:v>
                </c:pt>
                <c:pt idx="982">
                  <c:v>49.503700000000492</c:v>
                </c:pt>
                <c:pt idx="983">
                  <c:v>49.503800000000496</c:v>
                </c:pt>
                <c:pt idx="984">
                  <c:v>49.503900000000499</c:v>
                </c:pt>
                <c:pt idx="985">
                  <c:v>49.504000000000502</c:v>
                </c:pt>
                <c:pt idx="986">
                  <c:v>49.504100000000506</c:v>
                </c:pt>
                <c:pt idx="987">
                  <c:v>49.504200000000509</c:v>
                </c:pt>
                <c:pt idx="988">
                  <c:v>49.504300000000512</c:v>
                </c:pt>
                <c:pt idx="989">
                  <c:v>49.504400000000516</c:v>
                </c:pt>
                <c:pt idx="990">
                  <c:v>49.504500000000519</c:v>
                </c:pt>
                <c:pt idx="991">
                  <c:v>49.504600000000522</c:v>
                </c:pt>
                <c:pt idx="992">
                  <c:v>49.504700000000526</c:v>
                </c:pt>
                <c:pt idx="993">
                  <c:v>49.504800000000529</c:v>
                </c:pt>
                <c:pt idx="994">
                  <c:v>49.504900000000532</c:v>
                </c:pt>
                <c:pt idx="995">
                  <c:v>49.505000000000535</c:v>
                </c:pt>
                <c:pt idx="996">
                  <c:v>49.505100000000539</c:v>
                </c:pt>
                <c:pt idx="997">
                  <c:v>49.505200000000542</c:v>
                </c:pt>
                <c:pt idx="998">
                  <c:v>49.505300000000545</c:v>
                </c:pt>
                <c:pt idx="999">
                  <c:v>49.505400000000549</c:v>
                </c:pt>
                <c:pt idx="1000">
                  <c:v>49.505500000000552</c:v>
                </c:pt>
              </c:numCache>
            </c:numRef>
          </c:xVal>
          <c:yVal>
            <c:numRef>
              <c:f>Calculs!$AG$4:$AG$1004</c:f>
              <c:numCache>
                <c:formatCode>0.00</c:formatCode>
                <c:ptCount val="1001"/>
                <c:pt idx="0">
                  <c:v>0</c:v>
                </c:pt>
                <c:pt idx="1">
                  <c:v>9.7279178704742382</c:v>
                </c:pt>
                <c:pt idx="2">
                  <c:v>31.243199102346118</c:v>
                </c:pt>
                <c:pt idx="3">
                  <c:v>40.174685659041089</c:v>
                </c:pt>
                <c:pt idx="4">
                  <c:v>49.113177151572849</c:v>
                </c:pt>
                <c:pt idx="5">
                  <c:v>58.059815462500232</c:v>
                </c:pt>
                <c:pt idx="6">
                  <c:v>67.015731904256128</c:v>
                </c:pt>
                <c:pt idx="7">
                  <c:v>75.982047648813221</c:v>
                </c:pt>
                <c:pt idx="8">
                  <c:v>84.959874142934382</c:v>
                </c:pt>
                <c:pt idx="9">
                  <c:v>93.950313509486293</c:v>
                </c:pt>
                <c:pt idx="10">
                  <c:v>102.95445893527236</c:v>
                </c:pt>
                <c:pt idx="11">
                  <c:v>106.83241115771942</c:v>
                </c:pt>
                <c:pt idx="12">
                  <c:v>105.57248770208939</c:v>
                </c:pt>
                <c:pt idx="13">
                  <c:v>104.27058635162757</c:v>
                </c:pt>
                <c:pt idx="14">
                  <c:v>102.92666563753522</c:v>
                </c:pt>
                <c:pt idx="15">
                  <c:v>101.57988203296391</c:v>
                </c:pt>
                <c:pt idx="16">
                  <c:v>100.23028397498972</c:v>
                </c:pt>
                <c:pt idx="17">
                  <c:v>98.87791987239757</c:v>
                </c:pt>
                <c:pt idx="18">
                  <c:v>97.52283809818141</c:v>
                </c:pt>
                <c:pt idx="19">
                  <c:v>96.165086982088894</c:v>
                </c:pt>
                <c:pt idx="20">
                  <c:v>94.804714803213074</c:v>
                </c:pt>
                <c:pt idx="21">
                  <c:v>93.441769782632093</c:v>
                </c:pt>
                <c:pt idx="22">
                  <c:v>92.076300076099088</c:v>
                </c:pt>
                <c:pt idx="23">
                  <c:v>90.708353766784057</c:v>
                </c:pt>
                <c:pt idx="24">
                  <c:v>89.33797885806861</c:v>
                </c:pt>
                <c:pt idx="25">
                  <c:v>87.96522326639635</c:v>
                </c:pt>
                <c:pt idx="26">
                  <c:v>86.590134814179393</c:v>
                </c:pt>
                <c:pt idx="27">
                  <c:v>85.903948306271332</c:v>
                </c:pt>
                <c:pt idx="28">
                  <c:v>85.907923975413752</c:v>
                </c:pt>
                <c:pt idx="29">
                  <c:v>85.911448955244424</c:v>
                </c:pt>
                <c:pt idx="30">
                  <c:v>85.914522658879008</c:v>
                </c:pt>
                <c:pt idx="31">
                  <c:v>85.917144510307267</c:v>
                </c:pt>
                <c:pt idx="32">
                  <c:v>85.91931394443256</c:v>
                </c:pt>
                <c:pt idx="33">
                  <c:v>85.921030407110791</c:v>
                </c:pt>
                <c:pt idx="34">
                  <c:v>85.922293355188984</c:v>
                </c:pt>
                <c:pt idx="35">
                  <c:v>85.923355245467519</c:v>
                </c:pt>
                <c:pt idx="36">
                  <c:v>85.923960656442262</c:v>
                </c:pt>
                <c:pt idx="37">
                  <c:v>85.924105413811191</c:v>
                </c:pt>
                <c:pt idx="38">
                  <c:v>85.923789287107539</c:v>
                </c:pt>
                <c:pt idx="39">
                  <c:v>85.923012036860641</c:v>
                </c:pt>
                <c:pt idx="40">
                  <c:v>85.921773416628554</c:v>
                </c:pt>
                <c:pt idx="41">
                  <c:v>85.92007317478631</c:v>
                </c:pt>
                <c:pt idx="42">
                  <c:v>85.917911056105311</c:v>
                </c:pt>
                <c:pt idx="43">
                  <c:v>85.915286803152782</c:v>
                </c:pt>
                <c:pt idx="44">
                  <c:v>85.912200157535665</c:v>
                </c:pt>
                <c:pt idx="45">
                  <c:v>85.908650861010372</c:v>
                </c:pt>
                <c:pt idx="46">
                  <c:v>85.904638656475015</c:v>
                </c:pt>
                <c:pt idx="47">
                  <c:v>85.900163288859588</c:v>
                </c:pt>
                <c:pt idx="48">
                  <c:v>85.895224505926691</c:v>
                </c:pt>
                <c:pt idx="49">
                  <c:v>85.88982205899373</c:v>
                </c:pt>
                <c:pt idx="50">
                  <c:v>85.883955703585585</c:v>
                </c:pt>
                <c:pt idx="51">
                  <c:v>85.877625200026344</c:v>
                </c:pt>
                <c:pt idx="52">
                  <c:v>85.870830313976796</c:v>
                </c:pt>
                <c:pt idx="53">
                  <c:v>85.863570816923556</c:v>
                </c:pt>
                <c:pt idx="54">
                  <c:v>85.855846486625495</c:v>
                </c:pt>
                <c:pt idx="55">
                  <c:v>85.847657107521869</c:v>
                </c:pt>
                <c:pt idx="56">
                  <c:v>85.839002471105744</c:v>
                </c:pt>
                <c:pt idx="57">
                  <c:v>85.829882376267278</c:v>
                </c:pt>
                <c:pt idx="58">
                  <c:v>85.820296629608947</c:v>
                </c:pt>
                <c:pt idx="59">
                  <c:v>85.810245045735655</c:v>
                </c:pt>
                <c:pt idx="60">
                  <c:v>85.799727447522827</c:v>
                </c:pt>
                <c:pt idx="61">
                  <c:v>85.788743666363644</c:v>
                </c:pt>
                <c:pt idx="62">
                  <c:v>85.777293542397999</c:v>
                </c:pt>
                <c:pt idx="63">
                  <c:v>85.765376924724549</c:v>
                </c:pt>
                <c:pt idx="64">
                  <c:v>85.752993671597565</c:v>
                </c:pt>
                <c:pt idx="65">
                  <c:v>85.740143650609582</c:v>
                </c:pt>
                <c:pt idx="66">
                  <c:v>85.726826738861533</c:v>
                </c:pt>
                <c:pt idx="67">
                  <c:v>85.713042823121043</c:v>
                </c:pt>
                <c:pt idx="68">
                  <c:v>85.698791799969882</c:v>
                </c:pt>
                <c:pt idx="69">
                  <c:v>85.684073575941767</c:v>
                </c:pt>
                <c:pt idx="70">
                  <c:v>85.668888067650954</c:v>
                </c:pt>
                <c:pt idx="71">
                  <c:v>85.653235201912352</c:v>
                </c:pt>
                <c:pt idx="72">
                  <c:v>85.629196737681227</c:v>
                </c:pt>
                <c:pt idx="73">
                  <c:v>85.596760299289542</c:v>
                </c:pt>
                <c:pt idx="74">
                  <c:v>85.563839514375417</c:v>
                </c:pt>
                <c:pt idx="75">
                  <c:v>85.530434595712109</c:v>
                </c:pt>
                <c:pt idx="76">
                  <c:v>85.496545767455615</c:v>
                </c:pt>
                <c:pt idx="77">
                  <c:v>85.462173265214275</c:v>
                </c:pt>
                <c:pt idx="78">
                  <c:v>85.427317336113262</c:v>
                </c:pt>
                <c:pt idx="79">
                  <c:v>85.391978238854193</c:v>
                </c:pt>
                <c:pt idx="80">
                  <c:v>85.356156243770101</c:v>
                </c:pt>
                <c:pt idx="81">
                  <c:v>85.319851632876265</c:v>
                </c:pt>
                <c:pt idx="82">
                  <c:v>85.283064699916807</c:v>
                </c:pt>
                <c:pt idx="83">
                  <c:v>85.245795750407694</c:v>
                </c:pt>
                <c:pt idx="84">
                  <c:v>85.208045101676035</c:v>
                </c:pt>
                <c:pt idx="85">
                  <c:v>85.169813082895999</c:v>
                </c:pt>
                <c:pt idx="86">
                  <c:v>85.131100035121662</c:v>
                </c:pt>
                <c:pt idx="87">
                  <c:v>85.091906311316691</c:v>
                </c:pt>
                <c:pt idx="88">
                  <c:v>85.052232276381176</c:v>
                </c:pt>
                <c:pt idx="89">
                  <c:v>85.012078307175813</c:v>
                </c:pt>
                <c:pt idx="90">
                  <c:v>84.97144479254338</c:v>
                </c:pt>
                <c:pt idx="91">
                  <c:v>84.930332133327852</c:v>
                </c:pt>
                <c:pt idx="92">
                  <c:v>84.888740742391008</c:v>
                </c:pt>
                <c:pt idx="93">
                  <c:v>84.846671044626973</c:v>
                </c:pt>
                <c:pt idx="94">
                  <c:v>84.80412347697434</c:v>
                </c:pt>
                <c:pt idx="95">
                  <c:v>84.761098488426484</c:v>
                </c:pt>
                <c:pt idx="96">
                  <c:v>84.717596540039736</c:v>
                </c:pt>
                <c:pt idx="97">
                  <c:v>84.673618104939663</c:v>
                </c:pt>
                <c:pt idx="98">
                  <c:v>84.629163668325518</c:v>
                </c:pt>
                <c:pt idx="99">
                  <c:v>84.584233727472949</c:v>
                </c:pt>
                <c:pt idx="100">
                  <c:v>84.538828791734929</c:v>
                </c:pt>
                <c:pt idx="101">
                  <c:v>84.492949382541212</c:v>
                </c:pt>
                <c:pt idx="102">
                  <c:v>84.446596033395863</c:v>
                </c:pt>
                <c:pt idx="103">
                  <c:v>84.399769289873618</c:v>
                </c:pt>
                <c:pt idx="104">
                  <c:v>84.352469709614525</c:v>
                </c:pt>
                <c:pt idx="105">
                  <c:v>84.304697862317184</c:v>
                </c:pt>
                <c:pt idx="106">
                  <c:v>84.256454329730516</c:v>
                </c:pt>
                <c:pt idx="107">
                  <c:v>84.207739705644414</c:v>
                </c:pt>
                <c:pt idx="108">
                  <c:v>84.158554595878641</c:v>
                </c:pt>
                <c:pt idx="109">
                  <c:v>84.108899618270939</c:v>
                </c:pt>
                <c:pt idx="110">
                  <c:v>84.058775402663372</c:v>
                </c:pt>
                <c:pt idx="111">
                  <c:v>84.008182590887813</c:v>
                </c:pt>
                <c:pt idx="112">
                  <c:v>83.957121836750019</c:v>
                </c:pt>
                <c:pt idx="113">
                  <c:v>83.905593806012803</c:v>
                </c:pt>
                <c:pt idx="114">
                  <c:v>83.853599176377514</c:v>
                </c:pt>
                <c:pt idx="115">
                  <c:v>83.801138637465058</c:v>
                </c:pt>
                <c:pt idx="116">
                  <c:v>83.748212890795372</c:v>
                </c:pt>
                <c:pt idx="117">
                  <c:v>83.69482264976601</c:v>
                </c:pt>
                <c:pt idx="118">
                  <c:v>83.640968639629534</c:v>
                </c:pt>
                <c:pt idx="119">
                  <c:v>83.586651597470095</c:v>
                </c:pt>
                <c:pt idx="120">
                  <c:v>83.531872272178788</c:v>
                </c:pt>
                <c:pt idx="121">
                  <c:v>83.476631424428078</c:v>
                </c:pt>
                <c:pt idx="122">
                  <c:v>83.420929826645335</c:v>
                </c:pt>
                <c:pt idx="123">
                  <c:v>83.364768262985237</c:v>
                </c:pt>
                <c:pt idx="124">
                  <c:v>83.308147529301422</c:v>
                </c:pt>
                <c:pt idx="125">
                  <c:v>83.251068433117055</c:v>
                </c:pt>
                <c:pt idx="126">
                  <c:v>83.193531793594573</c:v>
                </c:pt>
                <c:pt idx="127">
                  <c:v>83.135538441504508</c:v>
                </c:pt>
                <c:pt idx="128">
                  <c:v>83.07708921919334</c:v>
                </c:pt>
                <c:pt idx="129">
                  <c:v>82.981554388061539</c:v>
                </c:pt>
                <c:pt idx="130">
                  <c:v>82.848889687075427</c:v>
                </c:pt>
                <c:pt idx="131">
                  <c:v>82.715717645111596</c:v>
                </c:pt>
                <c:pt idx="132">
                  <c:v>82.582040424421436</c:v>
                </c:pt>
                <c:pt idx="133">
                  <c:v>82.44786019891545</c:v>
                </c:pt>
                <c:pt idx="134">
                  <c:v>82.313179154048427</c:v>
                </c:pt>
                <c:pt idx="135">
                  <c:v>82.177999486703982</c:v>
                </c:pt>
                <c:pt idx="136">
                  <c:v>82.042323405078221</c:v>
                </c:pt>
                <c:pt idx="137">
                  <c:v>81.906153128562849</c:v>
                </c:pt>
                <c:pt idx="138">
                  <c:v>81.769490887627427</c:v>
                </c:pt>
                <c:pt idx="139">
                  <c:v>81.632338923700985</c:v>
                </c:pt>
                <c:pt idx="140">
                  <c:v>81.494699489053033</c:v>
                </c:pt>
                <c:pt idx="141">
                  <c:v>81.356574846673908</c:v>
                </c:pt>
                <c:pt idx="142">
                  <c:v>81.217967270154489</c:v>
                </c:pt>
                <c:pt idx="143">
                  <c:v>81.078879043565223</c:v>
                </c:pt>
                <c:pt idx="144">
                  <c:v>80.939312461334723</c:v>
                </c:pt>
                <c:pt idx="145">
                  <c:v>80.799269828127692</c:v>
                </c:pt>
                <c:pt idx="146">
                  <c:v>80.658753458722302</c:v>
                </c:pt>
                <c:pt idx="147">
                  <c:v>80.517765677887098</c:v>
                </c:pt>
                <c:pt idx="148">
                  <c:v>80.376308820257236</c:v>
                </c:pt>
                <c:pt idx="149">
                  <c:v>80.234385230210492</c:v>
                </c:pt>
                <c:pt idx="150">
                  <c:v>80.091997261742506</c:v>
                </c:pt>
                <c:pt idx="151">
                  <c:v>79.949147278341655</c:v>
                </c:pt>
                <c:pt idx="152">
                  <c:v>79.805837652863602</c:v>
                </c:pt>
                <c:pt idx="153">
                  <c:v>79.662070767405226</c:v>
                </c:pt>
                <c:pt idx="154">
                  <c:v>79.517849013178193</c:v>
                </c:pt>
                <c:pt idx="155">
                  <c:v>79.373174790382251</c:v>
                </c:pt>
                <c:pt idx="156">
                  <c:v>79.228050508077871</c:v>
                </c:pt>
                <c:pt idx="157">
                  <c:v>79.082478584058862</c:v>
                </c:pt>
                <c:pt idx="158">
                  <c:v>78.936461444724245</c:v>
                </c:pt>
                <c:pt idx="159">
                  <c:v>78.7900015249501</c:v>
                </c:pt>
                <c:pt idx="160">
                  <c:v>78.643101267960972</c:v>
                </c:pt>
                <c:pt idx="161">
                  <c:v>78.495763125200853</c:v>
                </c:pt>
                <c:pt idx="162">
                  <c:v>78.347989556204141</c:v>
                </c:pt>
                <c:pt idx="163">
                  <c:v>78.199783028465987</c:v>
                </c:pt>
                <c:pt idx="164">
                  <c:v>78.051146017312618</c:v>
                </c:pt>
                <c:pt idx="165">
                  <c:v>77.902081005771336</c:v>
                </c:pt>
                <c:pt idx="166">
                  <c:v>77.752590484440219</c:v>
                </c:pt>
                <c:pt idx="167">
                  <c:v>77.602676951357694</c:v>
                </c:pt>
                <c:pt idx="168">
                  <c:v>77.452342911871781</c:v>
                </c:pt>
                <c:pt idx="169">
                  <c:v>77.301590878509302</c:v>
                </c:pt>
                <c:pt idx="170">
                  <c:v>77.15042337084472</c:v>
                </c:pt>
                <c:pt idx="171">
                  <c:v>76.998842915369011</c:v>
                </c:pt>
                <c:pt idx="172">
                  <c:v>76.846852045358133</c:v>
                </c:pt>
                <c:pt idx="173">
                  <c:v>76.694453300741642</c:v>
                </c:pt>
                <c:pt idx="174">
                  <c:v>76.541649227970851</c:v>
                </c:pt>
                <c:pt idx="175">
                  <c:v>76.388442379887252</c:v>
                </c:pt>
                <c:pt idx="176">
                  <c:v>76.234835315590473</c:v>
                </c:pt>
                <c:pt idx="177">
                  <c:v>76.080830600306385</c:v>
                </c:pt>
                <c:pt idx="178">
                  <c:v>75.926430805255066</c:v>
                </c:pt>
                <c:pt idx="179">
                  <c:v>75.771638507518603</c:v>
                </c:pt>
                <c:pt idx="180">
                  <c:v>75.616456289909053</c:v>
                </c:pt>
                <c:pt idx="181">
                  <c:v>75.460886740836202</c:v>
                </c:pt>
                <c:pt idx="182">
                  <c:v>75.304932454175315</c:v>
                </c:pt>
                <c:pt idx="183">
                  <c:v>75.148596029134907</c:v>
                </c:pt>
                <c:pt idx="184">
                  <c:v>74.991880070124608</c:v>
                </c:pt>
                <c:pt idx="185">
                  <c:v>74.834787186622776</c:v>
                </c:pt>
                <c:pt idx="186">
                  <c:v>74.677319993044478</c:v>
                </c:pt>
                <c:pt idx="187">
                  <c:v>74.51948110860927</c:v>
                </c:pt>
                <c:pt idx="188">
                  <c:v>74.361273157209041</c:v>
                </c:pt>
                <c:pt idx="189">
                  <c:v>74.202698767276075</c:v>
                </c:pt>
                <c:pt idx="190">
                  <c:v>74.043760571650992</c:v>
                </c:pt>
                <c:pt idx="191">
                  <c:v>73.884461207450983</c:v>
                </c:pt>
                <c:pt idx="192">
                  <c:v>73.724803315937933</c:v>
                </c:pt>
                <c:pt idx="193">
                  <c:v>73.564789542386805</c:v>
                </c:pt>
                <c:pt idx="194">
                  <c:v>73.404422535954069</c:v>
                </c:pt>
                <c:pt idx="195">
                  <c:v>73.243704949546327</c:v>
                </c:pt>
                <c:pt idx="196">
                  <c:v>73.082639439689032</c:v>
                </c:pt>
                <c:pt idx="197">
                  <c:v>72.921228666395365</c:v>
                </c:pt>
                <c:pt idx="198">
                  <c:v>72.759475293035322</c:v>
                </c:pt>
                <c:pt idx="199">
                  <c:v>72.597381986204937</c:v>
                </c:pt>
                <c:pt idx="200">
                  <c:v>72.434951415595748</c:v>
                </c:pt>
                <c:pt idx="201">
                  <c:v>72.272186253864362</c:v>
                </c:pt>
                <c:pt idx="202">
                  <c:v>72.109089176502394</c:v>
                </c:pt>
                <c:pt idx="203">
                  <c:v>71.945662861706467</c:v>
                </c:pt>
                <c:pt idx="204">
                  <c:v>71.781909990248536</c:v>
                </c:pt>
                <c:pt idx="205">
                  <c:v>71.617833245346503</c:v>
                </c:pt>
                <c:pt idx="206">
                  <c:v>71.444461001634465</c:v>
                </c:pt>
                <c:pt idx="207">
                  <c:v>71.261789832344448</c:v>
                </c:pt>
                <c:pt idx="208">
                  <c:v>71.078798926872764</c:v>
                </c:pt>
                <c:pt idx="209">
                  <c:v>70.895491292111416</c:v>
                </c:pt>
                <c:pt idx="210">
                  <c:v>70.711869935730036</c:v>
                </c:pt>
                <c:pt idx="211">
                  <c:v>70.527937866030939</c:v>
                </c:pt>
                <c:pt idx="212">
                  <c:v>70.343698091804711</c:v>
                </c:pt>
                <c:pt idx="213">
                  <c:v>70.159153622186366</c:v>
                </c:pt>
                <c:pt idx="214">
                  <c:v>69.974307466511803</c:v>
                </c:pt>
                <c:pt idx="215">
                  <c:v>69.789162634175057</c:v>
                </c:pt>
                <c:pt idx="216">
                  <c:v>69.603722134485665</c:v>
                </c:pt>
                <c:pt idx="217">
                  <c:v>69.417988976527056</c:v>
                </c:pt>
                <c:pt idx="218">
                  <c:v>69.231966169015024</c:v>
                </c:pt>
                <c:pt idx="219">
                  <c:v>69.04565672015714</c:v>
                </c:pt>
                <c:pt idx="220">
                  <c:v>68.859063637512406</c:v>
                </c:pt>
                <c:pt idx="221">
                  <c:v>68.672189927851676</c:v>
                </c:pt>
                <c:pt idx="222">
                  <c:v>68.485038597018615</c:v>
                </c:pt>
                <c:pt idx="223">
                  <c:v>68.297612649791233</c:v>
                </c:pt>
                <c:pt idx="224">
                  <c:v>68.109915089744035</c:v>
                </c:pt>
                <c:pt idx="225">
                  <c:v>67.921948919110704</c:v>
                </c:pt>
                <c:pt idx="226">
                  <c:v>67.733717138647677</c:v>
                </c:pt>
                <c:pt idx="227">
                  <c:v>67.54522274749803</c:v>
                </c:pt>
                <c:pt idx="228">
                  <c:v>67.356468743056098</c:v>
                </c:pt>
                <c:pt idx="229">
                  <c:v>67.167458120832862</c:v>
                </c:pt>
                <c:pt idx="230">
                  <c:v>66.978193874321931</c:v>
                </c:pt>
                <c:pt idx="231">
                  <c:v>66.788678994866089</c:v>
                </c:pt>
                <c:pt idx="232">
                  <c:v>66.59891647152476</c:v>
                </c:pt>
                <c:pt idx="233">
                  <c:v>66.40890929094185</c:v>
                </c:pt>
                <c:pt idx="234">
                  <c:v>66.218660437214581</c:v>
                </c:pt>
                <c:pt idx="235">
                  <c:v>66.02817289176285</c:v>
                </c:pt>
                <c:pt idx="236">
                  <c:v>65.837449633199313</c:v>
                </c:pt>
                <c:pt idx="237">
                  <c:v>65.646493637200308</c:v>
                </c:pt>
                <c:pt idx="238">
                  <c:v>65.455307876377276</c:v>
                </c:pt>
                <c:pt idx="239">
                  <c:v>65.263895320149302</c:v>
                </c:pt>
                <c:pt idx="240">
                  <c:v>65.072258934615931</c:v>
                </c:pt>
                <c:pt idx="241">
                  <c:v>64.880401682431142</c:v>
                </c:pt>
                <c:pt idx="242">
                  <c:v>64.657223445820136</c:v>
                </c:pt>
                <c:pt idx="243">
                  <c:v>64.402714110218739</c:v>
                </c:pt>
                <c:pt idx="244">
                  <c:v>64.147994197943319</c:v>
                </c:pt>
                <c:pt idx="245">
                  <c:v>63.893067750506169</c:v>
                </c:pt>
                <c:pt idx="246">
                  <c:v>63.637938799749641</c:v>
                </c:pt>
                <c:pt idx="247">
                  <c:v>63.382611367673313</c:v>
                </c:pt>
                <c:pt idx="248">
                  <c:v>63.127089466262653</c:v>
                </c:pt>
                <c:pt idx="249">
                  <c:v>62.871377097319396</c:v>
                </c:pt>
                <c:pt idx="250">
                  <c:v>62.615478252293357</c:v>
                </c:pt>
                <c:pt idx="251">
                  <c:v>62.359396912116253</c:v>
                </c:pt>
                <c:pt idx="252">
                  <c:v>62.103137047036583</c:v>
                </c:pt>
                <c:pt idx="253">
                  <c:v>61.846702616456753</c:v>
                </c:pt>
                <c:pt idx="254">
                  <c:v>61.590097568771284</c:v>
                </c:pt>
                <c:pt idx="255">
                  <c:v>61.333325841207142</c:v>
                </c:pt>
                <c:pt idx="256">
                  <c:v>61.076391359665401</c:v>
                </c:pt>
                <c:pt idx="257">
                  <c:v>60.819298038564696</c:v>
                </c:pt>
                <c:pt idx="258">
                  <c:v>60.562049780686387</c:v>
                </c:pt>
                <c:pt idx="259">
                  <c:v>60.304650477021276</c:v>
                </c:pt>
                <c:pt idx="260">
                  <c:v>60.047104006618056</c:v>
                </c:pt>
                <c:pt idx="261">
                  <c:v>59.789414236433537</c:v>
                </c:pt>
                <c:pt idx="262">
                  <c:v>59.531585021184362</c:v>
                </c:pt>
                <c:pt idx="263">
                  <c:v>59.273620203200608</c:v>
                </c:pt>
                <c:pt idx="264">
                  <c:v>59.015523612280965</c:v>
                </c:pt>
                <c:pt idx="265">
                  <c:v>58.757299065549617</c:v>
                </c:pt>
                <c:pt idx="266">
                  <c:v>58.498950367314961</c:v>
                </c:pt>
                <c:pt idx="267">
                  <c:v>58.24048130892978</c:v>
                </c:pt>
                <c:pt idx="268">
                  <c:v>57.981895668653436</c:v>
                </c:pt>
                <c:pt idx="269">
                  <c:v>57.723197211515483</c:v>
                </c:pt>
                <c:pt idx="270">
                  <c:v>57.464389689181175</c:v>
                </c:pt>
                <c:pt idx="271">
                  <c:v>57.205476839818715</c:v>
                </c:pt>
                <c:pt idx="272">
                  <c:v>56.946462387967998</c:v>
                </c:pt>
                <c:pt idx="273">
                  <c:v>56.687350044411374</c:v>
                </c:pt>
                <c:pt idx="274">
                  <c:v>56.428143506045906</c:v>
                </c:pt>
                <c:pt idx="275">
                  <c:v>56.168846455757439</c:v>
                </c:pt>
                <c:pt idx="276">
                  <c:v>55.909462562296504</c:v>
                </c:pt>
                <c:pt idx="277">
                  <c:v>55.649995480155653</c:v>
                </c:pt>
                <c:pt idx="278">
                  <c:v>55.390448849448845</c:v>
                </c:pt>
                <c:pt idx="279">
                  <c:v>55.13082629579236</c:v>
                </c:pt>
                <c:pt idx="280">
                  <c:v>54.871131430187575</c:v>
                </c:pt>
                <c:pt idx="281">
                  <c:v>54.611367848905282</c:v>
                </c:pt>
                <c:pt idx="282">
                  <c:v>54.351539133371901</c:v>
                </c:pt>
                <c:pt idx="283">
                  <c:v>54.091648850057453</c:v>
                </c:pt>
                <c:pt idx="284">
                  <c:v>53.868319995193112</c:v>
                </c:pt>
                <c:pt idx="285">
                  <c:v>53.681559129540432</c:v>
                </c:pt>
                <c:pt idx="286">
                  <c:v>53.4947237234216</c:v>
                </c:pt>
                <c:pt idx="287">
                  <c:v>53.307816167175979</c:v>
                </c:pt>
                <c:pt idx="288">
                  <c:v>53.120838843348679</c:v>
                </c:pt>
                <c:pt idx="289">
                  <c:v>52.933794126622118</c:v>
                </c:pt>
                <c:pt idx="290">
                  <c:v>52.746684383748189</c:v>
                </c:pt>
                <c:pt idx="291">
                  <c:v>52.559511973481364</c:v>
                </c:pt>
                <c:pt idx="292">
                  <c:v>52.372279246512605</c:v>
                </c:pt>
                <c:pt idx="293">
                  <c:v>52.184988545404124</c:v>
                </c:pt>
                <c:pt idx="294">
                  <c:v>51.997642204524965</c:v>
                </c:pt>
                <c:pt idx="295">
                  <c:v>51.810242549987422</c:v>
                </c:pt>
                <c:pt idx="296">
                  <c:v>51.622791899584193</c:v>
                </c:pt>
                <c:pt idx="297">
                  <c:v>51.435292562726573</c:v>
                </c:pt>
                <c:pt idx="298">
                  <c:v>51.247746840383357</c:v>
                </c:pt>
                <c:pt idx="299">
                  <c:v>51.060157025020445</c:v>
                </c:pt>
                <c:pt idx="300">
                  <c:v>50.872525400541591</c:v>
                </c:pt>
                <c:pt idx="301">
                  <c:v>50.684854242229669</c:v>
                </c:pt>
                <c:pt idx="302">
                  <c:v>50.49714581668897</c:v>
                </c:pt>
                <c:pt idx="303">
                  <c:v>50.309402381788288</c:v>
                </c:pt>
                <c:pt idx="304">
                  <c:v>50.121626186604757</c:v>
                </c:pt>
                <c:pt idx="305">
                  <c:v>49.933819471368651</c:v>
                </c:pt>
                <c:pt idx="306">
                  <c:v>49.745984467408867</c:v>
                </c:pt>
                <c:pt idx="307">
                  <c:v>49.558123397099294</c:v>
                </c:pt>
                <c:pt idx="308">
                  <c:v>49.370238473806189</c:v>
                </c:pt>
                <c:pt idx="309">
                  <c:v>49.18233190183598</c:v>
                </c:pt>
                <c:pt idx="310">
                  <c:v>48.994405876384342</c:v>
                </c:pt>
                <c:pt idx="311">
                  <c:v>48.806462583485711</c:v>
                </c:pt>
                <c:pt idx="312">
                  <c:v>48.618504199963894</c:v>
                </c:pt>
                <c:pt idx="313">
                  <c:v>48.430532893383408</c:v>
                </c:pt>
                <c:pt idx="314">
                  <c:v>48.24255082200159</c:v>
                </c:pt>
                <c:pt idx="315">
                  <c:v>48.054560134721591</c:v>
                </c:pt>
                <c:pt idx="316">
                  <c:v>47.866562971046129</c:v>
                </c:pt>
                <c:pt idx="317">
                  <c:v>47.678561461032189</c:v>
                </c:pt>
                <c:pt idx="318">
                  <c:v>47.490557725246312</c:v>
                </c:pt>
                <c:pt idx="319">
                  <c:v>47.302553874720971</c:v>
                </c:pt>
                <c:pt idx="320">
                  <c:v>47.114552010911503</c:v>
                </c:pt>
                <c:pt idx="321">
                  <c:v>46.926554225654002</c:v>
                </c:pt>
                <c:pt idx="322">
                  <c:v>46.738562601123974</c:v>
                </c:pt>
                <c:pt idx="323">
                  <c:v>46.550579209795856</c:v>
                </c:pt>
                <c:pt idx="324">
                  <c:v>46.362606114403199</c:v>
                </c:pt>
                <c:pt idx="325">
                  <c:v>46.174645367899807</c:v>
                </c:pt>
                <c:pt idx="326">
                  <c:v>45.988954344859636</c:v>
                </c:pt>
                <c:pt idx="327">
                  <c:v>45.805534692399412</c:v>
                </c:pt>
                <c:pt idx="328">
                  <c:v>45.622131003401044</c:v>
                </c:pt>
                <c:pt idx="329">
                  <c:v>45.438745236069423</c:v>
                </c:pt>
                <c:pt idx="330">
                  <c:v>45.255379339086552</c:v>
                </c:pt>
                <c:pt idx="331">
                  <c:v>45.072035251578122</c:v>
                </c:pt>
                <c:pt idx="332">
                  <c:v>44.88871490308086</c:v>
                </c:pt>
                <c:pt idx="333">
                  <c:v>44.705420213510614</c:v>
                </c:pt>
                <c:pt idx="334">
                  <c:v>44.522153093131088</c:v>
                </c:pt>
                <c:pt idx="335">
                  <c:v>44.338915442523458</c:v>
                </c:pt>
                <c:pt idx="336">
                  <c:v>44.155709152556653</c:v>
                </c:pt>
                <c:pt idx="337">
                  <c:v>43.972536104358326</c:v>
                </c:pt>
                <c:pt idx="338">
                  <c:v>43.789398169286599</c:v>
                </c:pt>
                <c:pt idx="339">
                  <c:v>43.606297208902561</c:v>
                </c:pt>
                <c:pt idx="340">
                  <c:v>43.423235074943449</c:v>
                </c:pt>
                <c:pt idx="341">
                  <c:v>43.240213609296582</c:v>
                </c:pt>
                <c:pt idx="342">
                  <c:v>43.057234643973949</c:v>
                </c:pt>
                <c:pt idx="343">
                  <c:v>42.874300001087661</c:v>
                </c:pt>
                <c:pt idx="344">
                  <c:v>42.69141149282585</c:v>
                </c:pt>
                <c:pt idx="345">
                  <c:v>42.508570921429595</c:v>
                </c:pt>
                <c:pt idx="346">
                  <c:v>42.325780079170336</c:v>
                </c:pt>
                <c:pt idx="347">
                  <c:v>42.143040748328076</c:v>
                </c:pt>
                <c:pt idx="348">
                  <c:v>41.960354701170189</c:v>
                </c:pt>
                <c:pt idx="349">
                  <c:v>41.77772369993118</c:v>
                </c:pt>
                <c:pt idx="350">
                  <c:v>41.595149496792743</c:v>
                </c:pt>
                <c:pt idx="351">
                  <c:v>41.412633833864874</c:v>
                </c:pt>
                <c:pt idx="352">
                  <c:v>41.230178443167461</c:v>
                </c:pt>
                <c:pt idx="353">
                  <c:v>41.047785046612667</c:v>
                </c:pt>
                <c:pt idx="354">
                  <c:v>40.865455355987848</c:v>
                </c:pt>
                <c:pt idx="355">
                  <c:v>40.683191072939401</c:v>
                </c:pt>
                <c:pt idx="356">
                  <c:v>40.500993888956963</c:v>
                </c:pt>
                <c:pt idx="357">
                  <c:v>40.31886548535855</c:v>
                </c:pt>
                <c:pt idx="358">
                  <c:v>40.136807533276247</c:v>
                </c:pt>
                <c:pt idx="359">
                  <c:v>39.954821693642558</c:v>
                </c:pt>
                <c:pt idx="360">
                  <c:v>39.772909617177355</c:v>
                </c:pt>
                <c:pt idx="361">
                  <c:v>39.591072944375739</c:v>
                </c:pt>
                <c:pt idx="362">
                  <c:v>39.409313305496198</c:v>
                </c:pt>
                <c:pt idx="363">
                  <c:v>39.227632320549603</c:v>
                </c:pt>
                <c:pt idx="364">
                  <c:v>39.046031599288959</c:v>
                </c:pt>
                <c:pt idx="365">
                  <c:v>38.864512741199505</c:v>
                </c:pt>
                <c:pt idx="366">
                  <c:v>38.740380088686685</c:v>
                </c:pt>
                <c:pt idx="367">
                  <c:v>38.673612849044957</c:v>
                </c:pt>
                <c:pt idx="368">
                  <c:v>38.606846708565506</c:v>
                </c:pt>
                <c:pt idx="369">
                  <c:v>38.540082231676166</c:v>
                </c:pt>
                <c:pt idx="370">
                  <c:v>38.473319980975091</c:v>
                </c:pt>
                <c:pt idx="371">
                  <c:v>38.406560517223966</c:v>
                </c:pt>
                <c:pt idx="372">
                  <c:v>38.339804399341475</c:v>
                </c:pt>
                <c:pt idx="373">
                  <c:v>38.273052184396825</c:v>
                </c:pt>
                <c:pt idx="374">
                  <c:v>38.206304427603321</c:v>
                </c:pt>
                <c:pt idx="375">
                  <c:v>38.139561682312085</c:v>
                </c:pt>
                <c:pt idx="376">
                  <c:v>38.072824500005844</c:v>
                </c:pt>
                <c:pt idx="377">
                  <c:v>38.006093430292793</c:v>
                </c:pt>
                <c:pt idx="378">
                  <c:v>37.939369020900529</c:v>
                </c:pt>
                <c:pt idx="379">
                  <c:v>37.872651817670189</c:v>
                </c:pt>
                <c:pt idx="380">
                  <c:v>37.805942364550546</c:v>
                </c:pt>
                <c:pt idx="381">
                  <c:v>37.67734345396876</c:v>
                </c:pt>
                <c:pt idx="382">
                  <c:v>37.486882588802501</c:v>
                </c:pt>
                <c:pt idx="383">
                  <c:v>37.296529030269241</c:v>
                </c:pt>
                <c:pt idx="384">
                  <c:v>37.106284365757098</c:v>
                </c:pt>
                <c:pt idx="385">
                  <c:v>36.916150171234392</c:v>
                </c:pt>
                <c:pt idx="386">
                  <c:v>36.726128011249159</c:v>
                </c:pt>
                <c:pt idx="387">
                  <c:v>36.536219438929095</c:v>
                </c:pt>
                <c:pt idx="388">
                  <c:v>36.346425995982315</c:v>
                </c:pt>
                <c:pt idx="389">
                  <c:v>36.156749212698777</c:v>
                </c:pt>
                <c:pt idx="390">
                  <c:v>35.967190607952219</c:v>
                </c:pt>
                <c:pt idx="391">
                  <c:v>35.777751689202738</c:v>
                </c:pt>
                <c:pt idx="392">
                  <c:v>35.588433952500182</c:v>
                </c:pt>
                <c:pt idx="393">
                  <c:v>35.399238882487865</c:v>
                </c:pt>
                <c:pt idx="394">
                  <c:v>35.210167952407225</c:v>
                </c:pt>
                <c:pt idx="395">
                  <c:v>35.021222624102919</c:v>
                </c:pt>
                <c:pt idx="396">
                  <c:v>34.832404348028476</c:v>
                </c:pt>
                <c:pt idx="397">
                  <c:v>34.643714563252693</c:v>
                </c:pt>
                <c:pt idx="398">
                  <c:v>34.45515469746654</c:v>
                </c:pt>
                <c:pt idx="399">
                  <c:v>34.266726166990757</c:v>
                </c:pt>
                <c:pt idx="400">
                  <c:v>34.078430376783857</c:v>
                </c:pt>
                <c:pt idx="401">
                  <c:v>33.841635135496986</c:v>
                </c:pt>
                <c:pt idx="402">
                  <c:v>33.55636842015835</c:v>
                </c:pt>
                <c:pt idx="403">
                  <c:v>33.271325187718297</c:v>
                </c:pt>
                <c:pt idx="404">
                  <c:v>32.986507843109415</c:v>
                </c:pt>
                <c:pt idx="405">
                  <c:v>32.701918767626601</c:v>
                </c:pt>
                <c:pt idx="406">
                  <c:v>32.417560318957754</c:v>
                </c:pt>
                <c:pt idx="407">
                  <c:v>32.13343483121588</c:v>
                </c:pt>
                <c:pt idx="408">
                  <c:v>31.84954461497264</c:v>
                </c:pt>
                <c:pt idx="409">
                  <c:v>31.565891957293339</c:v>
                </c:pt>
                <c:pt idx="410">
                  <c:v>31.282479121773211</c:v>
                </c:pt>
                <c:pt idx="411">
                  <c:v>30.7307604678019</c:v>
                </c:pt>
                <c:pt idx="412">
                  <c:v>29.910907797458073</c:v>
                </c:pt>
                <c:pt idx="413">
                  <c:v>29.091820605092906</c:v>
                </c:pt>
                <c:pt idx="414">
                  <c:v>28.273511442984159</c:v>
                </c:pt>
                <c:pt idx="415">
                  <c:v>27.455992692705145</c:v>
                </c:pt>
                <c:pt idx="416">
                  <c:v>26.639276565313985</c:v>
                </c:pt>
                <c:pt idx="417">
                  <c:v>25.823375101564018</c:v>
                </c:pt>
                <c:pt idx="418">
                  <c:v>25.008300172135264</c:v>
                </c:pt>
                <c:pt idx="419">
                  <c:v>24.194063477886644</c:v>
                </c:pt>
                <c:pt idx="420">
                  <c:v>23.228008046898204</c:v>
                </c:pt>
                <c:pt idx="421">
                  <c:v>22.110268473474768</c:v>
                </c:pt>
                <c:pt idx="422">
                  <c:v>20.9937402731845</c:v>
                </c:pt>
                <c:pt idx="423">
                  <c:v>19.878443594393111</c:v>
                </c:pt>
                <c:pt idx="424">
                  <c:v>18.764398271582685</c:v>
                </c:pt>
                <c:pt idx="425">
                  <c:v>17.651623825798993</c:v>
                </c:pt>
                <c:pt idx="426">
                  <c:v>16.54013946514613</c:v>
                </c:pt>
                <c:pt idx="427">
                  <c:v>15.4299640853274</c:v>
                </c:pt>
                <c:pt idx="428">
                  <c:v>14.321116270231901</c:v>
                </c:pt>
                <c:pt idx="429">
                  <c:v>13.213614292565737</c:v>
                </c:pt>
                <c:pt idx="430">
                  <c:v>12.10747611452749</c:v>
                </c:pt>
                <c:pt idx="431">
                  <c:v>11.002719388526755</c:v>
                </c:pt>
                <c:pt idx="432">
                  <c:v>9.6535448689513093</c:v>
                </c:pt>
                <c:pt idx="433">
                  <c:v>8.0602396561919303</c:v>
                </c:pt>
                <c:pt idx="434">
                  <c:v>6.4690251427312386</c:v>
                </c:pt>
                <c:pt idx="435">
                  <c:v>4.8799365380225375</c:v>
                </c:pt>
                <c:pt idx="436">
                  <c:v>3.2930084117919094</c:v>
                </c:pt>
                <c:pt idx="437">
                  <c:v>1.7082746952176393</c:v>
                </c:pt>
                <c:pt idx="438">
                  <c:v>0.12576868222979165</c:v>
                </c:pt>
                <c:pt idx="439">
                  <c:v>-1.4544769690726724</c:v>
                </c:pt>
                <c:pt idx="440">
                  <c:v>-3.0324302348893131</c:v>
                </c:pt>
                <c:pt idx="441">
                  <c:v>-4.6080597240725263</c:v>
                </c:pt>
                <c:pt idx="442">
                  <c:v>-6.0321267063387145</c:v>
                </c:pt>
                <c:pt idx="443">
                  <c:v>-7.3048126848164117</c:v>
                </c:pt>
                <c:pt idx="444">
                  <c:v>-8.5755552516389315</c:v>
                </c:pt>
                <c:pt idx="445">
                  <c:v>-9.84433655698537</c:v>
                </c:pt>
                <c:pt idx="446">
                  <c:v>-11.111139155478085</c:v>
                </c:pt>
                <c:pt idx="447">
                  <c:v>-12.375946004384625</c:v>
                </c:pt>
                <c:pt idx="448">
                  <c:v>-13.638740461771693</c:v>
                </c:pt>
                <c:pt idx="449">
                  <c:v>-14.899506284613526</c:v>
                </c:pt>
                <c:pt idx="450">
                  <c:v>-16.158227626855115</c:v>
                </c:pt>
                <c:pt idx="451">
                  <c:v>-17.41488903743193</c:v>
                </c:pt>
                <c:pt idx="452">
                  <c:v>-18.669475458247135</c:v>
                </c:pt>
                <c:pt idx="453">
                  <c:v>-19.708415389927637</c:v>
                </c:pt>
                <c:pt idx="454">
                  <c:v>-20.532051422166532</c:v>
                </c:pt>
                <c:pt idx="455">
                  <c:v>-21.35431848696539</c:v>
                </c:pt>
                <c:pt idx="456">
                  <c:v>-22.175212779898409</c:v>
                </c:pt>
                <c:pt idx="457">
                  <c:v>-22.994730653202282</c:v>
                </c:pt>
                <c:pt idx="458">
                  <c:v>-23.812868614658164</c:v>
                </c:pt>
                <c:pt idx="459">
                  <c:v>-24.629623326468604</c:v>
                </c:pt>
                <c:pt idx="460">
                  <c:v>-25.444991604129623</c:v>
                </c:pt>
                <c:pt idx="461">
                  <c:v>-26.066833344644461</c:v>
                </c:pt>
                <c:pt idx="462">
                  <c:v>-26.495486503483516</c:v>
                </c:pt>
                <c:pt idx="463">
                  <c:v>-26.923442603862103</c:v>
                </c:pt>
                <c:pt idx="464">
                  <c:v>-27.350702589214364</c:v>
                </c:pt>
                <c:pt idx="465">
                  <c:v>-27.777267436343884</c:v>
                </c:pt>
                <c:pt idx="466">
                  <c:v>-28.364531441711954</c:v>
                </c:pt>
                <c:pt idx="467">
                  <c:v>-29.112203810324349</c:v>
                </c:pt>
                <c:pt idx="468">
                  <c:v>-31.655848969381367</c:v>
                </c:pt>
                <c:pt idx="469">
                  <c:v>-33.792692145546518</c:v>
                </c:pt>
                <c:pt idx="470">
                  <c:v>-33.726248233887539</c:v>
                </c:pt>
                <c:pt idx="471">
                  <c:v>-33.660038500440258</c:v>
                </c:pt>
                <c:pt idx="472">
                  <c:v>-33.594061840913056</c:v>
                </c:pt>
                <c:pt idx="473">
                  <c:v>-33.528317157579984</c:v>
                </c:pt>
                <c:pt idx="474">
                  <c:v>-33.462803359233895</c:v>
                </c:pt>
                <c:pt idx="475">
                  <c:v>-33.397519361139643</c:v>
                </c:pt>
                <c:pt idx="476">
                  <c:v>-33.332464084987876</c:v>
                </c:pt>
                <c:pt idx="477">
                  <c:v>-33.267636458849111</c:v>
                </c:pt>
                <c:pt idx="478">
                  <c:v>-33.203035417128305</c:v>
                </c:pt>
                <c:pt idx="479">
                  <c:v>-33.138659900519698</c:v>
                </c:pt>
                <c:pt idx="480">
                  <c:v>-33.07450885596208</c:v>
                </c:pt>
                <c:pt idx="481">
                  <c:v>-33.010581236594369</c:v>
                </c:pt>
                <c:pt idx="482">
                  <c:v>-32.946876001711757</c:v>
                </c:pt>
                <c:pt idx="483">
                  <c:v>-32.883392116721879</c:v>
                </c:pt>
                <c:pt idx="484">
                  <c:v>-32.820128553101711</c:v>
                </c:pt>
                <c:pt idx="485">
                  <c:v>-32.757084288354534</c:v>
                </c:pt>
                <c:pt idx="486">
                  <c:v>-32.694258305967473</c:v>
                </c:pt>
                <c:pt idx="487">
                  <c:v>-32.631649595369197</c:v>
                </c:pt>
                <c:pt idx="488">
                  <c:v>-32.569257151888124</c:v>
                </c:pt>
                <c:pt idx="489">
                  <c:v>-32.507079976710891</c:v>
                </c:pt>
                <c:pt idx="490">
                  <c:v>-32.445117076841143</c:v>
                </c:pt>
                <c:pt idx="491">
                  <c:v>-32.383367465058733</c:v>
                </c:pt>
                <c:pt idx="492">
                  <c:v>-32.321830159879276</c:v>
                </c:pt>
                <c:pt idx="493">
                  <c:v>-32.260504185513852</c:v>
                </c:pt>
                <c:pt idx="494">
                  <c:v>-32.199388571829289</c:v>
                </c:pt>
                <c:pt idx="495">
                  <c:v>-32.13848235430855</c:v>
                </c:pt>
                <c:pt idx="496">
                  <c:v>-32.077784574011638</c:v>
                </c:pt>
                <c:pt idx="497">
                  <c:v>-32.017294277536671</c:v>
                </c:pt>
                <c:pt idx="498">
                  <c:v>-31.957010516981335</c:v>
                </c:pt>
                <c:pt idx="499">
                  <c:v>-31.89693234990466</c:v>
                </c:pt>
                <c:pt idx="500">
                  <c:v>-31.837058839289043</c:v>
                </c:pt>
                <c:pt idx="501">
                  <c:v>-31.777389053502755</c:v>
                </c:pt>
                <c:pt idx="502">
                  <c:v>-31.187278737266944</c:v>
                </c:pt>
                <c:pt idx="503">
                  <c:v>-30.616905737842622</c:v>
                </c:pt>
                <c:pt idx="504">
                  <c:v>-30.065395507099691</c:v>
                </c:pt>
                <c:pt idx="505">
                  <c:v>-29.531921947286147</c:v>
                </c:pt>
                <c:pt idx="506">
                  <c:v>-29.01570420396353</c:v>
                </c:pt>
                <c:pt idx="507">
                  <c:v>-28.516003705018917</c:v>
                </c:pt>
                <c:pt idx="508">
                  <c:v>-28.032121424328444</c:v>
                </c:pt>
                <c:pt idx="509">
                  <c:v>-27.563395350728658</c:v>
                </c:pt>
                <c:pt idx="510">
                  <c:v>-27.109198144811486</c:v>
                </c:pt>
                <c:pt idx="511">
                  <c:v>-26.668934967720258</c:v>
                </c:pt>
                <c:pt idx="512">
                  <c:v>-26.242041467612271</c:v>
                </c:pt>
                <c:pt idx="513">
                  <c:v>-25.827981910787067</c:v>
                </c:pt>
                <c:pt idx="514">
                  <c:v>-25.426247445676481</c:v>
                </c:pt>
                <c:pt idx="515">
                  <c:v>-25.036354488967959</c:v>
                </c:pt>
                <c:pt idx="516">
                  <c:v>-24.657843224099977</c:v>
                </c:pt>
                <c:pt idx="517">
                  <c:v>-24.290276203239557</c:v>
                </c:pt>
                <c:pt idx="518">
                  <c:v>-23.933237044637497</c:v>
                </c:pt>
                <c:pt idx="519">
                  <c:v>-23.586329217965364</c:v>
                </c:pt>
                <c:pt idx="520">
                  <c:v>-23.249174910879422</c:v>
                </c:pt>
                <c:pt idx="521">
                  <c:v>-22.921413970635381</c:v>
                </c:pt>
                <c:pt idx="522">
                  <c:v>-22.602702915102569</c:v>
                </c:pt>
                <c:pt idx="523">
                  <c:v>-22.292714008001489</c:v>
                </c:pt>
                <c:pt idx="524">
                  <c:v>-21.991134393619731</c:v>
                </c:pt>
                <c:pt idx="525">
                  <c:v>-21.697665286652875</c:v>
                </c:pt>
                <c:pt idx="526">
                  <c:v>-21.412021213172942</c:v>
                </c:pt>
                <c:pt idx="527">
                  <c:v>-21.133929299050344</c:v>
                </c:pt>
                <c:pt idx="528">
                  <c:v>-20.863128602450516</c:v>
                </c:pt>
                <c:pt idx="529">
                  <c:v>-20.599369487294677</c:v>
                </c:pt>
                <c:pt idx="530">
                  <c:v>-20.342413034819486</c:v>
                </c:pt>
                <c:pt idx="531">
                  <c:v>-20.092030490593821</c:v>
                </c:pt>
                <c:pt idx="532">
                  <c:v>-19.848002744555426</c:v>
                </c:pt>
                <c:pt idx="533">
                  <c:v>-19.610119841817127</c:v>
                </c:pt>
                <c:pt idx="534">
                  <c:v>-19.378180522163227</c:v>
                </c:pt>
                <c:pt idx="535">
                  <c:v>-19.151991786313328</c:v>
                </c:pt>
                <c:pt idx="536">
                  <c:v>-18.93136848717462</c:v>
                </c:pt>
                <c:pt idx="537">
                  <c:v>-18.716132944435106</c:v>
                </c:pt>
                <c:pt idx="538">
                  <c:v>-18.506114580971307</c:v>
                </c:pt>
                <c:pt idx="539">
                  <c:v>-18.301149579654954</c:v>
                </c:pt>
                <c:pt idx="540">
                  <c:v>-18.101080559245297</c:v>
                </c:pt>
                <c:pt idx="541">
                  <c:v>-17.905756268147485</c:v>
                </c:pt>
                <c:pt idx="542">
                  <c:v>-17.715031294904023</c:v>
                </c:pt>
                <c:pt idx="543">
                  <c:v>-17.528765794365814</c:v>
                </c:pt>
                <c:pt idx="544">
                  <c:v>-17.346825228562647</c:v>
                </c:pt>
                <c:pt idx="545">
                  <c:v>-17.169080121360771</c:v>
                </c:pt>
                <c:pt idx="546">
                  <c:v>-16.995405826057517</c:v>
                </c:pt>
                <c:pt idx="547">
                  <c:v>-16.825682305120576</c:v>
                </c:pt>
                <c:pt idx="548">
                  <c:v>-16.659793921332909</c:v>
                </c:pt>
                <c:pt idx="549">
                  <c:v>-16.497629239653254</c:v>
                </c:pt>
                <c:pt idx="550">
                  <c:v>-16.33908083914794</c:v>
                </c:pt>
                <c:pt idx="551">
                  <c:v>-16.18404513439167</c:v>
                </c:pt>
                <c:pt idx="552">
                  <c:v>-16.032422205773901</c:v>
                </c:pt>
                <c:pt idx="553">
                  <c:v>-15.884115638183573</c:v>
                </c:pt>
                <c:pt idx="554">
                  <c:v>-15.739032367578339</c:v>
                </c:pt>
                <c:pt idx="555">
                  <c:v>-15.597082534975378</c:v>
                </c:pt>
                <c:pt idx="556">
                  <c:v>-15.458179347429493</c:v>
                </c:pt>
                <c:pt idx="557">
                  <c:v>-15.322238945590957</c:v>
                </c:pt>
                <c:pt idx="558">
                  <c:v>-15.189180277460011</c:v>
                </c:pt>
                <c:pt idx="559">
                  <c:v>-15.058924977977837</c:v>
                </c:pt>
                <c:pt idx="560">
                  <c:v>-14.931397254115067</c:v>
                </c:pt>
                <c:pt idx="561">
                  <c:v>-14.806523775138391</c:v>
                </c:pt>
                <c:pt idx="562">
                  <c:v>-14.684233567754006</c:v>
                </c:pt>
                <c:pt idx="563">
                  <c:v>-14.564457915843651</c:v>
                </c:pt>
                <c:pt idx="564">
                  <c:v>-14.447130264524262</c:v>
                </c:pt>
                <c:pt idx="565">
                  <c:v>-14.332186128276929</c:v>
                </c:pt>
                <c:pt idx="566">
                  <c:v>-14.219563002904012</c:v>
                </c:pt>
                <c:pt idx="567">
                  <c:v>-14.109200281085528</c:v>
                </c:pt>
                <c:pt idx="568">
                  <c:v>-14.001039171317291</c:v>
                </c:pt>
                <c:pt idx="569">
                  <c:v>-13.895022620023592</c:v>
                </c:pt>
                <c:pt idx="570">
                  <c:v>-13.791095236646669</c:v>
                </c:pt>
                <c:pt idx="571">
                  <c:v>-13.689203221524034</c:v>
                </c:pt>
                <c:pt idx="572">
                  <c:v>-13.589294296372392</c:v>
                </c:pt>
                <c:pt idx="573">
                  <c:v>-13.491317637204212</c:v>
                </c:pt>
                <c:pt idx="574">
                  <c:v>-13.395223809509185</c:v>
                </c:pt>
                <c:pt idx="575">
                  <c:v>-13.300964705538686</c:v>
                </c:pt>
                <c:pt idx="576">
                  <c:v>-13.208493483536174</c:v>
                </c:pt>
                <c:pt idx="577">
                  <c:v>-13.11776450876083</c:v>
                </c:pt>
                <c:pt idx="578">
                  <c:v>-13.028733296155403</c:v>
                </c:pt>
                <c:pt idx="579">
                  <c:v>-12.94135645451213</c:v>
                </c:pt>
                <c:pt idx="580">
                  <c:v>-12.855591631992935</c:v>
                </c:pt>
                <c:pt idx="581">
                  <c:v>-12.771397462861753</c:v>
                </c:pt>
                <c:pt idx="582">
                  <c:v>-12.688733515287758</c:v>
                </c:pt>
                <c:pt idx="583">
                  <c:v>-12.607560240078502</c:v>
                </c:pt>
                <c:pt idx="584">
                  <c:v>-12.527838920201543</c:v>
                </c:pt>
                <c:pt idx="585">
                  <c:v>-12.449531620951868</c:v>
                </c:pt>
                <c:pt idx="586">
                  <c:v>-12.372601140620509</c:v>
                </c:pt>
                <c:pt idx="587">
                  <c:v>-12.297010961516733</c:v>
                </c:pt>
                <c:pt idx="588">
                  <c:v>-12.222725201192768</c:v>
                </c:pt>
                <c:pt idx="589">
                  <c:v>-12.14970856371507</c:v>
                </c:pt>
                <c:pt idx="590">
                  <c:v>-12.077926290820768</c:v>
                </c:pt>
                <c:pt idx="591">
                  <c:v>-12.007344112791086</c:v>
                </c:pt>
                <c:pt idx="592">
                  <c:v>-11.937928198865627</c:v>
                </c:pt>
                <c:pt idx="593">
                  <c:v>-11.869645107012381</c:v>
                </c:pt>
                <c:pt idx="594">
                  <c:v>-11.80246173285764</c:v>
                </c:pt>
                <c:pt idx="595">
                  <c:v>-11.736345257568114</c:v>
                </c:pt>
                <c:pt idx="596">
                  <c:v>-11.671263094463628</c:v>
                </c:pt>
                <c:pt idx="597">
                  <c:v>-11.607182834123396</c:v>
                </c:pt>
                <c:pt idx="598">
                  <c:v>-11.544072187731182</c:v>
                </c:pt>
                <c:pt idx="599">
                  <c:v>-11.481898928384815</c:v>
                </c:pt>
                <c:pt idx="600">
                  <c:v>-11.420630830073245</c:v>
                </c:pt>
                <c:pt idx="601">
                  <c:v>-11.360235603999127</c:v>
                </c:pt>
                <c:pt idx="602">
                  <c:v>-11.300680831896752</c:v>
                </c:pt>
                <c:pt idx="603">
                  <c:v>-11.241933895963482</c:v>
                </c:pt>
                <c:pt idx="604">
                  <c:v>-11.183961904987267</c:v>
                </c:pt>
                <c:pt idx="605">
                  <c:v>-11.126731616213036</c:v>
                </c:pt>
                <c:pt idx="606">
                  <c:v>-11.070209352445993</c:v>
                </c:pt>
                <c:pt idx="607">
                  <c:v>-11.014360913839838</c:v>
                </c:pt>
                <c:pt idx="608">
                  <c:v>-10.959151483761641</c:v>
                </c:pt>
                <c:pt idx="609">
                  <c:v>-10.904545528062137</c:v>
                </c:pt>
                <c:pt idx="610">
                  <c:v>-10.850506687009457</c:v>
                </c:pt>
                <c:pt idx="611">
                  <c:v>-10.796997659064939</c:v>
                </c:pt>
                <c:pt idx="612">
                  <c:v>-10.743980075590621</c:v>
                </c:pt>
                <c:pt idx="613">
                  <c:v>-10.691414365477849</c:v>
                </c:pt>
                <c:pt idx="614">
                  <c:v>-10.639259608574188</c:v>
                </c:pt>
                <c:pt idx="615">
                  <c:v>-10.587473376659329</c:v>
                </c:pt>
                <c:pt idx="616">
                  <c:v>-10.536011560578888</c:v>
                </c:pt>
                <c:pt idx="617">
                  <c:v>-10.484828181985179</c:v>
                </c:pt>
                <c:pt idx="618">
                  <c:v>-10.433875187954605</c:v>
                </c:pt>
                <c:pt idx="619">
                  <c:v>-10.383102226549351</c:v>
                </c:pt>
                <c:pt idx="620">
                  <c:v>-10.332456401163938</c:v>
                </c:pt>
                <c:pt idx="621">
                  <c:v>-10.281882001241657</c:v>
                </c:pt>
                <c:pt idx="622">
                  <c:v>-10.231320206658802</c:v>
                </c:pt>
                <c:pt idx="623">
                  <c:v>-10.180708762751594</c:v>
                </c:pt>
                <c:pt idx="624">
                  <c:v>-10.129981622598011</c:v>
                </c:pt>
                <c:pt idx="625">
                  <c:v>-10.07906855275967</c:v>
                </c:pt>
                <c:pt idx="626">
                  <c:v>-10.027894698232302</c:v>
                </c:pt>
                <c:pt idx="627">
                  <c:v>-9.9763801018424267</c:v>
                </c:pt>
                <c:pt idx="628">
                  <c:v>-9.9244391727566867</c:v>
                </c:pt>
                <c:pt idx="629">
                  <c:v>-9.8719800981336672</c:v>
                </c:pt>
                <c:pt idx="630">
                  <c:v>-9.8189041912406871</c:v>
                </c:pt>
                <c:pt idx="631">
                  <c:v>-9.7651051685746992</c:v>
                </c:pt>
                <c:pt idx="632">
                  <c:v>-9.7104683476638609</c:v>
                </c:pt>
                <c:pt idx="633">
                  <c:v>-9.6548697562817125</c:v>
                </c:pt>
                <c:pt idx="634">
                  <c:v>-9.5981751427804127</c:v>
                </c:pt>
                <c:pt idx="635">
                  <c:v>-9.5402388761470647</c:v>
                </c:pt>
                <c:pt idx="636">
                  <c:v>-9.4809027232187617</c:v>
                </c:pt>
                <c:pt idx="637">
                  <c:v>-9.4199944892763092</c:v>
                </c:pt>
                <c:pt idx="638">
                  <c:v>-9.3573265070045508</c:v>
                </c:pt>
                <c:pt idx="639">
                  <c:v>-9.2926939576064402</c:v>
                </c:pt>
                <c:pt idx="640">
                  <c:v>-9.2258730067586043</c:v>
                </c:pt>
                <c:pt idx="641">
                  <c:v>-9.1566187371996115</c:v>
                </c:pt>
                <c:pt idx="642">
                  <c:v>-9.0846628591918748</c:v>
                </c:pt>
                <c:pt idx="643">
                  <c:v>-9.0097111800931486</c:v>
                </c:pt>
                <c:pt idx="644">
                  <c:v>-8.9314408150881395</c:v>
                </c:pt>
                <c:pt idx="645">
                  <c:v>-8.8494971231359703</c:v>
                </c:pt>
                <c:pt idx="646">
                  <c:v>-8.7634903558839508</c:v>
                </c:pt>
                <c:pt idx="647">
                  <c:v>-8.6729920133445404</c:v>
                </c:pt>
                <c:pt idx="648">
                  <c:v>-8.5775309093993304</c:v>
                </c:pt>
                <c:pt idx="649">
                  <c:v>-8.4765889638090712</c:v>
                </c:pt>
                <c:pt idx="650">
                  <c:v>-8.3695967568125944</c:v>
                </c:pt>
                <c:pt idx="651">
                  <c:v>-8.255928909401316</c:v>
                </c:pt>
                <c:pt idx="652">
                  <c:v>-8.1348993891892256</c:v>
                </c:pt>
                <c:pt idx="653">
                  <c:v>-8.0057568911293213</c:v>
                </c:pt>
                <c:pt idx="654">
                  <c:v>-7.8676805072346916</c:v>
                </c:pt>
                <c:pt idx="655">
                  <c:v>-7.7197759833029851</c:v>
                </c:pt>
                <c:pt idx="656">
                  <c:v>-7.5610729667633851</c:v>
                </c:pt>
                <c:pt idx="657">
                  <c:v>-7.3905237809493292</c:v>
                </c:pt>
                <c:pt idx="658">
                  <c:v>-7.2070044186412412</c:v>
                </c:pt>
                <c:pt idx="659">
                  <c:v>-7.0093186299571801</c:v>
                </c:pt>
                <c:pt idx="660">
                  <c:v>-6.7962061798221152</c:v>
                </c:pt>
                <c:pt idx="661">
                  <c:v>-6.5663565534840984</c:v>
                </c:pt>
                <c:pt idx="662">
                  <c:v>-6.3184295682629585</c:v>
                </c:pt>
                <c:pt idx="663">
                  <c:v>-6.0510844634350871</c:v>
                </c:pt>
                <c:pt idx="664">
                  <c:v>-5.763019025954824</c:v>
                </c:pt>
                <c:pt idx="665">
                  <c:v>-5.4530200849990091</c:v>
                </c:pt>
                <c:pt idx="666">
                  <c:v>-5.1200261738545692</c:v>
                </c:pt>
                <c:pt idx="667">
                  <c:v>-4.7632022107295064</c:v>
                </c:pt>
                <c:pt idx="668">
                  <c:v>-4.3820246108990997</c:v>
                </c:pt>
                <c:pt idx="669">
                  <c:v>-3.9763732963745109</c:v>
                </c:pt>
                <c:pt idx="670">
                  <c:v>-3.5466247204927557</c:v>
                </c:pt>
                <c:pt idx="671">
                  <c:v>-3.0937375513114005</c:v>
                </c:pt>
                <c:pt idx="672">
                  <c:v>-2.6193205390020196</c:v>
                </c:pt>
                <c:pt idx="673">
                  <c:v>-2.1256709777033911</c:v>
                </c:pt>
                <c:pt idx="674">
                  <c:v>-1.6157727562776238</c:v>
                </c:pt>
                <c:pt idx="675">
                  <c:v>-1.0932457957587847</c:v>
                </c:pt>
                <c:pt idx="676">
                  <c:v>-0.56224377336377429</c:v>
                </c:pt>
                <c:pt idx="677">
                  <c:v>-2.7303864078265579E-2</c:v>
                </c:pt>
                <c:pt idx="678">
                  <c:v>0.50684044428568953</c:v>
                </c:pt>
                <c:pt idx="679">
                  <c:v>1.0354662310758476</c:v>
                </c:pt>
                <c:pt idx="680">
                  <c:v>1.5540670189805532</c:v>
                </c:pt>
                <c:pt idx="681">
                  <c:v>2.0585371196063313</c:v>
                </c:pt>
                <c:pt idx="682">
                  <c:v>2.5453176873587928</c:v>
                </c:pt>
                <c:pt idx="683">
                  <c:v>3.0114940743526373</c:v>
                </c:pt>
                <c:pt idx="684">
                  <c:v>3.4548414307479902</c:v>
                </c:pt>
                <c:pt idx="685">
                  <c:v>3.8738222186470761</c:v>
                </c:pt>
                <c:pt idx="686">
                  <c:v>4.2675442195687481</c:v>
                </c:pt>
                <c:pt idx="687">
                  <c:v>4.6356902072723729</c:v>
                </c:pt>
                <c:pt idx="688">
                  <c:v>4.9784308587071617</c:v>
                </c:pt>
                <c:pt idx="689">
                  <c:v>5.2963312344487159</c:v>
                </c:pt>
                <c:pt idx="690">
                  <c:v>5.5902589763121719</c:v>
                </c:pt>
                <c:pt idx="691">
                  <c:v>5.8612998830251124</c:v>
                </c:pt>
                <c:pt idx="692">
                  <c:v>6.110684197621933</c:v>
                </c:pt>
                <c:pt idx="693">
                  <c:v>6.3397250335442772</c:v>
                </c:pt>
                <c:pt idx="694">
                  <c:v>6.5497689716311847</c:v>
                </c:pt>
                <c:pt idx="695">
                  <c:v>6.7421579540788326</c:v>
                </c:pt>
                <c:pt idx="696">
                  <c:v>6.9182011001897061</c:v>
                </c:pt>
                <c:pt idx="697">
                  <c:v>7.079154868526591</c:v>
                </c:pt>
                <c:pt idx="698">
                  <c:v>7.2262099924048782</c:v>
                </c:pt>
                <c:pt idx="699">
                  <c:v>7.3604837394191698</c:v>
                </c:pt>
                <c:pt idx="700">
                  <c:v>7.4830162306696497</c:v>
                </c:pt>
                <c:pt idx="701">
                  <c:v>7.594769760567738</c:v>
                </c:pt>
                <c:pt idx="702">
                  <c:v>7.6966302581680299</c:v>
                </c:pt>
                <c:pt idx="703">
                  <c:v>7.7894102119515773</c:v>
                </c:pt>
                <c:pt idx="704">
                  <c:v>7.8738525357118441</c:v>
                </c:pt>
                <c:pt idx="705">
                  <c:v>7.9506349823956368</c:v>
                </c:pt>
                <c:pt idx="706">
                  <c:v>8.0203748169501292</c:v>
                </c:pt>
                <c:pt idx="707">
                  <c:v>8.0836335413295597</c:v>
                </c:pt>
                <c:pt idx="708">
                  <c:v>8.1409215282181719</c:v>
                </c:pt>
                <c:pt idx="709">
                  <c:v>8.1927024680959022</c:v>
                </c:pt>
                <c:pt idx="710">
                  <c:v>8.2393975700730362</c:v>
                </c:pt>
                <c:pt idx="711">
                  <c:v>8.281389483092612</c:v>
                </c:pt>
                <c:pt idx="712">
                  <c:v>8.3190259228441352</c:v>
                </c:pt>
                <c:pt idx="713">
                  <c:v>8.3526230028308941</c:v>
                </c:pt>
                <c:pt idx="714">
                  <c:v>8.3824682769000542</c:v>
                </c:pt>
                <c:pt idx="715">
                  <c:v>8.4088235062838947</c:v>
                </c:pt>
                <c:pt idx="716">
                  <c:v>8.4319271676614225</c:v>
                </c:pt>
                <c:pt idx="717">
                  <c:v>8.4519967205784923</c:v>
                </c:pt>
                <c:pt idx="718">
                  <c:v>8.4692306532473065</c:v>
                </c:pt>
                <c:pt idx="719">
                  <c:v>8.4838103256436614</c:v>
                </c:pt>
                <c:pt idx="720">
                  <c:v>8.4959016281986415</c:v>
                </c:pt>
                <c:pt idx="721">
                  <c:v>8.5056564734334899</c:v>
                </c:pt>
                <c:pt idx="722">
                  <c:v>8.5132141367504151</c:v>
                </c:pt>
                <c:pt idx="723">
                  <c:v>8.5187024613660434</c:v>
                </c:pt>
                <c:pt idx="724">
                  <c:v>8.5222389411252255</c:v>
                </c:pt>
                <c:pt idx="725">
                  <c:v>8.5239316937063254</c:v>
                </c:pt>
                <c:pt idx="726">
                  <c:v>8.5238803355543293</c:v>
                </c:pt>
                <c:pt idx="727">
                  <c:v>8.5221767687725958</c:v>
                </c:pt>
                <c:pt idx="728">
                  <c:v>8.5189058891774181</c:v>
                </c:pt>
                <c:pt idx="729">
                  <c:v>8.5141462237758123</c:v>
                </c:pt>
                <c:pt idx="730">
                  <c:v>8.5079705050658117</c:v>
                </c:pt>
                <c:pt idx="731">
                  <c:v>8.5004461887775804</c:v>
                </c:pt>
                <c:pt idx="732">
                  <c:v>8.4916359209690579</c:v>
                </c:pt>
                <c:pt idx="733">
                  <c:v>8.4815979597558329</c:v>
                </c:pt>
                <c:pt idx="734">
                  <c:v>8.4703865563869556</c:v>
                </c:pt>
                <c:pt idx="735">
                  <c:v>8.458052299869987</c:v>
                </c:pt>
                <c:pt idx="736">
                  <c:v>8.4446424288948663</c:v>
                </c:pt>
                <c:pt idx="737">
                  <c:v>8.4302011144014575</c:v>
                </c:pt>
                <c:pt idx="738">
                  <c:v>8.4147697157752503</c:v>
                </c:pt>
                <c:pt idx="739">
                  <c:v>8.3983870133348439</c:v>
                </c:pt>
                <c:pt idx="740">
                  <c:v>8.3810894194894381</c:v>
                </c:pt>
                <c:pt idx="741">
                  <c:v>8.3629111706907011</c:v>
                </c:pt>
                <c:pt idx="742">
                  <c:v>8.343884502077751</c:v>
                </c:pt>
                <c:pt idx="743">
                  <c:v>8.3240398065130439</c:v>
                </c:pt>
                <c:pt idx="744">
                  <c:v>8.3034057795286813</c:v>
                </c:pt>
                <c:pt idx="745">
                  <c:v>8.2820095515435863</c:v>
                </c:pt>
                <c:pt idx="746">
                  <c:v>8.2598768085707928</c:v>
                </c:pt>
                <c:pt idx="747">
                  <c:v>8.23703190250815</c:v>
                </c:pt>
                <c:pt idx="748">
                  <c:v>8.2134979519936859</c:v>
                </c:pt>
                <c:pt idx="749">
                  <c:v>8.1892969347069311</c:v>
                </c:pt>
                <c:pt idx="750">
                  <c:v>8.1644497719084068</c:v>
                </c:pt>
                <c:pt idx="751">
                  <c:v>8.1389764059299949</c:v>
                </c:pt>
                <c:pt idx="752">
                  <c:v>8.1128958712578765</c:v>
                </c:pt>
                <c:pt idx="753">
                  <c:v>8.0862263597862913</c:v>
                </c:pt>
                <c:pt idx="754">
                  <c:v>8.0589852807636788</c:v>
                </c:pt>
                <c:pt idx="755">
                  <c:v>8.0311893159019263</c:v>
                </c:pt>
                <c:pt idx="756">
                  <c:v>8.0028544700740749</c:v>
                </c:pt>
                <c:pt idx="757">
                  <c:v>7.9739961179849832</c:v>
                </c:pt>
                <c:pt idx="758">
                  <c:v>7.9446290471630006</c:v>
                </c:pt>
                <c:pt idx="759">
                  <c:v>7.914767497587829</c:v>
                </c:pt>
                <c:pt idx="760">
                  <c:v>7.8844251982402955</c:v>
                </c:pt>
                <c:pt idx="761">
                  <c:v>7.8536154008332728</c:v>
                </c:pt>
                <c:pt idx="762">
                  <c:v>7.8223509109591305</c:v>
                </c:pt>
                <c:pt idx="763">
                  <c:v>7.7906441168675853</c:v>
                </c:pt>
                <c:pt idx="764">
                  <c:v>7.7585070160685543</c:v>
                </c:pt>
                <c:pt idx="765">
                  <c:v>7.7259512399370687</c:v>
                </c:pt>
                <c:pt idx="766">
                  <c:v>7.6929880764815639</c:v>
                </c:pt>
                <c:pt idx="767">
                  <c:v>7.659628491422696</c:v>
                </c:pt>
                <c:pt idx="768">
                  <c:v>7.6258831477168219</c:v>
                </c:pt>
                <c:pt idx="769">
                  <c:v>7.591762423646772</c:v>
                </c:pt>
                <c:pt idx="770">
                  <c:v>7.5572764295918873</c:v>
                </c:pt>
                <c:pt idx="771">
                  <c:v>7.5224350235797992</c:v>
                </c:pt>
                <c:pt idx="772">
                  <c:v>7.4872478257136974</c:v>
                </c:pt>
                <c:pt idx="773">
                  <c:v>7.4517242315610002</c:v>
                </c:pt>
                <c:pt idx="774">
                  <c:v>7.415873424582168</c:v>
                </c:pt>
                <c:pt idx="775">
                  <c:v>7.3797043876718975</c:v>
                </c:pt>
                <c:pt idx="776">
                  <c:v>7.3432259138790323</c:v>
                </c:pt>
                <c:pt idx="777">
                  <c:v>7.3064466163660882</c:v>
                </c:pt>
                <c:pt idx="778">
                  <c:v>7.2693749376644554</c:v>
                </c:pt>
                <c:pt idx="779">
                  <c:v>7.2320191582767883</c:v>
                </c:pt>
                <c:pt idx="780">
                  <c:v>7.1943874046740852</c:v>
                </c:pt>
                <c:pt idx="781">
                  <c:v>7.1564876567311018</c:v>
                </c:pt>
                <c:pt idx="782">
                  <c:v>7.1183277546405233</c:v>
                </c:pt>
                <c:pt idx="783">
                  <c:v>7.0799154053430051</c:v>
                </c:pt>
                <c:pt idx="784">
                  <c:v>7.0412581885074506</c:v>
                </c:pt>
                <c:pt idx="785">
                  <c:v>7.0023635620932687</c:v>
                </c:pt>
                <c:pt idx="786">
                  <c:v>6.9632388675239163</c:v>
                </c:pt>
                <c:pt idx="787">
                  <c:v>6.9238913344988955</c:v>
                </c:pt>
                <c:pt idx="788">
                  <c:v>6.8843280854692628</c:v>
                </c:pt>
                <c:pt idx="789">
                  <c:v>6.8445561397999803</c:v>
                </c:pt>
                <c:pt idx="790">
                  <c:v>6.804582417640642</c:v>
                </c:pt>
                <c:pt idx="791">
                  <c:v>6.7644137435245515</c:v>
                </c:pt>
                <c:pt idx="792">
                  <c:v>6.7240568497147493</c:v>
                </c:pt>
                <c:pt idx="793">
                  <c:v>6.6835183793142061</c:v>
                </c:pt>
                <c:pt idx="794">
                  <c:v>6.6428048891561584</c:v>
                </c:pt>
                <c:pt idx="795">
                  <c:v>6.6019228524895359</c:v>
                </c:pt>
                <c:pt idx="796">
                  <c:v>6.5608786614732599</c:v>
                </c:pt>
                <c:pt idx="797">
                  <c:v>6.5196786294923257</c:v>
                </c:pt>
                <c:pt idx="798">
                  <c:v>6.4783289933076631</c:v>
                </c:pt>
                <c:pt idx="799">
                  <c:v>6.4368359150509651</c:v>
                </c:pt>
                <c:pt idx="800">
                  <c:v>6.3952054840748573</c:v>
                </c:pt>
                <c:pt idx="801">
                  <c:v>6.3534437186682027</c:v>
                </c:pt>
                <c:pt idx="802">
                  <c:v>6.3115565676455354</c:v>
                </c:pt>
                <c:pt idx="803">
                  <c:v>6.2695499118191327</c:v>
                </c:pt>
                <c:pt idx="804">
                  <c:v>6.2274295653616303</c:v>
                </c:pt>
                <c:pt idx="805">
                  <c:v>6.1852012770665574</c:v>
                </c:pt>
                <c:pt idx="806">
                  <c:v>6.1428707315137228</c:v>
                </c:pt>
                <c:pt idx="807">
                  <c:v>6.1004435501458785</c:v>
                </c:pt>
                <c:pt idx="808">
                  <c:v>6.0579252922627713</c:v>
                </c:pt>
                <c:pt idx="809">
                  <c:v>6.0153214559381887</c:v>
                </c:pt>
                <c:pt idx="810">
                  <c:v>5.972637478865316</c:v>
                </c:pt>
                <c:pt idx="811">
                  <c:v>5.9298787391354075</c:v>
                </c:pt>
                <c:pt idx="812">
                  <c:v>5.8870505559543833</c:v>
                </c:pt>
                <c:pt idx="813">
                  <c:v>5.8441581903017639</c:v>
                </c:pt>
                <c:pt idx="814">
                  <c:v>5.8012068455359902</c:v>
                </c:pt>
                <c:pt idx="815">
                  <c:v>5.7582016679500239</c:v>
                </c:pt>
                <c:pt idx="816">
                  <c:v>5.7151477472808061</c:v>
                </c:pt>
                <c:pt idx="817">
                  <c:v>5.6720501171759645</c:v>
                </c:pt>
                <c:pt idx="818">
                  <c:v>5.628913755620963</c:v>
                </c:pt>
                <c:pt idx="819">
                  <c:v>5.5857435853296726</c:v>
                </c:pt>
                <c:pt idx="820">
                  <c:v>5.5425444741011747</c:v>
                </c:pt>
                <c:pt idx="821">
                  <c:v>5.4993212351454268</c:v>
                </c:pt>
                <c:pt idx="822">
                  <c:v>5.4560786273803004</c:v>
                </c:pt>
                <c:pt idx="823">
                  <c:v>5.4128213557022864</c:v>
                </c:pt>
                <c:pt idx="824">
                  <c:v>5.3695540712330727</c:v>
                </c:pt>
                <c:pt idx="825">
                  <c:v>5.3262813715440833</c:v>
                </c:pt>
                <c:pt idx="826">
                  <c:v>5.2830078008608794</c:v>
                </c:pt>
                <c:pt idx="827">
                  <c:v>5.2397378502492558</c:v>
                </c:pt>
                <c:pt idx="828">
                  <c:v>5.1964759577847897</c:v>
                </c:pt>
                <c:pt idx="829">
                  <c:v>5.153226508707367</c:v>
                </c:pt>
                <c:pt idx="830">
                  <c:v>5.1099938355623156</c:v>
                </c:pt>
                <c:pt idx="831">
                  <c:v>5.0667822183294593</c:v>
                </c:pt>
                <c:pt idx="832">
                  <c:v>5.0235958845415301</c:v>
                </c:pt>
                <c:pt idx="833">
                  <c:v>4.9804390093931525</c:v>
                </c:pt>
                <c:pt idx="834">
                  <c:v>4.9373157158415468</c:v>
                </c:pt>
                <c:pt idx="835">
                  <c:v>4.8942300747001832</c:v>
                </c:pt>
                <c:pt idx="836">
                  <c:v>4.8511861047263078</c:v>
                </c:pt>
                <c:pt idx="837">
                  <c:v>4.8081877727033726</c:v>
                </c:pt>
                <c:pt idx="838">
                  <c:v>4.7652389935193531</c:v>
                </c:pt>
                <c:pt idx="839">
                  <c:v>4.7223436302416664</c:v>
                </c:pt>
                <c:pt idx="840">
                  <c:v>4.6795054941896987</c:v>
                </c:pt>
                <c:pt idx="841">
                  <c:v>4.6367283450055199</c:v>
                </c:pt>
                <c:pt idx="842">
                  <c:v>4.5940158907236155</c:v>
                </c:pt>
                <c:pt idx="843">
                  <c:v>4.5513717878402575</c:v>
                </c:pt>
                <c:pt idx="844">
                  <c:v>4.5087996413831535</c:v>
                </c:pt>
                <c:pt idx="845">
                  <c:v>4.466303004981917</c:v>
                </c:pt>
                <c:pt idx="846">
                  <c:v>4.4238853809399732</c:v>
                </c:pt>
                <c:pt idx="847">
                  <c:v>4.3815502203083385</c:v>
                </c:pt>
                <c:pt idx="848">
                  <c:v>4.3393009229617778</c:v>
                </c:pt>
                <c:pt idx="849">
                  <c:v>4.2971408376777811</c:v>
                </c:pt>
                <c:pt idx="850">
                  <c:v>4.2550732622187404</c:v>
                </c:pt>
                <c:pt idx="851">
                  <c:v>4.2131014434177603</c:v>
                </c:pt>
                <c:pt idx="852">
                  <c:v>4.1712285772683337</c:v>
                </c:pt>
                <c:pt idx="853">
                  <c:v>4.1294578090183647</c:v>
                </c:pt>
                <c:pt idx="854">
                  <c:v>4.0877922332686829</c:v>
                </c:pt>
                <c:pt idx="855">
                  <c:v>4.0462348940764379</c:v>
                </c:pt>
                <c:pt idx="856">
                  <c:v>4.0047887850635293</c:v>
                </c:pt>
                <c:pt idx="857">
                  <c:v>3.9634568495303446</c:v>
                </c:pt>
                <c:pt idx="858">
                  <c:v>3.9222419805750262</c:v>
                </c:pt>
                <c:pt idx="859">
                  <c:v>3.881147021218383</c:v>
                </c:pt>
                <c:pt idx="860">
                  <c:v>3.8401747645347042</c:v>
                </c:pt>
                <c:pt idx="861">
                  <c:v>3.7993279537885352</c:v>
                </c:pt>
                <c:pt idx="862">
                  <c:v>3.7586092825775852</c:v>
                </c:pt>
                <c:pt idx="863">
                  <c:v>3.7180213949819247</c:v>
                </c:pt>
                <c:pt idx="864">
                  <c:v>3.6775668857194432</c:v>
                </c:pt>
                <c:pt idx="865">
                  <c:v>3.6372483003078058</c:v>
                </c:pt>
                <c:pt idx="866">
                  <c:v>3.5970681352328455</c:v>
                </c:pt>
                <c:pt idx="867">
                  <c:v>3.5570288381235473</c:v>
                </c:pt>
                <c:pt idx="868">
                  <c:v>3.5171328079335735</c:v>
                </c:pt>
                <c:pt idx="869">
                  <c:v>3.4773823951294593</c:v>
                </c:pt>
                <c:pt idx="870">
                  <c:v>3.4377799018853779</c:v>
                </c:pt>
                <c:pt idx="871">
                  <c:v>3.3983275822846464</c:v>
                </c:pt>
                <c:pt idx="872">
                  <c:v>3.3590276425277654</c:v>
                </c:pt>
                <c:pt idx="873">
                  <c:v>3.3198822411471802</c:v>
                </c:pt>
                <c:pt idx="874">
                  <c:v>3.2808934892285873</c:v>
                </c:pt>
                <c:pt idx="875">
                  <c:v>3.2420634506388506</c:v>
                </c:pt>
                <c:pt idx="876">
                  <c:v>3.2033941422604295</c:v>
                </c:pt>
                <c:pt idx="877">
                  <c:v>3.1648875342323395</c:v>
                </c:pt>
                <c:pt idx="878">
                  <c:v>3.1265455501974868</c:v>
                </c:pt>
                <c:pt idx="879">
                  <c:v>3.088370067556423</c:v>
                </c:pt>
                <c:pt idx="880">
                  <c:v>3.0503629177273934</c:v>
                </c:pt>
                <c:pt idx="881">
                  <c:v>3.012525886412587</c:v>
                </c:pt>
                <c:pt idx="882">
                  <c:v>2.9748607138705756</c:v>
                </c:pt>
                <c:pt idx="883">
                  <c:v>2.9373690951947875</c:v>
                </c:pt>
                <c:pt idx="884">
                  <c:v>2.9000526805979439</c:v>
                </c:pt>
                <c:pt idx="885">
                  <c:v>2.8629130757023749</c:v>
                </c:pt>
                <c:pt idx="886">
                  <c:v>2.8259518418361171</c:v>
                </c:pt>
                <c:pt idx="887">
                  <c:v>2.7891704963346653</c:v>
                </c:pt>
                <c:pt idx="888">
                  <c:v>2.7525705128482549</c:v>
                </c:pt>
                <c:pt idx="889">
                  <c:v>2.7161533216546214</c:v>
                </c:pt>
                <c:pt idx="890">
                  <c:v>2.6799203099770299</c:v>
                </c:pt>
                <c:pt idx="891">
                  <c:v>2.643872822307574</c:v>
                </c:pt>
                <c:pt idx="892">
                  <c:v>2.6080121607354778</c:v>
                </c:pt>
                <c:pt idx="893">
                  <c:v>2.572339585280405</c:v>
                </c:pt>
                <c:pt idx="894">
                  <c:v>2.5368563142305431</c:v>
                </c:pt>
                <c:pt idx="895">
                  <c:v>2.5015635244854009</c:v>
                </c:pt>
                <c:pt idx="896">
                  <c:v>2.466462351903151</c:v>
                </c:pt>
                <c:pt idx="897">
                  <c:v>2.431553891652408</c:v>
                </c:pt>
                <c:pt idx="898">
                  <c:v>2.3968391985682427</c:v>
                </c:pt>
                <c:pt idx="899">
                  <c:v>2.3623192875124026</c:v>
                </c:pt>
                <c:pt idx="900">
                  <c:v>2.3279951337374847</c:v>
                </c:pt>
                <c:pt idx="901">
                  <c:v>2.2938676732549803</c:v>
                </c:pt>
                <c:pt idx="902">
                  <c:v>2.2599378032070403</c:v>
                </c:pt>
                <c:pt idx="903">
                  <c:v>2.2262063822418359</c:v>
                </c:pt>
                <c:pt idx="904">
                  <c:v>2.1926742308923162</c:v>
                </c:pt>
                <c:pt idx="905">
                  <c:v>2.1593421319582653</c:v>
                </c:pt>
                <c:pt idx="906">
                  <c:v>2.1262108308915231</c:v>
                </c:pt>
                <c:pt idx="907">
                  <c:v>2.0932810361841554</c:v>
                </c:pt>
                <c:pt idx="908">
                  <c:v>2.0605534197595432</c:v>
                </c:pt>
                <c:pt idx="909">
                  <c:v>2.0280286173661031</c:v>
                </c:pt>
                <c:pt idx="910">
                  <c:v>1.9957072289736439</c:v>
                </c:pt>
                <c:pt idx="911">
                  <c:v>1.9635898191720846</c:v>
                </c:pt>
                <c:pt idx="912">
                  <c:v>1.9316769175724753</c:v>
                </c:pt>
                <c:pt idx="913">
                  <c:v>1.899969019210153</c:v>
                </c:pt>
                <c:pt idx="914">
                  <c:v>1.8684665849498625</c:v>
                </c:pt>
                <c:pt idx="915">
                  <c:v>1.8371700418927492</c:v>
                </c:pt>
                <c:pt idx="916">
                  <c:v>1.80607978378504</c:v>
                </c:pt>
                <c:pt idx="917">
                  <c:v>1.7751961714282949</c:v>
                </c:pt>
                <c:pt idx="918">
                  <c:v>1.7445195330910934</c:v>
                </c:pt>
                <c:pt idx="919">
                  <c:v>1.7140501649219697</c:v>
                </c:pt>
                <c:pt idx="920">
                  <c:v>1.6837883313635924</c:v>
                </c:pt>
                <c:pt idx="921">
                  <c:v>1.6537342655678113</c:v>
                </c:pt>
                <c:pt idx="922">
                  <c:v>1.623888169811746</c:v>
                </c:pt>
                <c:pt idx="923">
                  <c:v>1.5942502159145047</c:v>
                </c:pt>
                <c:pt idx="924">
                  <c:v>1.5648205456545785</c:v>
                </c:pt>
                <c:pt idx="925">
                  <c:v>1.5355992711876976</c:v>
                </c:pt>
                <c:pt idx="926">
                  <c:v>1.5065864754650686</c:v>
                </c:pt>
                <c:pt idx="927">
                  <c:v>1.4777822126518281</c:v>
                </c:pt>
                <c:pt idx="928">
                  <c:v>1.4491865085455906</c:v>
                </c:pt>
                <c:pt idx="929">
                  <c:v>1.4207993609950389</c:v>
                </c:pt>
                <c:pt idx="930">
                  <c:v>1.3926207403182982</c:v>
                </c:pt>
                <c:pt idx="931">
                  <c:v>1.3646505897211085</c:v>
                </c:pt>
                <c:pt idx="932">
                  <c:v>1.3368888257146239</c:v>
                </c:pt>
                <c:pt idx="933">
                  <c:v>1.3093353385326996</c:v>
                </c:pt>
                <c:pt idx="934">
                  <c:v>1.2819899925485796</c:v>
                </c:pt>
                <c:pt idx="935">
                  <c:v>1.2548526266908784</c:v>
                </c:pt>
                <c:pt idx="936">
                  <c:v>1.2279230548587794</c:v>
                </c:pt>
                <c:pt idx="937">
                  <c:v>1.2012010663361981</c:v>
                </c:pt>
                <c:pt idx="938">
                  <c:v>1.1746864262050316</c:v>
                </c:pt>
                <c:pt idx="939">
                  <c:v>1.1483788757571904</c:v>
                </c:pt>
                <c:pt idx="940">
                  <c:v>1.122278132905409</c:v>
                </c:pt>
                <c:pt idx="941">
                  <c:v>1.0963838925927316</c:v>
                </c:pt>
                <c:pt idx="942">
                  <c:v>1.0706958272005522</c:v>
                </c:pt>
                <c:pt idx="943">
                  <c:v>1.0452135869551284</c:v>
                </c:pt>
                <c:pt idx="944">
                  <c:v>1.0199368003324683</c:v>
                </c:pt>
                <c:pt idx="945">
                  <c:v>0.99486507446149197</c:v>
                </c:pt>
                <c:pt idx="946">
                  <c:v>0.96999799552544097</c:v>
                </c:pt>
                <c:pt idx="947">
                  <c:v>0.96997336977463355</c:v>
                </c:pt>
                <c:pt idx="948">
                  <c:v>0.96994874422605548</c:v>
                </c:pt>
                <c:pt idx="949">
                  <c:v>0.96992411887972274</c:v>
                </c:pt>
                <c:pt idx="950">
                  <c:v>0.96989949373561757</c:v>
                </c:pt>
                <c:pt idx="951">
                  <c:v>0.96987486879375773</c:v>
                </c:pt>
                <c:pt idx="952">
                  <c:v>0.96985024405413078</c:v>
                </c:pt>
                <c:pt idx="953">
                  <c:v>0.96982561951673674</c:v>
                </c:pt>
                <c:pt idx="954">
                  <c:v>0.96980099518157914</c:v>
                </c:pt>
                <c:pt idx="955">
                  <c:v>0.96977637104865622</c:v>
                </c:pt>
                <c:pt idx="956">
                  <c:v>0.96975174711796797</c:v>
                </c:pt>
                <c:pt idx="957">
                  <c:v>0.96972712338951261</c:v>
                </c:pt>
                <c:pt idx="958">
                  <c:v>0.96970249986328838</c:v>
                </c:pt>
                <c:pt idx="959">
                  <c:v>0.96967787653930237</c:v>
                </c:pt>
                <c:pt idx="960">
                  <c:v>0.96965325341754038</c:v>
                </c:pt>
                <c:pt idx="961">
                  <c:v>0.96962863049801484</c:v>
                </c:pt>
                <c:pt idx="962">
                  <c:v>0.9696040077807222</c:v>
                </c:pt>
                <c:pt idx="963">
                  <c:v>0.96957938526565712</c:v>
                </c:pt>
                <c:pt idx="964">
                  <c:v>0.96955476295282494</c:v>
                </c:pt>
                <c:pt idx="965">
                  <c:v>0.96953014084222033</c:v>
                </c:pt>
                <c:pt idx="966">
                  <c:v>0.96950551893384684</c:v>
                </c:pt>
                <c:pt idx="967">
                  <c:v>0.96948089722769915</c:v>
                </c:pt>
                <c:pt idx="968">
                  <c:v>0.96945627572378612</c:v>
                </c:pt>
                <c:pt idx="969">
                  <c:v>0.96943165442209533</c:v>
                </c:pt>
                <c:pt idx="970">
                  <c:v>0.96940703332263745</c:v>
                </c:pt>
                <c:pt idx="971">
                  <c:v>0.96938241242540535</c:v>
                </c:pt>
                <c:pt idx="972">
                  <c:v>0.96935779173039549</c:v>
                </c:pt>
                <c:pt idx="973">
                  <c:v>0.96933317123762208</c:v>
                </c:pt>
                <c:pt idx="974">
                  <c:v>0.96930855094706381</c:v>
                </c:pt>
                <c:pt idx="975">
                  <c:v>0.96928393085873665</c:v>
                </c:pt>
                <c:pt idx="976">
                  <c:v>0.96925931097262996</c:v>
                </c:pt>
                <c:pt idx="977">
                  <c:v>0.96923469128875439</c:v>
                </c:pt>
                <c:pt idx="978">
                  <c:v>0.96921007180710106</c:v>
                </c:pt>
                <c:pt idx="979">
                  <c:v>0.96918545252766997</c:v>
                </c:pt>
                <c:pt idx="980">
                  <c:v>0.96916083345046466</c:v>
                </c:pt>
                <c:pt idx="981">
                  <c:v>0.96913621457547983</c:v>
                </c:pt>
                <c:pt idx="982">
                  <c:v>0.96911159590271723</c:v>
                </c:pt>
                <c:pt idx="983">
                  <c:v>0.9690869774321822</c:v>
                </c:pt>
                <c:pt idx="984">
                  <c:v>0.96906235916385874</c:v>
                </c:pt>
                <c:pt idx="985">
                  <c:v>0.96903774109776286</c:v>
                </c:pt>
                <c:pt idx="986">
                  <c:v>0.96901312323388389</c:v>
                </c:pt>
                <c:pt idx="987">
                  <c:v>0.96898850557222893</c:v>
                </c:pt>
                <c:pt idx="988">
                  <c:v>0.96896388811279266</c:v>
                </c:pt>
                <c:pt idx="989">
                  <c:v>0.96893927085556975</c:v>
                </c:pt>
                <c:pt idx="990">
                  <c:v>0.96891465380057618</c:v>
                </c:pt>
                <c:pt idx="991">
                  <c:v>0.96889003694779241</c:v>
                </c:pt>
                <c:pt idx="992">
                  <c:v>0.96886542029723444</c:v>
                </c:pt>
                <c:pt idx="993">
                  <c:v>0.96884080384888982</c:v>
                </c:pt>
                <c:pt idx="994">
                  <c:v>0.96881618760276389</c:v>
                </c:pt>
                <c:pt idx="995">
                  <c:v>0.96879157155885132</c:v>
                </c:pt>
                <c:pt idx="996">
                  <c:v>0.96876695571715743</c:v>
                </c:pt>
                <c:pt idx="997">
                  <c:v>0.96874234007768578</c:v>
                </c:pt>
                <c:pt idx="998">
                  <c:v>0.96871772464041683</c:v>
                </c:pt>
                <c:pt idx="999">
                  <c:v>0.9686931094053719</c:v>
                </c:pt>
                <c:pt idx="1000">
                  <c:v>0.96866849437254388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C-DF48-ADA1-B093CE44BC66}"/>
            </c:ext>
          </c:extLst>
        </c:ser>
        <c:ser>
          <c:idx val="1"/>
          <c:order val="1"/>
          <c:tx>
            <c:strRef>
              <c:f>Courbes!$B$138</c:f>
              <c:strCache>
                <c:ptCount val="1"/>
                <c:pt idx="0">
                  <c:v>Charge vue par un capteur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5.0999999999999375</c:v>
                </c:pt>
                <c:pt idx="502">
                  <c:v>5.1999999999999371</c:v>
                </c:pt>
                <c:pt idx="503">
                  <c:v>5.2999999999999368</c:v>
                </c:pt>
                <c:pt idx="504">
                  <c:v>5.3999999999999364</c:v>
                </c:pt>
                <c:pt idx="505">
                  <c:v>5.4999999999999361</c:v>
                </c:pt>
                <c:pt idx="506">
                  <c:v>5.5999999999999357</c:v>
                </c:pt>
                <c:pt idx="507">
                  <c:v>5.6999999999999353</c:v>
                </c:pt>
                <c:pt idx="508">
                  <c:v>5.799999999999935</c:v>
                </c:pt>
                <c:pt idx="509">
                  <c:v>5.8999999999999346</c:v>
                </c:pt>
                <c:pt idx="510">
                  <c:v>5.9999999999999343</c:v>
                </c:pt>
                <c:pt idx="511">
                  <c:v>6.0999999999999339</c:v>
                </c:pt>
                <c:pt idx="512">
                  <c:v>6.1999999999999336</c:v>
                </c:pt>
                <c:pt idx="513">
                  <c:v>6.2999999999999332</c:v>
                </c:pt>
                <c:pt idx="514">
                  <c:v>6.3999999999999329</c:v>
                </c:pt>
                <c:pt idx="515">
                  <c:v>6.4999999999999325</c:v>
                </c:pt>
                <c:pt idx="516">
                  <c:v>6.5999999999999321</c:v>
                </c:pt>
                <c:pt idx="517">
                  <c:v>6.6999999999999318</c:v>
                </c:pt>
                <c:pt idx="518">
                  <c:v>6.7999999999999314</c:v>
                </c:pt>
                <c:pt idx="519">
                  <c:v>6.8999999999999311</c:v>
                </c:pt>
                <c:pt idx="520">
                  <c:v>6.9999999999999307</c:v>
                </c:pt>
                <c:pt idx="521">
                  <c:v>7.0999999999999304</c:v>
                </c:pt>
                <c:pt idx="522">
                  <c:v>7.19999999999993</c:v>
                </c:pt>
                <c:pt idx="523">
                  <c:v>7.2999999999999297</c:v>
                </c:pt>
                <c:pt idx="524">
                  <c:v>7.3999999999999293</c:v>
                </c:pt>
                <c:pt idx="525">
                  <c:v>7.4999999999999289</c:v>
                </c:pt>
                <c:pt idx="526">
                  <c:v>7.5999999999999286</c:v>
                </c:pt>
                <c:pt idx="527">
                  <c:v>7.6999999999999282</c:v>
                </c:pt>
                <c:pt idx="528">
                  <c:v>7.7999999999999279</c:v>
                </c:pt>
                <c:pt idx="529">
                  <c:v>7.8999999999999275</c:v>
                </c:pt>
                <c:pt idx="530">
                  <c:v>7.9999999999999272</c:v>
                </c:pt>
                <c:pt idx="531">
                  <c:v>8.0999999999999268</c:v>
                </c:pt>
                <c:pt idx="532">
                  <c:v>8.1999999999999265</c:v>
                </c:pt>
                <c:pt idx="533">
                  <c:v>8.2999999999999261</c:v>
                </c:pt>
                <c:pt idx="534">
                  <c:v>8.3999999999999257</c:v>
                </c:pt>
                <c:pt idx="535">
                  <c:v>8.4999999999999254</c:v>
                </c:pt>
                <c:pt idx="536">
                  <c:v>8.599999999999925</c:v>
                </c:pt>
                <c:pt idx="537">
                  <c:v>8.6999999999999247</c:v>
                </c:pt>
                <c:pt idx="538">
                  <c:v>8.7999999999999243</c:v>
                </c:pt>
                <c:pt idx="539">
                  <c:v>8.899999999999924</c:v>
                </c:pt>
                <c:pt idx="540">
                  <c:v>8.9999999999999236</c:v>
                </c:pt>
                <c:pt idx="541">
                  <c:v>9.0999999999999233</c:v>
                </c:pt>
                <c:pt idx="542">
                  <c:v>9.1999999999999229</c:v>
                </c:pt>
                <c:pt idx="543">
                  <c:v>9.2999999999999226</c:v>
                </c:pt>
                <c:pt idx="544">
                  <c:v>9.3999999999999222</c:v>
                </c:pt>
                <c:pt idx="545">
                  <c:v>9.4999999999999218</c:v>
                </c:pt>
                <c:pt idx="546">
                  <c:v>9.5999999999999215</c:v>
                </c:pt>
                <c:pt idx="547">
                  <c:v>9.6999999999999211</c:v>
                </c:pt>
                <c:pt idx="548">
                  <c:v>9.7999999999999208</c:v>
                </c:pt>
                <c:pt idx="549">
                  <c:v>9.8999999999999204</c:v>
                </c:pt>
                <c:pt idx="550">
                  <c:v>9.9999999999999201</c:v>
                </c:pt>
                <c:pt idx="551">
                  <c:v>10.09999999999992</c:v>
                </c:pt>
                <c:pt idx="552">
                  <c:v>10.199999999999919</c:v>
                </c:pt>
                <c:pt idx="553">
                  <c:v>10.299999999999919</c:v>
                </c:pt>
                <c:pt idx="554">
                  <c:v>10.399999999999919</c:v>
                </c:pt>
                <c:pt idx="555">
                  <c:v>10.499999999999918</c:v>
                </c:pt>
                <c:pt idx="556">
                  <c:v>10.599999999999918</c:v>
                </c:pt>
                <c:pt idx="557">
                  <c:v>10.699999999999918</c:v>
                </c:pt>
                <c:pt idx="558">
                  <c:v>10.799999999999917</c:v>
                </c:pt>
                <c:pt idx="559">
                  <c:v>10.899999999999917</c:v>
                </c:pt>
                <c:pt idx="560">
                  <c:v>10.999999999999917</c:v>
                </c:pt>
                <c:pt idx="561">
                  <c:v>11.099999999999916</c:v>
                </c:pt>
                <c:pt idx="562">
                  <c:v>11.199999999999916</c:v>
                </c:pt>
                <c:pt idx="563">
                  <c:v>11.299999999999915</c:v>
                </c:pt>
                <c:pt idx="564">
                  <c:v>11.399999999999915</c:v>
                </c:pt>
                <c:pt idx="565">
                  <c:v>11.499999999999915</c:v>
                </c:pt>
                <c:pt idx="566">
                  <c:v>11.599999999999914</c:v>
                </c:pt>
                <c:pt idx="567">
                  <c:v>11.699999999999914</c:v>
                </c:pt>
                <c:pt idx="568">
                  <c:v>11.799999999999914</c:v>
                </c:pt>
                <c:pt idx="569">
                  <c:v>11.899999999999913</c:v>
                </c:pt>
                <c:pt idx="570">
                  <c:v>11.999999999999913</c:v>
                </c:pt>
                <c:pt idx="571">
                  <c:v>12.099999999999913</c:v>
                </c:pt>
                <c:pt idx="572">
                  <c:v>12.199999999999912</c:v>
                </c:pt>
                <c:pt idx="573">
                  <c:v>12.299999999999912</c:v>
                </c:pt>
                <c:pt idx="574">
                  <c:v>12.399999999999912</c:v>
                </c:pt>
                <c:pt idx="575">
                  <c:v>12.499999999999911</c:v>
                </c:pt>
                <c:pt idx="576">
                  <c:v>12.599999999999911</c:v>
                </c:pt>
                <c:pt idx="577">
                  <c:v>12.69999999999991</c:v>
                </c:pt>
                <c:pt idx="578">
                  <c:v>12.79999999999991</c:v>
                </c:pt>
                <c:pt idx="579">
                  <c:v>12.89999999999991</c:v>
                </c:pt>
                <c:pt idx="580">
                  <c:v>12.999999999999909</c:v>
                </c:pt>
                <c:pt idx="581">
                  <c:v>13.099999999999909</c:v>
                </c:pt>
                <c:pt idx="582">
                  <c:v>13.199999999999909</c:v>
                </c:pt>
                <c:pt idx="583">
                  <c:v>13.299999999999908</c:v>
                </c:pt>
                <c:pt idx="584">
                  <c:v>13.399999999999908</c:v>
                </c:pt>
                <c:pt idx="585">
                  <c:v>13.499999999999908</c:v>
                </c:pt>
                <c:pt idx="586">
                  <c:v>13.599999999999907</c:v>
                </c:pt>
                <c:pt idx="587">
                  <c:v>13.699999999999907</c:v>
                </c:pt>
                <c:pt idx="588">
                  <c:v>13.799999999999907</c:v>
                </c:pt>
                <c:pt idx="589">
                  <c:v>13.899999999999906</c:v>
                </c:pt>
                <c:pt idx="590">
                  <c:v>13.999999999999906</c:v>
                </c:pt>
                <c:pt idx="591">
                  <c:v>14.099999999999905</c:v>
                </c:pt>
                <c:pt idx="592">
                  <c:v>14.199999999999905</c:v>
                </c:pt>
                <c:pt idx="593">
                  <c:v>14.299999999999905</c:v>
                </c:pt>
                <c:pt idx="594">
                  <c:v>14.399999999999904</c:v>
                </c:pt>
                <c:pt idx="595">
                  <c:v>14.499999999999904</c:v>
                </c:pt>
                <c:pt idx="596">
                  <c:v>14.599999999999904</c:v>
                </c:pt>
                <c:pt idx="597">
                  <c:v>14.699999999999903</c:v>
                </c:pt>
                <c:pt idx="598">
                  <c:v>14.799999999999903</c:v>
                </c:pt>
                <c:pt idx="599">
                  <c:v>14.899999999999903</c:v>
                </c:pt>
                <c:pt idx="600">
                  <c:v>14.999999999999902</c:v>
                </c:pt>
                <c:pt idx="601">
                  <c:v>15.099999999999902</c:v>
                </c:pt>
                <c:pt idx="602">
                  <c:v>15.199999999999902</c:v>
                </c:pt>
                <c:pt idx="603">
                  <c:v>15.299999999999901</c:v>
                </c:pt>
                <c:pt idx="604">
                  <c:v>15.399999999999901</c:v>
                </c:pt>
                <c:pt idx="605">
                  <c:v>15.499999999999901</c:v>
                </c:pt>
                <c:pt idx="606">
                  <c:v>15.5999999999999</c:v>
                </c:pt>
                <c:pt idx="607">
                  <c:v>15.6999999999999</c:v>
                </c:pt>
                <c:pt idx="608">
                  <c:v>15.799999999999899</c:v>
                </c:pt>
                <c:pt idx="609">
                  <c:v>15.899999999999899</c:v>
                </c:pt>
                <c:pt idx="610">
                  <c:v>15.999999999999899</c:v>
                </c:pt>
                <c:pt idx="611">
                  <c:v>16.099999999999898</c:v>
                </c:pt>
                <c:pt idx="612">
                  <c:v>16.1999999999999</c:v>
                </c:pt>
                <c:pt idx="613">
                  <c:v>16.299999999999901</c:v>
                </c:pt>
                <c:pt idx="614">
                  <c:v>16.399999999999903</c:v>
                </c:pt>
                <c:pt idx="615">
                  <c:v>16.499999999999904</c:v>
                </c:pt>
                <c:pt idx="616">
                  <c:v>16.599999999999905</c:v>
                </c:pt>
                <c:pt idx="617">
                  <c:v>16.699999999999907</c:v>
                </c:pt>
                <c:pt idx="618">
                  <c:v>16.799999999999908</c:v>
                </c:pt>
                <c:pt idx="619">
                  <c:v>16.89999999999991</c:v>
                </c:pt>
                <c:pt idx="620">
                  <c:v>16.999999999999911</c:v>
                </c:pt>
                <c:pt idx="621">
                  <c:v>17.099999999999913</c:v>
                </c:pt>
                <c:pt idx="622">
                  <c:v>17.199999999999914</c:v>
                </c:pt>
                <c:pt idx="623">
                  <c:v>17.299999999999915</c:v>
                </c:pt>
                <c:pt idx="624">
                  <c:v>17.399999999999917</c:v>
                </c:pt>
                <c:pt idx="625">
                  <c:v>17.499999999999918</c:v>
                </c:pt>
                <c:pt idx="626">
                  <c:v>17.59999999999992</c:v>
                </c:pt>
                <c:pt idx="627">
                  <c:v>17.699999999999921</c:v>
                </c:pt>
                <c:pt idx="628">
                  <c:v>17.799999999999923</c:v>
                </c:pt>
                <c:pt idx="629">
                  <c:v>17.899999999999924</c:v>
                </c:pt>
                <c:pt idx="630">
                  <c:v>17.999999999999925</c:v>
                </c:pt>
                <c:pt idx="631">
                  <c:v>18.099999999999927</c:v>
                </c:pt>
                <c:pt idx="632">
                  <c:v>18.199999999999928</c:v>
                </c:pt>
                <c:pt idx="633">
                  <c:v>18.29999999999993</c:v>
                </c:pt>
                <c:pt idx="634">
                  <c:v>18.399999999999931</c:v>
                </c:pt>
                <c:pt idx="635">
                  <c:v>18.499999999999932</c:v>
                </c:pt>
                <c:pt idx="636">
                  <c:v>18.599999999999934</c:v>
                </c:pt>
                <c:pt idx="637">
                  <c:v>18.699999999999935</c:v>
                </c:pt>
                <c:pt idx="638">
                  <c:v>18.799999999999937</c:v>
                </c:pt>
                <c:pt idx="639">
                  <c:v>18.899999999999938</c:v>
                </c:pt>
                <c:pt idx="640">
                  <c:v>18.99999999999994</c:v>
                </c:pt>
                <c:pt idx="641">
                  <c:v>19.099999999999941</c:v>
                </c:pt>
                <c:pt idx="642">
                  <c:v>19.199999999999942</c:v>
                </c:pt>
                <c:pt idx="643">
                  <c:v>19.299999999999944</c:v>
                </c:pt>
                <c:pt idx="644">
                  <c:v>19.399999999999945</c:v>
                </c:pt>
                <c:pt idx="645">
                  <c:v>19.499999999999947</c:v>
                </c:pt>
                <c:pt idx="646">
                  <c:v>19.599999999999948</c:v>
                </c:pt>
                <c:pt idx="647">
                  <c:v>19.69999999999995</c:v>
                </c:pt>
                <c:pt idx="648">
                  <c:v>19.799999999999951</c:v>
                </c:pt>
                <c:pt idx="649">
                  <c:v>19.899999999999952</c:v>
                </c:pt>
                <c:pt idx="650">
                  <c:v>19.999999999999954</c:v>
                </c:pt>
                <c:pt idx="651">
                  <c:v>20.099999999999955</c:v>
                </c:pt>
                <c:pt idx="652">
                  <c:v>20.199999999999957</c:v>
                </c:pt>
                <c:pt idx="653">
                  <c:v>20.299999999999958</c:v>
                </c:pt>
                <c:pt idx="654">
                  <c:v>20.399999999999959</c:v>
                </c:pt>
                <c:pt idx="655">
                  <c:v>20.499999999999961</c:v>
                </c:pt>
                <c:pt idx="656">
                  <c:v>20.599999999999962</c:v>
                </c:pt>
                <c:pt idx="657">
                  <c:v>20.699999999999964</c:v>
                </c:pt>
                <c:pt idx="658">
                  <c:v>20.799999999999965</c:v>
                </c:pt>
                <c:pt idx="659">
                  <c:v>20.899999999999967</c:v>
                </c:pt>
                <c:pt idx="660">
                  <c:v>20.999999999999968</c:v>
                </c:pt>
                <c:pt idx="661">
                  <c:v>21.099999999999969</c:v>
                </c:pt>
                <c:pt idx="662">
                  <c:v>21.199999999999971</c:v>
                </c:pt>
                <c:pt idx="663">
                  <c:v>21.299999999999972</c:v>
                </c:pt>
                <c:pt idx="664">
                  <c:v>21.399999999999974</c:v>
                </c:pt>
                <c:pt idx="665">
                  <c:v>21.499999999999975</c:v>
                </c:pt>
                <c:pt idx="666">
                  <c:v>21.599999999999977</c:v>
                </c:pt>
                <c:pt idx="667">
                  <c:v>21.699999999999978</c:v>
                </c:pt>
                <c:pt idx="668">
                  <c:v>21.799999999999979</c:v>
                </c:pt>
                <c:pt idx="669">
                  <c:v>21.899999999999981</c:v>
                </c:pt>
                <c:pt idx="670">
                  <c:v>21.999999999999982</c:v>
                </c:pt>
                <c:pt idx="671">
                  <c:v>22.099999999999984</c:v>
                </c:pt>
                <c:pt idx="672">
                  <c:v>22.199999999999985</c:v>
                </c:pt>
                <c:pt idx="673">
                  <c:v>22.299999999999986</c:v>
                </c:pt>
                <c:pt idx="674">
                  <c:v>22.399999999999988</c:v>
                </c:pt>
                <c:pt idx="675">
                  <c:v>22.499999999999989</c:v>
                </c:pt>
                <c:pt idx="676">
                  <c:v>22.599999999999991</c:v>
                </c:pt>
                <c:pt idx="677">
                  <c:v>22.699999999999992</c:v>
                </c:pt>
                <c:pt idx="678">
                  <c:v>22.799999999999994</c:v>
                </c:pt>
                <c:pt idx="679">
                  <c:v>22.899999999999995</c:v>
                </c:pt>
                <c:pt idx="680">
                  <c:v>22.999999999999996</c:v>
                </c:pt>
                <c:pt idx="681">
                  <c:v>23.099999999999998</c:v>
                </c:pt>
                <c:pt idx="682">
                  <c:v>23.2</c:v>
                </c:pt>
                <c:pt idx="683">
                  <c:v>23.3</c:v>
                </c:pt>
                <c:pt idx="684">
                  <c:v>23.400000000000002</c:v>
                </c:pt>
                <c:pt idx="685">
                  <c:v>23.500000000000004</c:v>
                </c:pt>
                <c:pt idx="686">
                  <c:v>23.600000000000005</c:v>
                </c:pt>
                <c:pt idx="687">
                  <c:v>23.700000000000006</c:v>
                </c:pt>
                <c:pt idx="688">
                  <c:v>23.800000000000008</c:v>
                </c:pt>
                <c:pt idx="689">
                  <c:v>23.900000000000009</c:v>
                </c:pt>
                <c:pt idx="690">
                  <c:v>24.000000000000011</c:v>
                </c:pt>
                <c:pt idx="691">
                  <c:v>24.100000000000012</c:v>
                </c:pt>
                <c:pt idx="692">
                  <c:v>24.200000000000014</c:v>
                </c:pt>
                <c:pt idx="693">
                  <c:v>24.300000000000015</c:v>
                </c:pt>
                <c:pt idx="694">
                  <c:v>24.400000000000016</c:v>
                </c:pt>
                <c:pt idx="695">
                  <c:v>24.500000000000018</c:v>
                </c:pt>
                <c:pt idx="696">
                  <c:v>24.600000000000019</c:v>
                </c:pt>
                <c:pt idx="697">
                  <c:v>24.700000000000021</c:v>
                </c:pt>
                <c:pt idx="698">
                  <c:v>24.800000000000022</c:v>
                </c:pt>
                <c:pt idx="699">
                  <c:v>24.900000000000023</c:v>
                </c:pt>
                <c:pt idx="700">
                  <c:v>25.000000000000025</c:v>
                </c:pt>
                <c:pt idx="701">
                  <c:v>25.100000000000026</c:v>
                </c:pt>
                <c:pt idx="702">
                  <c:v>25.200000000000028</c:v>
                </c:pt>
                <c:pt idx="703">
                  <c:v>25.300000000000029</c:v>
                </c:pt>
                <c:pt idx="704">
                  <c:v>25.400000000000031</c:v>
                </c:pt>
                <c:pt idx="705">
                  <c:v>25.500000000000032</c:v>
                </c:pt>
                <c:pt idx="706">
                  <c:v>25.600000000000033</c:v>
                </c:pt>
                <c:pt idx="707">
                  <c:v>25.700000000000035</c:v>
                </c:pt>
                <c:pt idx="708">
                  <c:v>25.800000000000036</c:v>
                </c:pt>
                <c:pt idx="709">
                  <c:v>25.900000000000038</c:v>
                </c:pt>
                <c:pt idx="710">
                  <c:v>26.000000000000039</c:v>
                </c:pt>
                <c:pt idx="711">
                  <c:v>26.100000000000041</c:v>
                </c:pt>
                <c:pt idx="712">
                  <c:v>26.200000000000042</c:v>
                </c:pt>
                <c:pt idx="713">
                  <c:v>26.300000000000043</c:v>
                </c:pt>
                <c:pt idx="714">
                  <c:v>26.400000000000045</c:v>
                </c:pt>
                <c:pt idx="715">
                  <c:v>26.500000000000046</c:v>
                </c:pt>
                <c:pt idx="716">
                  <c:v>26.600000000000048</c:v>
                </c:pt>
                <c:pt idx="717">
                  <c:v>26.700000000000049</c:v>
                </c:pt>
                <c:pt idx="718">
                  <c:v>26.80000000000005</c:v>
                </c:pt>
                <c:pt idx="719">
                  <c:v>26.900000000000052</c:v>
                </c:pt>
                <c:pt idx="720">
                  <c:v>27.000000000000053</c:v>
                </c:pt>
                <c:pt idx="721">
                  <c:v>27.100000000000055</c:v>
                </c:pt>
                <c:pt idx="722">
                  <c:v>27.200000000000056</c:v>
                </c:pt>
                <c:pt idx="723">
                  <c:v>27.300000000000058</c:v>
                </c:pt>
                <c:pt idx="724">
                  <c:v>27.400000000000059</c:v>
                </c:pt>
                <c:pt idx="725">
                  <c:v>27.50000000000006</c:v>
                </c:pt>
                <c:pt idx="726">
                  <c:v>27.600000000000062</c:v>
                </c:pt>
                <c:pt idx="727">
                  <c:v>27.700000000000063</c:v>
                </c:pt>
                <c:pt idx="728">
                  <c:v>27.800000000000065</c:v>
                </c:pt>
                <c:pt idx="729">
                  <c:v>27.900000000000066</c:v>
                </c:pt>
                <c:pt idx="730">
                  <c:v>28.000000000000068</c:v>
                </c:pt>
                <c:pt idx="731">
                  <c:v>28.100000000000069</c:v>
                </c:pt>
                <c:pt idx="732">
                  <c:v>28.20000000000007</c:v>
                </c:pt>
                <c:pt idx="733">
                  <c:v>28.300000000000072</c:v>
                </c:pt>
                <c:pt idx="734">
                  <c:v>28.400000000000073</c:v>
                </c:pt>
                <c:pt idx="735">
                  <c:v>28.500000000000075</c:v>
                </c:pt>
                <c:pt idx="736">
                  <c:v>28.600000000000076</c:v>
                </c:pt>
                <c:pt idx="737">
                  <c:v>28.700000000000077</c:v>
                </c:pt>
                <c:pt idx="738">
                  <c:v>28.800000000000079</c:v>
                </c:pt>
                <c:pt idx="739">
                  <c:v>28.90000000000008</c:v>
                </c:pt>
                <c:pt idx="740">
                  <c:v>29.000000000000082</c:v>
                </c:pt>
                <c:pt idx="741">
                  <c:v>29.100000000000083</c:v>
                </c:pt>
                <c:pt idx="742">
                  <c:v>29.200000000000085</c:v>
                </c:pt>
                <c:pt idx="743">
                  <c:v>29.300000000000086</c:v>
                </c:pt>
                <c:pt idx="744">
                  <c:v>29.400000000000087</c:v>
                </c:pt>
                <c:pt idx="745">
                  <c:v>29.500000000000089</c:v>
                </c:pt>
                <c:pt idx="746">
                  <c:v>29.60000000000009</c:v>
                </c:pt>
                <c:pt idx="747">
                  <c:v>29.700000000000092</c:v>
                </c:pt>
                <c:pt idx="748">
                  <c:v>29.800000000000093</c:v>
                </c:pt>
                <c:pt idx="749">
                  <c:v>29.900000000000095</c:v>
                </c:pt>
                <c:pt idx="750">
                  <c:v>30.000000000000096</c:v>
                </c:pt>
                <c:pt idx="751">
                  <c:v>30.100000000000097</c:v>
                </c:pt>
                <c:pt idx="752">
                  <c:v>30.200000000000099</c:v>
                </c:pt>
                <c:pt idx="753">
                  <c:v>30.3000000000001</c:v>
                </c:pt>
                <c:pt idx="754">
                  <c:v>30.400000000000102</c:v>
                </c:pt>
                <c:pt idx="755">
                  <c:v>30.500000000000103</c:v>
                </c:pt>
                <c:pt idx="756">
                  <c:v>30.600000000000104</c:v>
                </c:pt>
                <c:pt idx="757">
                  <c:v>30.700000000000106</c:v>
                </c:pt>
                <c:pt idx="758">
                  <c:v>30.800000000000107</c:v>
                </c:pt>
                <c:pt idx="759">
                  <c:v>30.900000000000109</c:v>
                </c:pt>
                <c:pt idx="760">
                  <c:v>31.00000000000011</c:v>
                </c:pt>
                <c:pt idx="761">
                  <c:v>31.100000000000112</c:v>
                </c:pt>
                <c:pt idx="762">
                  <c:v>31.200000000000113</c:v>
                </c:pt>
                <c:pt idx="763">
                  <c:v>31.300000000000114</c:v>
                </c:pt>
                <c:pt idx="764">
                  <c:v>31.400000000000116</c:v>
                </c:pt>
                <c:pt idx="765">
                  <c:v>31.500000000000117</c:v>
                </c:pt>
                <c:pt idx="766">
                  <c:v>31.600000000000119</c:v>
                </c:pt>
                <c:pt idx="767">
                  <c:v>31.70000000000012</c:v>
                </c:pt>
                <c:pt idx="768">
                  <c:v>31.800000000000122</c:v>
                </c:pt>
                <c:pt idx="769">
                  <c:v>31.900000000000123</c:v>
                </c:pt>
                <c:pt idx="770">
                  <c:v>32.000000000000121</c:v>
                </c:pt>
                <c:pt idx="771">
                  <c:v>32.100000000000122</c:v>
                </c:pt>
                <c:pt idx="772">
                  <c:v>32.200000000000124</c:v>
                </c:pt>
                <c:pt idx="773">
                  <c:v>32.300000000000125</c:v>
                </c:pt>
                <c:pt idx="774">
                  <c:v>32.400000000000126</c:v>
                </c:pt>
                <c:pt idx="775">
                  <c:v>32.500000000000128</c:v>
                </c:pt>
                <c:pt idx="776">
                  <c:v>32.600000000000129</c:v>
                </c:pt>
                <c:pt idx="777">
                  <c:v>32.700000000000131</c:v>
                </c:pt>
                <c:pt idx="778">
                  <c:v>32.800000000000132</c:v>
                </c:pt>
                <c:pt idx="779">
                  <c:v>32.900000000000134</c:v>
                </c:pt>
                <c:pt idx="780">
                  <c:v>33.000000000000135</c:v>
                </c:pt>
                <c:pt idx="781">
                  <c:v>33.100000000000136</c:v>
                </c:pt>
                <c:pt idx="782">
                  <c:v>33.200000000000138</c:v>
                </c:pt>
                <c:pt idx="783">
                  <c:v>33.300000000000139</c:v>
                </c:pt>
                <c:pt idx="784">
                  <c:v>33.400000000000141</c:v>
                </c:pt>
                <c:pt idx="785">
                  <c:v>33.500000000000142</c:v>
                </c:pt>
                <c:pt idx="786">
                  <c:v>33.600000000000144</c:v>
                </c:pt>
                <c:pt idx="787">
                  <c:v>33.700000000000145</c:v>
                </c:pt>
                <c:pt idx="788">
                  <c:v>33.800000000000146</c:v>
                </c:pt>
                <c:pt idx="789">
                  <c:v>33.900000000000148</c:v>
                </c:pt>
                <c:pt idx="790">
                  <c:v>34.000000000000149</c:v>
                </c:pt>
                <c:pt idx="791">
                  <c:v>34.100000000000151</c:v>
                </c:pt>
                <c:pt idx="792">
                  <c:v>34.200000000000152</c:v>
                </c:pt>
                <c:pt idx="793">
                  <c:v>34.300000000000153</c:v>
                </c:pt>
                <c:pt idx="794">
                  <c:v>34.400000000000155</c:v>
                </c:pt>
                <c:pt idx="795">
                  <c:v>34.500000000000156</c:v>
                </c:pt>
                <c:pt idx="796">
                  <c:v>34.600000000000158</c:v>
                </c:pt>
                <c:pt idx="797">
                  <c:v>34.700000000000159</c:v>
                </c:pt>
                <c:pt idx="798">
                  <c:v>34.800000000000161</c:v>
                </c:pt>
                <c:pt idx="799">
                  <c:v>34.900000000000162</c:v>
                </c:pt>
                <c:pt idx="800">
                  <c:v>35.000000000000163</c:v>
                </c:pt>
                <c:pt idx="801">
                  <c:v>35.100000000000165</c:v>
                </c:pt>
                <c:pt idx="802">
                  <c:v>35.200000000000166</c:v>
                </c:pt>
                <c:pt idx="803">
                  <c:v>35.300000000000168</c:v>
                </c:pt>
                <c:pt idx="804">
                  <c:v>35.400000000000169</c:v>
                </c:pt>
                <c:pt idx="805">
                  <c:v>35.500000000000171</c:v>
                </c:pt>
                <c:pt idx="806">
                  <c:v>35.600000000000172</c:v>
                </c:pt>
                <c:pt idx="807">
                  <c:v>35.700000000000173</c:v>
                </c:pt>
                <c:pt idx="808">
                  <c:v>35.800000000000175</c:v>
                </c:pt>
                <c:pt idx="809">
                  <c:v>35.900000000000176</c:v>
                </c:pt>
                <c:pt idx="810">
                  <c:v>36.000000000000178</c:v>
                </c:pt>
                <c:pt idx="811">
                  <c:v>36.100000000000179</c:v>
                </c:pt>
                <c:pt idx="812">
                  <c:v>36.20000000000018</c:v>
                </c:pt>
                <c:pt idx="813">
                  <c:v>36.300000000000182</c:v>
                </c:pt>
                <c:pt idx="814">
                  <c:v>36.400000000000183</c:v>
                </c:pt>
                <c:pt idx="815">
                  <c:v>36.500000000000185</c:v>
                </c:pt>
                <c:pt idx="816">
                  <c:v>36.600000000000186</c:v>
                </c:pt>
                <c:pt idx="817">
                  <c:v>36.700000000000188</c:v>
                </c:pt>
                <c:pt idx="818">
                  <c:v>36.800000000000189</c:v>
                </c:pt>
                <c:pt idx="819">
                  <c:v>36.90000000000019</c:v>
                </c:pt>
                <c:pt idx="820">
                  <c:v>37.000000000000192</c:v>
                </c:pt>
                <c:pt idx="821">
                  <c:v>37.100000000000193</c:v>
                </c:pt>
                <c:pt idx="822">
                  <c:v>37.200000000000195</c:v>
                </c:pt>
                <c:pt idx="823">
                  <c:v>37.300000000000196</c:v>
                </c:pt>
                <c:pt idx="824">
                  <c:v>37.400000000000198</c:v>
                </c:pt>
                <c:pt idx="825">
                  <c:v>37.500000000000199</c:v>
                </c:pt>
                <c:pt idx="826">
                  <c:v>37.6000000000002</c:v>
                </c:pt>
                <c:pt idx="827">
                  <c:v>37.700000000000202</c:v>
                </c:pt>
                <c:pt idx="828">
                  <c:v>37.800000000000203</c:v>
                </c:pt>
                <c:pt idx="829">
                  <c:v>37.900000000000205</c:v>
                </c:pt>
                <c:pt idx="830">
                  <c:v>38.000000000000206</c:v>
                </c:pt>
                <c:pt idx="831">
                  <c:v>38.100000000000207</c:v>
                </c:pt>
                <c:pt idx="832">
                  <c:v>38.200000000000209</c:v>
                </c:pt>
                <c:pt idx="833">
                  <c:v>38.30000000000021</c:v>
                </c:pt>
                <c:pt idx="834">
                  <c:v>38.400000000000212</c:v>
                </c:pt>
                <c:pt idx="835">
                  <c:v>38.500000000000213</c:v>
                </c:pt>
                <c:pt idx="836">
                  <c:v>38.600000000000215</c:v>
                </c:pt>
                <c:pt idx="837">
                  <c:v>38.700000000000216</c:v>
                </c:pt>
                <c:pt idx="838">
                  <c:v>38.800000000000217</c:v>
                </c:pt>
                <c:pt idx="839">
                  <c:v>38.900000000000219</c:v>
                </c:pt>
                <c:pt idx="840">
                  <c:v>39.00000000000022</c:v>
                </c:pt>
                <c:pt idx="841">
                  <c:v>39.100000000000222</c:v>
                </c:pt>
                <c:pt idx="842">
                  <c:v>39.200000000000223</c:v>
                </c:pt>
                <c:pt idx="843">
                  <c:v>39.300000000000225</c:v>
                </c:pt>
                <c:pt idx="844">
                  <c:v>39.400000000000226</c:v>
                </c:pt>
                <c:pt idx="845">
                  <c:v>39.500000000000227</c:v>
                </c:pt>
                <c:pt idx="846">
                  <c:v>39.600000000000229</c:v>
                </c:pt>
                <c:pt idx="847">
                  <c:v>39.70000000000023</c:v>
                </c:pt>
                <c:pt idx="848">
                  <c:v>39.800000000000232</c:v>
                </c:pt>
                <c:pt idx="849">
                  <c:v>39.900000000000233</c:v>
                </c:pt>
                <c:pt idx="850">
                  <c:v>40.000000000000234</c:v>
                </c:pt>
                <c:pt idx="851">
                  <c:v>40.100000000000236</c:v>
                </c:pt>
                <c:pt idx="852">
                  <c:v>40.200000000000237</c:v>
                </c:pt>
                <c:pt idx="853">
                  <c:v>40.300000000000239</c:v>
                </c:pt>
                <c:pt idx="854">
                  <c:v>40.40000000000024</c:v>
                </c:pt>
                <c:pt idx="855">
                  <c:v>40.500000000000242</c:v>
                </c:pt>
                <c:pt idx="856">
                  <c:v>40.600000000000243</c:v>
                </c:pt>
                <c:pt idx="857">
                  <c:v>40.700000000000244</c:v>
                </c:pt>
                <c:pt idx="858">
                  <c:v>40.800000000000246</c:v>
                </c:pt>
                <c:pt idx="859">
                  <c:v>40.900000000000247</c:v>
                </c:pt>
                <c:pt idx="860">
                  <c:v>41.000000000000249</c:v>
                </c:pt>
                <c:pt idx="861">
                  <c:v>41.10000000000025</c:v>
                </c:pt>
                <c:pt idx="862">
                  <c:v>41.200000000000252</c:v>
                </c:pt>
                <c:pt idx="863">
                  <c:v>41.300000000000253</c:v>
                </c:pt>
                <c:pt idx="864">
                  <c:v>41.400000000000254</c:v>
                </c:pt>
                <c:pt idx="865">
                  <c:v>41.500000000000256</c:v>
                </c:pt>
                <c:pt idx="866">
                  <c:v>41.600000000000257</c:v>
                </c:pt>
                <c:pt idx="867">
                  <c:v>41.700000000000259</c:v>
                </c:pt>
                <c:pt idx="868">
                  <c:v>41.80000000000026</c:v>
                </c:pt>
                <c:pt idx="869">
                  <c:v>41.900000000000261</c:v>
                </c:pt>
                <c:pt idx="870">
                  <c:v>42.000000000000263</c:v>
                </c:pt>
                <c:pt idx="871">
                  <c:v>42.100000000000264</c:v>
                </c:pt>
                <c:pt idx="872">
                  <c:v>42.200000000000266</c:v>
                </c:pt>
                <c:pt idx="873">
                  <c:v>42.300000000000267</c:v>
                </c:pt>
                <c:pt idx="874">
                  <c:v>42.400000000000269</c:v>
                </c:pt>
                <c:pt idx="875">
                  <c:v>42.50000000000027</c:v>
                </c:pt>
                <c:pt idx="876">
                  <c:v>42.600000000000271</c:v>
                </c:pt>
                <c:pt idx="877">
                  <c:v>42.700000000000273</c:v>
                </c:pt>
                <c:pt idx="878">
                  <c:v>42.800000000000274</c:v>
                </c:pt>
                <c:pt idx="879">
                  <c:v>42.900000000000276</c:v>
                </c:pt>
                <c:pt idx="880">
                  <c:v>43.000000000000277</c:v>
                </c:pt>
                <c:pt idx="881">
                  <c:v>43.100000000000279</c:v>
                </c:pt>
                <c:pt idx="882">
                  <c:v>43.20000000000028</c:v>
                </c:pt>
                <c:pt idx="883">
                  <c:v>43.300000000000281</c:v>
                </c:pt>
                <c:pt idx="884">
                  <c:v>43.400000000000283</c:v>
                </c:pt>
                <c:pt idx="885">
                  <c:v>43.500000000000284</c:v>
                </c:pt>
                <c:pt idx="886">
                  <c:v>43.600000000000286</c:v>
                </c:pt>
                <c:pt idx="887">
                  <c:v>43.700000000000287</c:v>
                </c:pt>
                <c:pt idx="888">
                  <c:v>43.800000000000288</c:v>
                </c:pt>
                <c:pt idx="889">
                  <c:v>43.90000000000029</c:v>
                </c:pt>
                <c:pt idx="890">
                  <c:v>44.000000000000291</c:v>
                </c:pt>
                <c:pt idx="891">
                  <c:v>44.100000000000293</c:v>
                </c:pt>
                <c:pt idx="892">
                  <c:v>44.200000000000294</c:v>
                </c:pt>
                <c:pt idx="893">
                  <c:v>44.300000000000296</c:v>
                </c:pt>
                <c:pt idx="894">
                  <c:v>44.400000000000297</c:v>
                </c:pt>
                <c:pt idx="895">
                  <c:v>44.500000000000298</c:v>
                </c:pt>
                <c:pt idx="896">
                  <c:v>44.6000000000003</c:v>
                </c:pt>
                <c:pt idx="897">
                  <c:v>44.700000000000301</c:v>
                </c:pt>
                <c:pt idx="898">
                  <c:v>44.800000000000303</c:v>
                </c:pt>
                <c:pt idx="899">
                  <c:v>44.900000000000304</c:v>
                </c:pt>
                <c:pt idx="900">
                  <c:v>45.000000000000306</c:v>
                </c:pt>
                <c:pt idx="901">
                  <c:v>45.100000000000307</c:v>
                </c:pt>
                <c:pt idx="902">
                  <c:v>45.200000000000308</c:v>
                </c:pt>
                <c:pt idx="903">
                  <c:v>45.30000000000031</c:v>
                </c:pt>
                <c:pt idx="904">
                  <c:v>45.400000000000311</c:v>
                </c:pt>
                <c:pt idx="905">
                  <c:v>45.500000000000313</c:v>
                </c:pt>
                <c:pt idx="906">
                  <c:v>45.600000000000314</c:v>
                </c:pt>
                <c:pt idx="907">
                  <c:v>45.700000000000315</c:v>
                </c:pt>
                <c:pt idx="908">
                  <c:v>45.800000000000317</c:v>
                </c:pt>
                <c:pt idx="909">
                  <c:v>45.900000000000318</c:v>
                </c:pt>
                <c:pt idx="910">
                  <c:v>46.00000000000032</c:v>
                </c:pt>
                <c:pt idx="911">
                  <c:v>46.100000000000321</c:v>
                </c:pt>
                <c:pt idx="912">
                  <c:v>46.200000000000323</c:v>
                </c:pt>
                <c:pt idx="913">
                  <c:v>46.300000000000324</c:v>
                </c:pt>
                <c:pt idx="914">
                  <c:v>46.400000000000325</c:v>
                </c:pt>
                <c:pt idx="915">
                  <c:v>46.500000000000327</c:v>
                </c:pt>
                <c:pt idx="916">
                  <c:v>46.600000000000328</c:v>
                </c:pt>
                <c:pt idx="917">
                  <c:v>46.70000000000033</c:v>
                </c:pt>
                <c:pt idx="918">
                  <c:v>46.800000000000331</c:v>
                </c:pt>
                <c:pt idx="919">
                  <c:v>46.900000000000333</c:v>
                </c:pt>
                <c:pt idx="920">
                  <c:v>47.000000000000334</c:v>
                </c:pt>
                <c:pt idx="921">
                  <c:v>47.100000000000335</c:v>
                </c:pt>
                <c:pt idx="922">
                  <c:v>47.200000000000337</c:v>
                </c:pt>
                <c:pt idx="923">
                  <c:v>47.300000000000338</c:v>
                </c:pt>
                <c:pt idx="924">
                  <c:v>47.40000000000034</c:v>
                </c:pt>
                <c:pt idx="925">
                  <c:v>47.500000000000341</c:v>
                </c:pt>
                <c:pt idx="926">
                  <c:v>47.600000000000342</c:v>
                </c:pt>
                <c:pt idx="927">
                  <c:v>47.700000000000344</c:v>
                </c:pt>
                <c:pt idx="928">
                  <c:v>47.800000000000345</c:v>
                </c:pt>
                <c:pt idx="929">
                  <c:v>47.900000000000347</c:v>
                </c:pt>
                <c:pt idx="930">
                  <c:v>48.000000000000348</c:v>
                </c:pt>
                <c:pt idx="931">
                  <c:v>48.10000000000035</c:v>
                </c:pt>
                <c:pt idx="932">
                  <c:v>48.200000000000351</c:v>
                </c:pt>
                <c:pt idx="933">
                  <c:v>48.300000000000352</c:v>
                </c:pt>
                <c:pt idx="934">
                  <c:v>48.400000000000354</c:v>
                </c:pt>
                <c:pt idx="935">
                  <c:v>48.500000000000355</c:v>
                </c:pt>
                <c:pt idx="936">
                  <c:v>48.600000000000357</c:v>
                </c:pt>
                <c:pt idx="937">
                  <c:v>48.700000000000358</c:v>
                </c:pt>
                <c:pt idx="938">
                  <c:v>48.80000000000036</c:v>
                </c:pt>
                <c:pt idx="939">
                  <c:v>48.900000000000361</c:v>
                </c:pt>
                <c:pt idx="940">
                  <c:v>49.000000000000362</c:v>
                </c:pt>
                <c:pt idx="941">
                  <c:v>49.100000000000364</c:v>
                </c:pt>
                <c:pt idx="942">
                  <c:v>49.200000000000365</c:v>
                </c:pt>
                <c:pt idx="943">
                  <c:v>49.300000000000367</c:v>
                </c:pt>
                <c:pt idx="944">
                  <c:v>49.400000000000368</c:v>
                </c:pt>
                <c:pt idx="945">
                  <c:v>49.500000000000369</c:v>
                </c:pt>
                <c:pt idx="946">
                  <c:v>49.500100000000373</c:v>
                </c:pt>
                <c:pt idx="947">
                  <c:v>49.500200000000376</c:v>
                </c:pt>
                <c:pt idx="948">
                  <c:v>49.500300000000379</c:v>
                </c:pt>
                <c:pt idx="949">
                  <c:v>49.500400000000383</c:v>
                </c:pt>
                <c:pt idx="950">
                  <c:v>49.500500000000386</c:v>
                </c:pt>
                <c:pt idx="951">
                  <c:v>49.500600000000389</c:v>
                </c:pt>
                <c:pt idx="952">
                  <c:v>49.500700000000393</c:v>
                </c:pt>
                <c:pt idx="953">
                  <c:v>49.500800000000396</c:v>
                </c:pt>
                <c:pt idx="954">
                  <c:v>49.500900000000399</c:v>
                </c:pt>
                <c:pt idx="955">
                  <c:v>49.501000000000403</c:v>
                </c:pt>
                <c:pt idx="956">
                  <c:v>49.501100000000406</c:v>
                </c:pt>
                <c:pt idx="957">
                  <c:v>49.501200000000409</c:v>
                </c:pt>
                <c:pt idx="958">
                  <c:v>49.501300000000413</c:v>
                </c:pt>
                <c:pt idx="959">
                  <c:v>49.501400000000416</c:v>
                </c:pt>
                <c:pt idx="960">
                  <c:v>49.501500000000419</c:v>
                </c:pt>
                <c:pt idx="961">
                  <c:v>49.501600000000423</c:v>
                </c:pt>
                <c:pt idx="962">
                  <c:v>49.501700000000426</c:v>
                </c:pt>
                <c:pt idx="963">
                  <c:v>49.501800000000429</c:v>
                </c:pt>
                <c:pt idx="964">
                  <c:v>49.501900000000433</c:v>
                </c:pt>
                <c:pt idx="965">
                  <c:v>49.502000000000436</c:v>
                </c:pt>
                <c:pt idx="966">
                  <c:v>49.502100000000439</c:v>
                </c:pt>
                <c:pt idx="967">
                  <c:v>49.502200000000443</c:v>
                </c:pt>
                <c:pt idx="968">
                  <c:v>49.502300000000446</c:v>
                </c:pt>
                <c:pt idx="969">
                  <c:v>49.502400000000449</c:v>
                </c:pt>
                <c:pt idx="970">
                  <c:v>49.502500000000452</c:v>
                </c:pt>
                <c:pt idx="971">
                  <c:v>49.502600000000456</c:v>
                </c:pt>
                <c:pt idx="972">
                  <c:v>49.502700000000459</c:v>
                </c:pt>
                <c:pt idx="973">
                  <c:v>49.502800000000462</c:v>
                </c:pt>
                <c:pt idx="974">
                  <c:v>49.502900000000466</c:v>
                </c:pt>
                <c:pt idx="975">
                  <c:v>49.503000000000469</c:v>
                </c:pt>
                <c:pt idx="976">
                  <c:v>49.503100000000472</c:v>
                </c:pt>
                <c:pt idx="977">
                  <c:v>49.503200000000476</c:v>
                </c:pt>
                <c:pt idx="978">
                  <c:v>49.503300000000479</c:v>
                </c:pt>
                <c:pt idx="979">
                  <c:v>49.503400000000482</c:v>
                </c:pt>
                <c:pt idx="980">
                  <c:v>49.503500000000486</c:v>
                </c:pt>
                <c:pt idx="981">
                  <c:v>49.503600000000489</c:v>
                </c:pt>
                <c:pt idx="982">
                  <c:v>49.503700000000492</c:v>
                </c:pt>
                <c:pt idx="983">
                  <c:v>49.503800000000496</c:v>
                </c:pt>
                <c:pt idx="984">
                  <c:v>49.503900000000499</c:v>
                </c:pt>
                <c:pt idx="985">
                  <c:v>49.504000000000502</c:v>
                </c:pt>
                <c:pt idx="986">
                  <c:v>49.504100000000506</c:v>
                </c:pt>
                <c:pt idx="987">
                  <c:v>49.504200000000509</c:v>
                </c:pt>
                <c:pt idx="988">
                  <c:v>49.504300000000512</c:v>
                </c:pt>
                <c:pt idx="989">
                  <c:v>49.504400000000516</c:v>
                </c:pt>
                <c:pt idx="990">
                  <c:v>49.504500000000519</c:v>
                </c:pt>
                <c:pt idx="991">
                  <c:v>49.504600000000522</c:v>
                </c:pt>
                <c:pt idx="992">
                  <c:v>49.504700000000526</c:v>
                </c:pt>
                <c:pt idx="993">
                  <c:v>49.504800000000529</c:v>
                </c:pt>
                <c:pt idx="994">
                  <c:v>49.504900000000532</c:v>
                </c:pt>
                <c:pt idx="995">
                  <c:v>49.505000000000535</c:v>
                </c:pt>
                <c:pt idx="996">
                  <c:v>49.505100000000539</c:v>
                </c:pt>
                <c:pt idx="997">
                  <c:v>49.505200000000542</c:v>
                </c:pt>
                <c:pt idx="998">
                  <c:v>49.505300000000545</c:v>
                </c:pt>
                <c:pt idx="999">
                  <c:v>49.505400000000549</c:v>
                </c:pt>
                <c:pt idx="1000">
                  <c:v>49.505500000000552</c:v>
                </c:pt>
              </c:numCache>
            </c:numRef>
          </c:xVal>
          <c:yVal>
            <c:numRef>
              <c:f>Calculs!$AH$4:$AH$1004</c:f>
              <c:numCache>
                <c:formatCode>0.00</c:formatCode>
                <c:ptCount val="1001"/>
                <c:pt idx="0">
                  <c:v>0</c:v>
                </c:pt>
                <c:pt idx="1">
                  <c:v>19.500587858754262</c:v>
                </c:pt>
                <c:pt idx="2">
                  <c:v>41.01586909062614</c:v>
                </c:pt>
                <c:pt idx="3">
                  <c:v>49.947355647321118</c:v>
                </c:pt>
                <c:pt idx="4">
                  <c:v>58.885847139852871</c:v>
                </c:pt>
                <c:pt idx="5">
                  <c:v>67.832485450780254</c:v>
                </c:pt>
                <c:pt idx="6">
                  <c:v>76.788401892536157</c:v>
                </c:pt>
                <c:pt idx="7">
                  <c:v>85.75471763709325</c:v>
                </c:pt>
                <c:pt idx="8">
                  <c:v>94.732544131214411</c:v>
                </c:pt>
                <c:pt idx="9">
                  <c:v>103.72298349776632</c:v>
                </c:pt>
                <c:pt idx="10">
                  <c:v>112.72712892355239</c:v>
                </c:pt>
                <c:pt idx="11">
                  <c:v>116.60508114599945</c:v>
                </c:pt>
                <c:pt idx="12">
                  <c:v>115.34515769036942</c:v>
                </c:pt>
                <c:pt idx="13">
                  <c:v>114.0432563399076</c:v>
                </c:pt>
                <c:pt idx="14">
                  <c:v>112.69933562581525</c:v>
                </c:pt>
                <c:pt idx="15">
                  <c:v>111.35255202124394</c:v>
                </c:pt>
                <c:pt idx="16">
                  <c:v>110.00295396326975</c:v>
                </c:pt>
                <c:pt idx="17">
                  <c:v>108.6505898606776</c:v>
                </c:pt>
                <c:pt idx="18">
                  <c:v>107.29550808646144</c:v>
                </c:pt>
                <c:pt idx="19">
                  <c:v>105.93775697036892</c:v>
                </c:pt>
                <c:pt idx="20">
                  <c:v>104.5773847914931</c:v>
                </c:pt>
                <c:pt idx="21">
                  <c:v>103.21443977091212</c:v>
                </c:pt>
                <c:pt idx="22">
                  <c:v>101.84897006437912</c:v>
                </c:pt>
                <c:pt idx="23">
                  <c:v>100.48102375506409</c:v>
                </c:pt>
                <c:pt idx="24">
                  <c:v>99.110648846348639</c:v>
                </c:pt>
                <c:pt idx="25">
                  <c:v>97.737893254676379</c:v>
                </c:pt>
                <c:pt idx="26">
                  <c:v>96.362804802459422</c:v>
                </c:pt>
                <c:pt idx="27">
                  <c:v>95.676618294551361</c:v>
                </c:pt>
                <c:pt idx="28">
                  <c:v>95.680593963693781</c:v>
                </c:pt>
                <c:pt idx="29">
                  <c:v>95.684118943524453</c:v>
                </c:pt>
                <c:pt idx="30">
                  <c:v>95.687192647159037</c:v>
                </c:pt>
                <c:pt idx="31">
                  <c:v>95.689814498587296</c:v>
                </c:pt>
                <c:pt idx="32">
                  <c:v>95.691983932712589</c:v>
                </c:pt>
                <c:pt idx="33">
                  <c:v>95.69370039539082</c:v>
                </c:pt>
                <c:pt idx="34">
                  <c:v>95.694963343469013</c:v>
                </c:pt>
                <c:pt idx="35">
                  <c:v>95.695772223561718</c:v>
                </c:pt>
                <c:pt idx="36">
                  <c:v>95.696126489777328</c:v>
                </c:pt>
                <c:pt idx="37">
                  <c:v>95.696025629173221</c:v>
                </c:pt>
                <c:pt idx="38">
                  <c:v>95.695469140002956</c:v>
                </c:pt>
                <c:pt idx="39">
                  <c:v>95.694456531749253</c:v>
                </c:pt>
                <c:pt idx="40">
                  <c:v>95.692987325156466</c:v>
                </c:pt>
                <c:pt idx="41">
                  <c:v>95.69106105226237</c:v>
                </c:pt>
                <c:pt idx="42">
                  <c:v>95.688677256429926</c:v>
                </c:pt>
                <c:pt idx="43">
                  <c:v>95.685835492378516</c:v>
                </c:pt>
                <c:pt idx="44">
                  <c:v>95.682535326214477</c:v>
                </c:pt>
                <c:pt idx="45">
                  <c:v>95.678776335461777</c:v>
                </c:pt>
                <c:pt idx="46">
                  <c:v>95.674558109091649</c:v>
                </c:pt>
                <c:pt idx="47">
                  <c:v>95.66988024755203</c:v>
                </c:pt>
                <c:pt idx="48">
                  <c:v>95.664742362796432</c:v>
                </c:pt>
                <c:pt idx="49">
                  <c:v>95.659144078312508</c:v>
                </c:pt>
                <c:pt idx="50">
                  <c:v>95.653085029149722</c:v>
                </c:pt>
                <c:pt idx="51">
                  <c:v>95.6465648619468</c:v>
                </c:pt>
                <c:pt idx="52">
                  <c:v>95.63958323495865</c:v>
                </c:pt>
                <c:pt idx="53">
                  <c:v>95.632139818082521</c:v>
                </c:pt>
                <c:pt idx="54">
                  <c:v>95.624234292883813</c:v>
                </c:pt>
                <c:pt idx="55">
                  <c:v>95.615866352621325</c:v>
                </c:pt>
                <c:pt idx="56">
                  <c:v>95.607035702271659</c:v>
                </c:pt>
                <c:pt idx="57">
                  <c:v>95.597742058553521</c:v>
                </c:pt>
                <c:pt idx="58">
                  <c:v>95.587985149951123</c:v>
                </c:pt>
                <c:pt idx="59">
                  <c:v>95.577764716736922</c:v>
                </c:pt>
                <c:pt idx="60">
                  <c:v>95.567080510994117</c:v>
                </c:pt>
                <c:pt idx="61">
                  <c:v>95.555932296638275</c:v>
                </c:pt>
                <c:pt idx="62">
                  <c:v>95.544319849438409</c:v>
                </c:pt>
                <c:pt idx="63">
                  <c:v>95.532242957037525</c:v>
                </c:pt>
                <c:pt idx="64">
                  <c:v>95.519701418972502</c:v>
                </c:pt>
                <c:pt idx="65">
                  <c:v>95.506695046693352</c:v>
                </c:pt>
                <c:pt idx="66">
                  <c:v>95.493223663581873</c:v>
                </c:pt>
                <c:pt idx="67">
                  <c:v>95.479287104969785</c:v>
                </c:pt>
                <c:pt idx="68">
                  <c:v>95.464885218155985</c:v>
                </c:pt>
                <c:pt idx="69">
                  <c:v>95.450017862423437</c:v>
                </c:pt>
                <c:pt idx="70">
                  <c:v>95.434684909055349</c:v>
                </c:pt>
                <c:pt idx="71">
                  <c:v>95.418886241350606</c:v>
                </c:pt>
                <c:pt idx="72">
                  <c:v>95.394703576465886</c:v>
                </c:pt>
                <c:pt idx="73">
                  <c:v>95.36212449837609</c:v>
                </c:pt>
                <c:pt idx="74">
                  <c:v>95.329062595735849</c:v>
                </c:pt>
                <c:pt idx="75">
                  <c:v>95.295518043820991</c:v>
                </c:pt>
                <c:pt idx="76">
                  <c:v>95.261491030700057</c:v>
                </c:pt>
                <c:pt idx="77">
                  <c:v>95.226981757232693</c:v>
                </c:pt>
                <c:pt idx="78">
                  <c:v>95.191990437067375</c:v>
                </c:pt>
                <c:pt idx="79">
                  <c:v>95.156517296638469</c:v>
                </c:pt>
                <c:pt idx="80">
                  <c:v>95.120562575162509</c:v>
                </c:pt>
                <c:pt idx="81">
                  <c:v>95.084126524633746</c:v>
                </c:pt>
                <c:pt idx="82">
                  <c:v>95.047209409819018</c:v>
                </c:pt>
                <c:pt idx="83">
                  <c:v>95.009811508251843</c:v>
                </c:pt>
                <c:pt idx="84">
                  <c:v>94.971933110225862</c:v>
                </c:pt>
                <c:pt idx="85">
                  <c:v>94.933574518787381</c:v>
                </c:pt>
                <c:pt idx="86">
                  <c:v>94.894736049727442</c:v>
                </c:pt>
                <c:pt idx="87">
                  <c:v>94.855418031572952</c:v>
                </c:pt>
                <c:pt idx="88">
                  <c:v>94.815620805577169</c:v>
                </c:pt>
                <c:pt idx="89">
                  <c:v>94.775344725709516</c:v>
                </c:pt>
                <c:pt idx="90">
                  <c:v>94.73459015864448</c:v>
                </c:pt>
                <c:pt idx="91">
                  <c:v>94.693357483750049</c:v>
                </c:pt>
                <c:pt idx="92">
                  <c:v>94.651647093075169</c:v>
                </c:pt>
                <c:pt idx="93">
                  <c:v>94.609459391336699</c:v>
                </c:pt>
                <c:pt idx="94">
                  <c:v>94.566794795905395</c:v>
                </c:pt>
                <c:pt idx="95">
                  <c:v>94.523653736791417</c:v>
                </c:pt>
                <c:pt idx="96">
                  <c:v>94.480036656628926</c:v>
                </c:pt>
                <c:pt idx="97">
                  <c:v>94.435944010660052</c:v>
                </c:pt>
                <c:pt idx="98">
                  <c:v>94.391376266718126</c:v>
                </c:pt>
                <c:pt idx="99">
                  <c:v>94.34633390521013</c:v>
                </c:pt>
                <c:pt idx="100">
                  <c:v>94.300817419098479</c:v>
                </c:pt>
                <c:pt idx="101">
                  <c:v>94.25482731388216</c:v>
                </c:pt>
                <c:pt idx="102">
                  <c:v>94.208364107576912</c:v>
                </c:pt>
                <c:pt idx="103">
                  <c:v>94.161428330694974</c:v>
                </c:pt>
                <c:pt idx="104">
                  <c:v>94.114020526223925</c:v>
                </c:pt>
                <c:pt idx="105">
                  <c:v>94.066141249604897</c:v>
                </c:pt>
                <c:pt idx="106">
                  <c:v>94.017791068709926</c:v>
                </c:pt>
                <c:pt idx="107">
                  <c:v>93.968970563818914</c:v>
                </c:pt>
                <c:pt idx="108">
                  <c:v>93.919680327595458</c:v>
                </c:pt>
                <c:pt idx="109">
                  <c:v>93.869920965062391</c:v>
                </c:pt>
                <c:pt idx="110">
                  <c:v>93.819693093576205</c:v>
                </c:pt>
                <c:pt idx="111">
                  <c:v>93.768997342801129</c:v>
                </c:pt>
                <c:pt idx="112">
                  <c:v>93.717834354682225</c:v>
                </c:pt>
                <c:pt idx="113">
                  <c:v>93.666204783418095</c:v>
                </c:pt>
                <c:pt idx="114">
                  <c:v>93.614109295432428</c:v>
                </c:pt>
                <c:pt idx="115">
                  <c:v>93.561548569345334</c:v>
                </c:pt>
                <c:pt idx="116">
                  <c:v>93.508523295943675</c:v>
                </c:pt>
                <c:pt idx="117">
                  <c:v>93.455034178150839</c:v>
                </c:pt>
                <c:pt idx="118">
                  <c:v>93.401081930995716</c:v>
                </c:pt>
                <c:pt idx="119">
                  <c:v>93.346667281581119</c:v>
                </c:pt>
                <c:pt idx="120">
                  <c:v>93.291790969051434</c:v>
                </c:pt>
                <c:pt idx="121">
                  <c:v>93.236453744559569</c:v>
                </c:pt>
                <c:pt idx="122">
                  <c:v>93.180656371233297</c:v>
                </c:pt>
                <c:pt idx="123">
                  <c:v>93.124399624140864</c:v>
                </c:pt>
                <c:pt idx="124">
                  <c:v>93.067684290255926</c:v>
                </c:pt>
                <c:pt idx="125">
                  <c:v>93.010511168421857</c:v>
                </c:pt>
                <c:pt idx="126">
                  <c:v>92.952881069315367</c:v>
                </c:pt>
                <c:pt idx="127">
                  <c:v>92.894794815409412</c:v>
                </c:pt>
                <c:pt idx="128">
                  <c:v>92.836253240935491</c:v>
                </c:pt>
                <c:pt idx="129">
                  <c:v>92.740626599356119</c:v>
                </c:pt>
                <c:pt idx="130">
                  <c:v>92.607870621565382</c:v>
                </c:pt>
                <c:pt idx="131">
                  <c:v>92.474607828243506</c:v>
                </c:pt>
                <c:pt idx="132">
                  <c:v>92.340840373629661</c:v>
                </c:pt>
                <c:pt idx="133">
                  <c:v>92.206570423800528</c:v>
                </c:pt>
                <c:pt idx="134">
                  <c:v>92.071800156550196</c:v>
                </c:pt>
                <c:pt idx="135">
                  <c:v>91.936531761269492</c:v>
                </c:pt>
                <c:pt idx="136">
                  <c:v>91.800767438824664</c:v>
                </c:pt>
                <c:pt idx="137">
                  <c:v>91.664509401435652</c:v>
                </c:pt>
                <c:pt idx="138">
                  <c:v>91.527759872553773</c:v>
                </c:pt>
                <c:pt idx="139">
                  <c:v>91.390521086738843</c:v>
                </c:pt>
                <c:pt idx="140">
                  <c:v>91.252795289535939</c:v>
                </c:pt>
                <c:pt idx="141">
                  <c:v>91.114584737351564</c:v>
                </c:pt>
                <c:pt idx="142">
                  <c:v>90.975891697329388</c:v>
                </c:pt>
                <c:pt idx="143">
                  <c:v>90.836718447225437</c:v>
                </c:pt>
                <c:pt idx="144">
                  <c:v>90.697067275282976</c:v>
                </c:pt>
                <c:pt idx="145">
                  <c:v>90.556940480106832</c:v>
                </c:pt>
                <c:pt idx="146">
                  <c:v>90.416340370537341</c:v>
                </c:pt>
                <c:pt idx="147">
                  <c:v>90.275269265523931</c:v>
                </c:pt>
                <c:pt idx="148">
                  <c:v>90.133729493998089</c:v>
                </c:pt>
                <c:pt idx="149">
                  <c:v>89.991723394746273</c:v>
                </c:pt>
                <c:pt idx="150">
                  <c:v>89.849253316282173</c:v>
                </c:pt>
                <c:pt idx="151">
                  <c:v>89.706321616718668</c:v>
                </c:pt>
                <c:pt idx="152">
                  <c:v>89.562930663639548</c:v>
                </c:pt>
                <c:pt idx="153">
                  <c:v>89.419082833970734</c:v>
                </c:pt>
                <c:pt idx="154">
                  <c:v>89.274780513851212</c:v>
                </c:pt>
                <c:pt idx="155">
                  <c:v>89.130026098503834</c:v>
                </c:pt>
                <c:pt idx="156">
                  <c:v>88.984821992105452</c:v>
                </c:pt>
                <c:pt idx="157">
                  <c:v>88.839170607657124</c:v>
                </c:pt>
                <c:pt idx="158">
                  <c:v>88.693074366853779</c:v>
                </c:pt>
                <c:pt idx="159">
                  <c:v>88.546535699953751</c:v>
                </c:pt>
                <c:pt idx="160">
                  <c:v>88.399557045648052</c:v>
                </c:pt>
                <c:pt idx="161">
                  <c:v>88.252140850929294</c:v>
                </c:pt>
                <c:pt idx="162">
                  <c:v>88.104289570960546</c:v>
                </c:pt>
                <c:pt idx="163">
                  <c:v>87.956005668943789</c:v>
                </c:pt>
                <c:pt idx="164">
                  <c:v>87.807291615988277</c:v>
                </c:pt>
                <c:pt idx="165">
                  <c:v>87.658149890978748</c:v>
                </c:pt>
                <c:pt idx="166">
                  <c:v>87.508582980443279</c:v>
                </c:pt>
                <c:pt idx="167">
                  <c:v>87.358593378421176</c:v>
                </c:pt>
                <c:pt idx="168">
                  <c:v>87.208183586330506</c:v>
                </c:pt>
                <c:pt idx="169">
                  <c:v>87.05735611283562</c:v>
                </c:pt>
                <c:pt idx="170">
                  <c:v>86.906113473714555</c:v>
                </c:pt>
                <c:pt idx="171">
                  <c:v>86.754458191726187</c:v>
                </c:pt>
                <c:pt idx="172">
                  <c:v>86.602392796477332</c:v>
                </c:pt>
                <c:pt idx="173">
                  <c:v>86.449919824289864</c:v>
                </c:pt>
                <c:pt idx="174">
                  <c:v>86.297041818067498</c:v>
                </c:pt>
                <c:pt idx="175">
                  <c:v>86.143761327162792</c:v>
                </c:pt>
                <c:pt idx="176">
                  <c:v>85.990080907243808</c:v>
                </c:pt>
                <c:pt idx="177">
                  <c:v>85.836003120160939</c:v>
                </c:pt>
                <c:pt idx="178">
                  <c:v>85.681530533813572</c:v>
                </c:pt>
                <c:pt idx="179">
                  <c:v>85.526665722016759</c:v>
                </c:pt>
                <c:pt idx="180">
                  <c:v>85.371411264367879</c:v>
                </c:pt>
                <c:pt idx="181">
                  <c:v>85.215769746113338</c:v>
                </c:pt>
                <c:pt idx="182">
                  <c:v>85.059743758015131</c:v>
                </c:pt>
                <c:pt idx="183">
                  <c:v>84.903335896217598</c:v>
                </c:pt>
                <c:pt idx="184">
                  <c:v>84.746548762114145</c:v>
                </c:pt>
                <c:pt idx="185">
                  <c:v>84.589384962213884</c:v>
                </c:pt>
                <c:pt idx="186">
                  <c:v>84.431847108008597</c:v>
                </c:pt>
                <c:pt idx="187">
                  <c:v>84.273937815839517</c:v>
                </c:pt>
                <c:pt idx="188">
                  <c:v>84.115659706764248</c:v>
                </c:pt>
                <c:pt idx="189">
                  <c:v>83.957015406423906</c:v>
                </c:pt>
                <c:pt idx="190">
                  <c:v>83.798007544910121</c:v>
                </c:pt>
                <c:pt idx="191">
                  <c:v>83.638638756632432</c:v>
                </c:pt>
                <c:pt idx="192">
                  <c:v>83.478911680185547</c:v>
                </c:pt>
                <c:pt idx="193">
                  <c:v>83.318828958216869</c:v>
                </c:pt>
                <c:pt idx="194">
                  <c:v>83.158393237294177</c:v>
                </c:pt>
                <c:pt idx="195">
                  <c:v>82.997607167773367</c:v>
                </c:pt>
                <c:pt idx="196">
                  <c:v>82.836473403666474</c:v>
                </c:pt>
                <c:pt idx="197">
                  <c:v>82.674994602509798</c:v>
                </c:pt>
                <c:pt idx="198">
                  <c:v>82.513173425232196</c:v>
                </c:pt>
                <c:pt idx="199">
                  <c:v>82.351012536023674</c:v>
                </c:pt>
                <c:pt idx="200">
                  <c:v>82.188514602204108</c:v>
                </c:pt>
                <c:pt idx="201">
                  <c:v>82.025682294092135</c:v>
                </c:pt>
                <c:pt idx="202">
                  <c:v>81.862518284874426</c:v>
                </c:pt>
                <c:pt idx="203">
                  <c:v>81.69902525047506</c:v>
                </c:pt>
                <c:pt idx="204">
                  <c:v>81.535205869425241</c:v>
                </c:pt>
                <c:pt idx="205">
                  <c:v>81.371062822733208</c:v>
                </c:pt>
                <c:pt idx="206">
                  <c:v>81.19762448285401</c:v>
                </c:pt>
                <c:pt idx="207">
                  <c:v>81.014887420835493</c:v>
                </c:pt>
                <c:pt idx="208">
                  <c:v>80.831830823885127</c:v>
                </c:pt>
                <c:pt idx="209">
                  <c:v>80.648457696736301</c:v>
                </c:pt>
                <c:pt idx="210">
                  <c:v>80.464771044929662</c:v>
                </c:pt>
                <c:pt idx="211">
                  <c:v>80.280773874667659</c:v>
                </c:pt>
                <c:pt idx="212">
                  <c:v>80.096469192669545</c:v>
                </c:pt>
                <c:pt idx="213">
                  <c:v>79.911860006026956</c:v>
                </c:pt>
                <c:pt idx="214">
                  <c:v>79.726949322059937</c:v>
                </c:pt>
                <c:pt idx="215">
                  <c:v>79.54174014817356</c:v>
                </c:pt>
                <c:pt idx="216">
                  <c:v>79.356235491714884</c:v>
                </c:pt>
                <c:pt idx="217">
                  <c:v>79.170438359830797</c:v>
                </c:pt>
                <c:pt idx="218">
                  <c:v>78.984351759326046</c:v>
                </c:pt>
                <c:pt idx="219">
                  <c:v>78.797978696522122</c:v>
                </c:pt>
                <c:pt idx="220">
                  <c:v>78.61132217711652</c:v>
                </c:pt>
                <c:pt idx="221">
                  <c:v>78.424385206042714</c:v>
                </c:pt>
                <c:pt idx="222">
                  <c:v>78.237170787330584</c:v>
                </c:pt>
                <c:pt idx="223">
                  <c:v>78.04968192396764</c:v>
                </c:pt>
                <c:pt idx="224">
                  <c:v>77.8619216177607</c:v>
                </c:pt>
                <c:pt idx="225">
                  <c:v>77.673892869198156</c:v>
                </c:pt>
                <c:pt idx="226">
                  <c:v>77.485598677313149</c:v>
                </c:pt>
                <c:pt idx="227">
                  <c:v>77.297042039547094</c:v>
                </c:pt>
                <c:pt idx="228">
                  <c:v>77.108225951613889</c:v>
                </c:pt>
                <c:pt idx="229">
                  <c:v>76.919153407364973</c:v>
                </c:pt>
                <c:pt idx="230">
                  <c:v>76.729827398654862</c:v>
                </c:pt>
                <c:pt idx="231">
                  <c:v>76.540250915207423</c:v>
                </c:pt>
                <c:pt idx="232">
                  <c:v>76.350426944482933</c:v>
                </c:pt>
                <c:pt idx="233">
                  <c:v>76.160358471545592</c:v>
                </c:pt>
                <c:pt idx="234">
                  <c:v>75.970048478932057</c:v>
                </c:pt>
                <c:pt idx="235">
                  <c:v>75.779499946520417</c:v>
                </c:pt>
                <c:pt idx="236">
                  <c:v>75.588715851400011</c:v>
                </c:pt>
                <c:pt idx="237">
                  <c:v>75.397699167741976</c:v>
                </c:pt>
                <c:pt idx="238">
                  <c:v>75.206452866670446</c:v>
                </c:pt>
                <c:pt idx="239">
                  <c:v>75.014979916134692</c:v>
                </c:pt>
                <c:pt idx="240">
                  <c:v>74.823283280781723</c:v>
                </c:pt>
                <c:pt idx="241">
                  <c:v>74.631365921829925</c:v>
                </c:pt>
                <c:pt idx="242">
                  <c:v>74.408127720085616</c:v>
                </c:pt>
                <c:pt idx="243">
                  <c:v>74.153558559485816</c:v>
                </c:pt>
                <c:pt idx="244">
                  <c:v>73.898778960769945</c:v>
                </c:pt>
                <c:pt idx="245">
                  <c:v>73.643792963892253</c:v>
                </c:pt>
                <c:pt idx="246">
                  <c:v>73.38860459915557</c:v>
                </c:pt>
                <c:pt idx="247">
                  <c:v>73.133217887038171</c:v>
                </c:pt>
                <c:pt idx="248">
                  <c:v>72.877636838022113</c:v>
                </c:pt>
                <c:pt idx="249">
                  <c:v>72.621865452423307</c:v>
                </c:pt>
                <c:pt idx="250">
                  <c:v>72.365907720223021</c:v>
                </c:pt>
                <c:pt idx="251">
                  <c:v>72.109767620901394</c:v>
                </c:pt>
                <c:pt idx="252">
                  <c:v>71.853449123272057</c:v>
                </c:pt>
                <c:pt idx="253">
                  <c:v>71.596956185318902</c:v>
                </c:pt>
                <c:pt idx="254">
                  <c:v>71.34029275403411</c:v>
                </c:pt>
                <c:pt idx="255">
                  <c:v>71.083462765258091</c:v>
                </c:pt>
                <c:pt idx="256">
                  <c:v>70.826470143520979</c:v>
                </c:pt>
                <c:pt idx="257">
                  <c:v>70.569318801885757</c:v>
                </c:pt>
                <c:pt idx="258">
                  <c:v>70.312012641793189</c:v>
                </c:pt>
                <c:pt idx="259">
                  <c:v>70.054555552908283</c:v>
                </c:pt>
                <c:pt idx="260">
                  <c:v>69.796951412968482</c:v>
                </c:pt>
                <c:pt idx="261">
                  <c:v>69.539204087633649</c:v>
                </c:pt>
                <c:pt idx="262">
                  <c:v>69.281317430337566</c:v>
                </c:pt>
                <c:pt idx="263">
                  <c:v>69.023295282141262</c:v>
                </c:pt>
                <c:pt idx="264">
                  <c:v>68.765141471588009</c:v>
                </c:pt>
                <c:pt idx="265">
                  <c:v>68.506859814559945</c:v>
                </c:pt>
                <c:pt idx="266">
                  <c:v>68.248454114136578</c:v>
                </c:pt>
                <c:pt idx="267">
                  <c:v>67.989928160454767</c:v>
                </c:pt>
                <c:pt idx="268">
                  <c:v>67.731285730570676</c:v>
                </c:pt>
                <c:pt idx="269">
                  <c:v>67.472530588323195</c:v>
                </c:pt>
                <c:pt idx="270">
                  <c:v>67.213666484199251</c:v>
                </c:pt>
                <c:pt idx="271">
                  <c:v>66.954697155200833</c:v>
                </c:pt>
                <c:pt idx="272">
                  <c:v>66.695626324713572</c:v>
                </c:pt>
                <c:pt idx="273">
                  <c:v>66.436457702377282</c:v>
                </c:pt>
                <c:pt idx="274">
                  <c:v>66.17719498395806</c:v>
                </c:pt>
                <c:pt idx="275">
                  <c:v>65.91784185122215</c:v>
                </c:pt>
                <c:pt idx="276">
                  <c:v>65.658401971811671</c:v>
                </c:pt>
                <c:pt idx="277">
                  <c:v>65.398878999121777</c:v>
                </c:pt>
                <c:pt idx="278">
                  <c:v>65.139276572179867</c:v>
                </c:pt>
                <c:pt idx="279">
                  <c:v>64.879598315526337</c:v>
                </c:pt>
                <c:pt idx="280">
                  <c:v>64.619847839097176</c:v>
                </c:pt>
                <c:pt idx="281">
                  <c:v>64.360028738108127</c:v>
                </c:pt>
                <c:pt idx="282">
                  <c:v>64.100144592940751</c:v>
                </c:pt>
                <c:pt idx="283">
                  <c:v>63.840198969030197</c:v>
                </c:pt>
                <c:pt idx="284">
                  <c:v>63.616814861582647</c:v>
                </c:pt>
                <c:pt idx="285">
                  <c:v>63.429998830437029</c:v>
                </c:pt>
                <c:pt idx="286">
                  <c:v>63.243108345093681</c:v>
                </c:pt>
                <c:pt idx="287">
                  <c:v>63.056145795077462</c:v>
                </c:pt>
                <c:pt idx="288">
                  <c:v>62.869113562126195</c:v>
                </c:pt>
                <c:pt idx="289">
                  <c:v>62.682014020122139</c:v>
                </c:pt>
                <c:pt idx="290">
                  <c:v>62.494849535024073</c:v>
                </c:pt>
                <c:pt idx="291">
                  <c:v>62.307622464800282</c:v>
                </c:pt>
                <c:pt idx="292">
                  <c:v>62.120335159362384</c:v>
                </c:pt>
                <c:pt idx="293">
                  <c:v>61.932989960500002</c:v>
                </c:pt>
                <c:pt idx="294">
                  <c:v>61.745589201816273</c:v>
                </c:pt>
                <c:pt idx="295">
                  <c:v>61.558135208664126</c:v>
                </c:pt>
                <c:pt idx="296">
                  <c:v>61.370630298083412</c:v>
                </c:pt>
                <c:pt idx="297">
                  <c:v>61.183076778738965</c:v>
                </c:pt>
                <c:pt idx="298">
                  <c:v>60.995476950859434</c:v>
                </c:pt>
                <c:pt idx="299">
                  <c:v>60.807833106176815</c:v>
                </c:pt>
                <c:pt idx="300">
                  <c:v>60.620147527867118</c:v>
                </c:pt>
                <c:pt idx="301">
                  <c:v>60.432422490491533</c:v>
                </c:pt>
                <c:pt idx="302">
                  <c:v>60.244660259938655</c:v>
                </c:pt>
                <c:pt idx="303">
                  <c:v>60.056863093367525</c:v>
                </c:pt>
                <c:pt idx="304">
                  <c:v>59.869033239151328</c:v>
                </c:pt>
                <c:pt idx="305">
                  <c:v>59.681172936822165</c:v>
                </c:pt>
                <c:pt idx="306">
                  <c:v>59.493284417016469</c:v>
                </c:pt>
                <c:pt idx="307">
                  <c:v>59.305369901421251</c:v>
                </c:pt>
                <c:pt idx="308">
                  <c:v>59.117431602721446</c:v>
                </c:pt>
                <c:pt idx="309">
                  <c:v>58.929471724547639</c:v>
                </c:pt>
                <c:pt idx="310">
                  <c:v>58.741492461425054</c:v>
                </c:pt>
                <c:pt idx="311">
                  <c:v>58.553495998723008</c:v>
                </c:pt>
                <c:pt idx="312">
                  <c:v>58.365484512605477</c:v>
                </c:pt>
                <c:pt idx="313">
                  <c:v>58.177460169982311</c:v>
                </c:pt>
                <c:pt idx="314">
                  <c:v>57.989425128461349</c:v>
                </c:pt>
                <c:pt idx="315">
                  <c:v>57.801381536301278</c:v>
                </c:pt>
                <c:pt idx="316">
                  <c:v>57.613331532365393</c:v>
                </c:pt>
                <c:pt idx="317">
                  <c:v>57.42527724607617</c:v>
                </c:pt>
                <c:pt idx="318">
                  <c:v>57.23722079737054</c:v>
                </c:pt>
                <c:pt idx="319">
                  <c:v>57.049164296656166</c:v>
                </c:pt>
                <c:pt idx="320">
                  <c:v>56.861109844768357</c:v>
                </c:pt>
                <c:pt idx="321">
                  <c:v>56.673059532927859</c:v>
                </c:pt>
                <c:pt idx="322">
                  <c:v>56.485015442699485</c:v>
                </c:pt>
                <c:pt idx="323">
                  <c:v>56.296979645951552</c:v>
                </c:pt>
                <c:pt idx="324">
                  <c:v>56.108954204816037</c:v>
                </c:pt>
                <c:pt idx="325">
                  <c:v>55.920941171649616</c:v>
                </c:pt>
                <c:pt idx="326">
                  <c:v>55.735197920433563</c:v>
                </c:pt>
                <c:pt idx="327">
                  <c:v>55.55172609770117</c:v>
                </c:pt>
                <c:pt idx="328">
                  <c:v>55.368270295760134</c:v>
                </c:pt>
                <c:pt idx="329">
                  <c:v>55.184832472245262</c:v>
                </c:pt>
                <c:pt idx="330">
                  <c:v>55.001414575272634</c:v>
                </c:pt>
                <c:pt idx="331">
                  <c:v>54.818018543406048</c:v>
                </c:pt>
                <c:pt idx="332">
                  <c:v>54.6346463056244</c:v>
                </c:pt>
                <c:pt idx="333">
                  <c:v>54.451299781289649</c:v>
                </c:pt>
                <c:pt idx="334">
                  <c:v>54.267980880115559</c:v>
                </c:pt>
                <c:pt idx="335">
                  <c:v>54.084691502137233</c:v>
                </c:pt>
                <c:pt idx="336">
                  <c:v>53.90143353768137</c:v>
                </c:pt>
                <c:pt idx="337">
                  <c:v>53.718208867337168</c:v>
                </c:pt>
                <c:pt idx="338">
                  <c:v>53.53501936192805</c:v>
                </c:pt>
                <c:pt idx="339">
                  <c:v>53.351866882484096</c:v>
                </c:pt>
                <c:pt idx="340">
                  <c:v>53.168753280215199</c:v>
                </c:pt>
                <c:pt idx="341">
                  <c:v>52.985680396484923</c:v>
                </c:pt>
                <c:pt idx="342">
                  <c:v>52.802650062785098</c:v>
                </c:pt>
                <c:pt idx="343">
                  <c:v>52.619664100711184</c:v>
                </c:pt>
                <c:pt idx="344">
                  <c:v>52.436724321938158</c:v>
                </c:pt>
                <c:pt idx="345">
                  <c:v>52.253832528197378</c:v>
                </c:pt>
                <c:pt idx="346">
                  <c:v>52.070990511253981</c:v>
                </c:pt>
                <c:pt idx="347">
                  <c:v>51.888200052885011</c:v>
                </c:pt>
                <c:pt idx="348">
                  <c:v>51.705462924858246</c:v>
                </c:pt>
                <c:pt idx="349">
                  <c:v>51.522780888911825</c:v>
                </c:pt>
                <c:pt idx="350">
                  <c:v>51.340155696734378</c:v>
                </c:pt>
                <c:pt idx="351">
                  <c:v>51.157589089946015</c:v>
                </c:pt>
                <c:pt idx="352">
                  <c:v>50.975082800079917</c:v>
                </c:pt>
                <c:pt idx="353">
                  <c:v>50.792638548564689</c:v>
                </c:pt>
                <c:pt idx="354">
                  <c:v>50.610258046707216</c:v>
                </c:pt>
                <c:pt idx="355">
                  <c:v>50.427942995676482</c:v>
                </c:pt>
                <c:pt idx="356">
                  <c:v>50.245695086487764</c:v>
                </c:pt>
                <c:pt idx="357">
                  <c:v>50.063515999987693</c:v>
                </c:pt>
                <c:pt idx="358">
                  <c:v>49.881407406839934</c:v>
                </c:pt>
                <c:pt idx="359">
                  <c:v>49.699370967511484</c:v>
                </c:pt>
                <c:pt idx="360">
                  <c:v>49.517408332259635</c:v>
                </c:pt>
                <c:pt idx="361">
                  <c:v>49.33552114111972</c:v>
                </c:pt>
                <c:pt idx="362">
                  <c:v>49.153711023893322</c:v>
                </c:pt>
                <c:pt idx="363">
                  <c:v>48.971979600137189</c:v>
                </c:pt>
                <c:pt idx="364">
                  <c:v>48.790328479152947</c:v>
                </c:pt>
                <c:pt idx="365">
                  <c:v>48.608759259977212</c:v>
                </c:pt>
                <c:pt idx="366">
                  <c:v>48.484576284569506</c:v>
                </c:pt>
                <c:pt idx="367">
                  <c:v>48.417758759893616</c:v>
                </c:pt>
                <c:pt idx="368">
                  <c:v>48.350942372024335</c:v>
                </c:pt>
                <c:pt idx="369">
                  <c:v>48.284127685174241</c:v>
                </c:pt>
                <c:pt idx="370">
                  <c:v>48.217315261727293</c:v>
                </c:pt>
                <c:pt idx="371">
                  <c:v>48.150505662232106</c:v>
                </c:pt>
                <c:pt idx="372">
                  <c:v>48.083699445395361</c:v>
                </c:pt>
                <c:pt idx="373">
                  <c:v>48.016897168075353</c:v>
                </c:pt>
                <c:pt idx="374">
                  <c:v>47.950099385275536</c:v>
                </c:pt>
                <c:pt idx="375">
                  <c:v>47.883306650138245</c:v>
                </c:pt>
                <c:pt idx="376">
                  <c:v>47.816519513938466</c:v>
                </c:pt>
                <c:pt idx="377">
                  <c:v>47.749738526077714</c:v>
                </c:pt>
                <c:pt idx="378">
                  <c:v>47.682964234077943</c:v>
                </c:pt>
                <c:pt idx="379">
                  <c:v>47.616197183575665</c:v>
                </c:pt>
                <c:pt idx="380">
                  <c:v>47.549437918316073</c:v>
                </c:pt>
                <c:pt idx="381">
                  <c:v>47.420789230523745</c:v>
                </c:pt>
                <c:pt idx="382">
                  <c:v>47.230278622757105</c:v>
                </c:pt>
                <c:pt idx="383">
                  <c:v>47.039875355798635</c:v>
                </c:pt>
                <c:pt idx="384">
                  <c:v>46.849581016603992</c:v>
                </c:pt>
                <c:pt idx="385">
                  <c:v>46.659397180711458</c:v>
                </c:pt>
                <c:pt idx="386">
                  <c:v>46.469325412241474</c:v>
                </c:pt>
                <c:pt idx="387">
                  <c:v>46.279367263896546</c:v>
                </c:pt>
                <c:pt idx="388">
                  <c:v>46.089524276961981</c:v>
                </c:pt>
                <c:pt idx="389">
                  <c:v>45.899797981307266</c:v>
                </c:pt>
                <c:pt idx="390">
                  <c:v>45.710189895387991</c:v>
                </c:pt>
                <c:pt idx="391">
                  <c:v>45.520701526248409</c:v>
                </c:pt>
                <c:pt idx="392">
                  <c:v>45.331334369524782</c:v>
                </c:pt>
                <c:pt idx="393">
                  <c:v>45.142089909449084</c:v>
                </c:pt>
                <c:pt idx="394">
                  <c:v>44.952969618853636</c:v>
                </c:pt>
                <c:pt idx="395">
                  <c:v>44.763974959176167</c:v>
                </c:pt>
                <c:pt idx="396">
                  <c:v>44.575107380465425</c:v>
                </c:pt>
                <c:pt idx="397">
                  <c:v>44.386368321387607</c:v>
                </c:pt>
                <c:pt idx="398">
                  <c:v>44.197759209233155</c:v>
                </c:pt>
                <c:pt idx="399">
                  <c:v>44.009281459924402</c:v>
                </c:pt>
                <c:pt idx="400">
                  <c:v>43.820936478023512</c:v>
                </c:pt>
                <c:pt idx="401">
                  <c:v>43.584092071787339</c:v>
                </c:pt>
                <c:pt idx="402">
                  <c:v>43.298776217762871</c:v>
                </c:pt>
                <c:pt idx="403">
                  <c:v>43.013683872332969</c:v>
                </c:pt>
                <c:pt idx="404">
                  <c:v>42.72881743986563</c:v>
                </c:pt>
                <c:pt idx="405">
                  <c:v>42.444179301094074</c:v>
                </c:pt>
                <c:pt idx="406">
                  <c:v>42.159771813147351</c:v>
                </c:pt>
                <c:pt idx="407">
                  <c:v>41.875597309582432</c:v>
                </c:pt>
                <c:pt idx="408">
                  <c:v>41.591658100417696</c:v>
                </c:pt>
                <c:pt idx="409">
                  <c:v>41.307956472167874</c:v>
                </c:pt>
                <c:pt idx="410">
                  <c:v>41.024494687880306</c:v>
                </c:pt>
                <c:pt idx="411">
                  <c:v>40.472727106399375</c:v>
                </c:pt>
                <c:pt idx="412">
                  <c:v>39.65282552877818</c:v>
                </c:pt>
                <c:pt idx="413">
                  <c:v>38.833689447864856</c:v>
                </c:pt>
                <c:pt idx="414">
                  <c:v>38.015331414441071</c:v>
                </c:pt>
                <c:pt idx="415">
                  <c:v>37.1977638085907</c:v>
                </c:pt>
                <c:pt idx="416">
                  <c:v>36.380998839888818</c:v>
                </c:pt>
                <c:pt idx="417">
                  <c:v>35.565048547611838</c:v>
                </c:pt>
                <c:pt idx="418">
                  <c:v>34.749924800968721</c:v>
                </c:pt>
                <c:pt idx="419">
                  <c:v>33.935639299352914</c:v>
                </c:pt>
                <c:pt idx="420">
                  <c:v>32.969535069384357</c:v>
                </c:pt>
                <c:pt idx="421">
                  <c:v>31.851746703641329</c:v>
                </c:pt>
                <c:pt idx="422">
                  <c:v>30.735169715699829</c:v>
                </c:pt>
                <c:pt idx="423">
                  <c:v>29.619824251939527</c:v>
                </c:pt>
                <c:pt idx="424">
                  <c:v>28.505730144862106</c:v>
                </c:pt>
                <c:pt idx="425">
                  <c:v>27.392906913538138</c:v>
                </c:pt>
                <c:pt idx="426">
                  <c:v>26.281373764101254</c:v>
                </c:pt>
                <c:pt idx="427">
                  <c:v>25.171149590288575</c:v>
                </c:pt>
                <c:pt idx="428">
                  <c:v>24.062252974026855</c:v>
                </c:pt>
                <c:pt idx="429">
                  <c:v>22.954702186063248</c:v>
                </c:pt>
                <c:pt idx="430">
                  <c:v>21.848515186640331</c:v>
                </c:pt>
                <c:pt idx="431">
                  <c:v>20.743709626214194</c:v>
                </c:pt>
                <c:pt idx="432">
                  <c:v>19.394486257221189</c:v>
                </c:pt>
                <c:pt idx="433">
                  <c:v>17.80113217766753</c:v>
                </c:pt>
                <c:pt idx="434">
                  <c:v>16.209868777217718</c:v>
                </c:pt>
                <c:pt idx="435">
                  <c:v>14.620731262507627</c:v>
                </c:pt>
                <c:pt idx="436">
                  <c:v>13.033754200445694</c:v>
                </c:pt>
                <c:pt idx="437">
                  <c:v>11.448971519391424</c:v>
                </c:pt>
                <c:pt idx="438">
                  <c:v>9.866416510454096</c:v>
                </c:pt>
                <c:pt idx="439">
                  <c:v>8.2861218289089518</c:v>
                </c:pt>
                <c:pt idx="440">
                  <c:v>6.7081194957288872</c:v>
                </c:pt>
                <c:pt idx="441">
                  <c:v>5.1324408992292314</c:v>
                </c:pt>
                <c:pt idx="442">
                  <c:v>3.7083247668556689</c:v>
                </c:pt>
                <c:pt idx="443">
                  <c:v>2.4355895929007882</c:v>
                </c:pt>
                <c:pt idx="444">
                  <c:v>1.1647977829116589</c:v>
                </c:pt>
                <c:pt idx="445">
                  <c:v>-0.10403281561702607</c:v>
                </c:pt>
                <c:pt idx="446">
                  <c:v>-1.3708847596410483</c:v>
                </c:pt>
                <c:pt idx="447">
                  <c:v>-2.6357410087691999</c:v>
                </c:pt>
                <c:pt idx="448">
                  <c:v>-3.8985849234178671</c:v>
                </c:pt>
                <c:pt idx="449">
                  <c:v>-5.1594002629200189</c:v>
                </c:pt>
                <c:pt idx="450">
                  <c:v>-6.4181711835890747</c:v>
                </c:pt>
                <c:pt idx="451">
                  <c:v>-7.6748822367392338</c:v>
                </c:pt>
                <c:pt idx="452">
                  <c:v>-8.929518366663352</c:v>
                </c:pt>
                <c:pt idx="453">
                  <c:v>-9.9685080763896128</c:v>
                </c:pt>
                <c:pt idx="454">
                  <c:v>-10.792193957637371</c:v>
                </c:pt>
                <c:pt idx="455">
                  <c:v>-11.614510944057008</c:v>
                </c:pt>
                <c:pt idx="456">
                  <c:v>-12.435455232880436</c:v>
                </c:pt>
                <c:pt idx="457">
                  <c:v>-13.255023178011287</c:v>
                </c:pt>
                <c:pt idx="458">
                  <c:v>-14.073211288907205</c:v>
                </c:pt>
                <c:pt idx="459">
                  <c:v>-14.890016229457061</c:v>
                </c:pt>
                <c:pt idx="460">
                  <c:v>-15.705434816853392</c:v>
                </c:pt>
                <c:pt idx="461">
                  <c:v>-16.327326949806448</c:v>
                </c:pt>
                <c:pt idx="462">
                  <c:v>-16.756030585149237</c:v>
                </c:pt>
                <c:pt idx="463">
                  <c:v>-17.184037247112194</c:v>
                </c:pt>
                <c:pt idx="464">
                  <c:v>-17.611347880150984</c:v>
                </c:pt>
                <c:pt idx="465">
                  <c:v>-18.037963462097242</c:v>
                </c:pt>
                <c:pt idx="466">
                  <c:v>-18.625278290446957</c:v>
                </c:pt>
                <c:pt idx="467">
                  <c:v>-19.373001571549842</c:v>
                </c:pt>
                <c:pt idx="468">
                  <c:v>-21.91669773426262</c:v>
                </c:pt>
                <c:pt idx="469">
                  <c:v>-24.053592010305</c:v>
                </c:pt>
                <c:pt idx="470">
                  <c:v>-23.987199299080018</c:v>
                </c:pt>
                <c:pt idx="471">
                  <c:v>-23.921040866821038</c:v>
                </c:pt>
                <c:pt idx="472">
                  <c:v>-23.855115609434566</c:v>
                </c:pt>
                <c:pt idx="473">
                  <c:v>-23.789422429393372</c:v>
                </c:pt>
                <c:pt idx="474">
                  <c:v>-23.723960235689606</c:v>
                </c:pt>
                <c:pt idx="475">
                  <c:v>-23.658727943788005</c:v>
                </c:pt>
                <c:pt idx="476">
                  <c:v>-23.593724475579695</c:v>
                </c:pt>
                <c:pt idx="477">
                  <c:v>-23.528948759336263</c:v>
                </c:pt>
                <c:pt idx="478">
                  <c:v>-23.46439972966434</c:v>
                </c:pt>
                <c:pt idx="479">
                  <c:v>-23.400076327460429</c:v>
                </c:pt>
                <c:pt idx="480">
                  <c:v>-23.335977499866161</c:v>
                </c:pt>
                <c:pt idx="481">
                  <c:v>-23.272102200223941</c:v>
                </c:pt>
                <c:pt idx="482">
                  <c:v>-23.208449388033006</c:v>
                </c:pt>
                <c:pt idx="483">
                  <c:v>-23.145018028905664</c:v>
                </c:pt>
                <c:pt idx="484">
                  <c:v>-23.081807094524159</c:v>
                </c:pt>
                <c:pt idx="485">
                  <c:v>-23.018815562597656</c:v>
                </c:pt>
                <c:pt idx="486">
                  <c:v>-22.956042416819763</c:v>
                </c:pt>
                <c:pt idx="487">
                  <c:v>-22.893486646826261</c:v>
                </c:pt>
                <c:pt idx="488">
                  <c:v>-22.831147248153265</c:v>
                </c:pt>
                <c:pt idx="489">
                  <c:v>-22.769023222195752</c:v>
                </c:pt>
                <c:pt idx="490">
                  <c:v>-22.707113576166311</c:v>
                </c:pt>
                <c:pt idx="491">
                  <c:v>-22.645417323054364</c:v>
                </c:pt>
                <c:pt idx="492">
                  <c:v>-22.583933481585706</c:v>
                </c:pt>
                <c:pt idx="493">
                  <c:v>-22.522661076182235</c:v>
                </c:pt>
                <c:pt idx="494">
                  <c:v>-22.461599136922199</c:v>
                </c:pt>
                <c:pt idx="495">
                  <c:v>-22.40074669950064</c:v>
                </c:pt>
                <c:pt idx="496">
                  <c:v>-22.340102805190249</c:v>
                </c:pt>
                <c:pt idx="497">
                  <c:v>-22.27966650080246</c:v>
                </c:pt>
                <c:pt idx="498">
                  <c:v>-22.21943683864891</c:v>
                </c:pt>
                <c:pt idx="499">
                  <c:v>-22.159412876503229</c:v>
                </c:pt>
                <c:pt idx="500">
                  <c:v>-22.099593677563039</c:v>
                </c:pt>
                <c:pt idx="501">
                  <c:v>-22.039978310412469</c:v>
                </c:pt>
                <c:pt idx="502">
                  <c:v>-21.450420249550067</c:v>
                </c:pt>
                <c:pt idx="503">
                  <c:v>-20.88061052837072</c:v>
                </c:pt>
                <c:pt idx="504">
                  <c:v>-20.329674827651552</c:v>
                </c:pt>
                <c:pt idx="505">
                  <c:v>-19.796787285508415</c:v>
                </c:pt>
                <c:pt idx="506">
                  <c:v>-19.281167290561061</c:v>
                </c:pt>
                <c:pt idx="507">
                  <c:v>-18.782076521184422</c:v>
                </c:pt>
                <c:pt idx="508">
                  <c:v>-18.298816209421428</c:v>
                </c:pt>
                <c:pt idx="509">
                  <c:v>-17.830724610214165</c:v>
                </c:pt>
                <c:pt idx="510">
                  <c:v>-17.377174658469603</c:v>
                </c:pt>
                <c:pt idx="511">
                  <c:v>-16.937571798137817</c:v>
                </c:pt>
                <c:pt idx="512">
                  <c:v>-16.511351968968761</c:v>
                </c:pt>
                <c:pt idx="513">
                  <c:v>-16.097979737947288</c:v>
                </c:pt>
                <c:pt idx="514">
                  <c:v>-15.696946563603099</c:v>
                </c:pt>
                <c:pt idx="515">
                  <c:v>-15.307769182467686</c:v>
                </c:pt>
                <c:pt idx="516">
                  <c:v>-14.929988107917836</c:v>
                </c:pt>
                <c:pt idx="517">
                  <c:v>-14.56316623251632</c:v>
                </c:pt>
                <c:pt idx="518">
                  <c:v>-14.206887525746106</c:v>
                </c:pt>
                <c:pt idx="519">
                  <c:v>-13.860755819743018</c:v>
                </c:pt>
                <c:pt idx="520">
                  <c:v>-13.524393676272682</c:v>
                </c:pt>
                <c:pt idx="521">
                  <c:v>-13.197441328776621</c:v>
                </c:pt>
                <c:pt idx="522">
                  <c:v>-12.879555693836963</c:v>
                </c:pt>
                <c:pt idx="523">
                  <c:v>-12.570409446884691</c:v>
                </c:pt>
                <c:pt idx="524">
                  <c:v>-12.269690157407396</c:v>
                </c:pt>
                <c:pt idx="525">
                  <c:v>-11.977099479304352</c:v>
                </c:pt>
                <c:pt idx="526">
                  <c:v>-11.692352392392401</c:v>
                </c:pt>
                <c:pt idx="527">
                  <c:v>-11.415176491390049</c:v>
                </c:pt>
                <c:pt idx="528">
                  <c:v>-11.145311319002028</c:v>
                </c:pt>
                <c:pt idx="529">
                  <c:v>-10.882507739995237</c:v>
                </c:pt>
                <c:pt idx="530">
                  <c:v>-10.626527353402215</c:v>
                </c:pt>
                <c:pt idx="531">
                  <c:v>-10.377141940211878</c:v>
                </c:pt>
                <c:pt idx="532">
                  <c:v>-10.134132944111904</c:v>
                </c:pt>
                <c:pt idx="533">
                  <c:v>-9.8972909830341518</c:v>
                </c:pt>
                <c:pt idx="534">
                  <c:v>-9.6664153894254987</c:v>
                </c:pt>
                <c:pt idx="535">
                  <c:v>-9.4413137773233249</c:v>
                </c:pt>
                <c:pt idx="536">
                  <c:v>-9.2218016344586555</c:v>
                </c:pt>
                <c:pt idx="537">
                  <c:v>-9.0077019377416239</c:v>
                </c:pt>
                <c:pt idx="538">
                  <c:v>-8.7988447906050844</c:v>
                </c:pt>
                <c:pt idx="539">
                  <c:v>-8.5950670807933154</c:v>
                </c:pt>
                <c:pt idx="540">
                  <c:v>-8.3962121572850332</c:v>
                </c:pt>
                <c:pt idx="541">
                  <c:v>-8.2021295251339321</c:v>
                </c:pt>
                <c:pt idx="542">
                  <c:v>-8.0126745570966893</c:v>
                </c:pt>
                <c:pt idx="543">
                  <c:v>-7.8277082209980415</c:v>
                </c:pt>
                <c:pt idx="544">
                  <c:v>-7.6470968218561417</c:v>
                </c:pt>
                <c:pt idx="545">
                  <c:v>-7.4707117578593882</c:v>
                </c:pt>
                <c:pt idx="546">
                  <c:v>-7.2984292893483831</c:v>
                </c:pt>
                <c:pt idx="547">
                  <c:v>-7.1301303200147732</c:v>
                </c:pt>
                <c:pt idx="548">
                  <c:v>-6.9657001895820878</c:v>
                </c:pt>
                <c:pt idx="549">
                  <c:v>-6.8050284772832628</c:v>
                </c:pt>
                <c:pt idx="550">
                  <c:v>-6.6480088154953485</c:v>
                </c:pt>
                <c:pt idx="551">
                  <c:v>-6.4945387129342844</c:v>
                </c:pt>
                <c:pt idx="552">
                  <c:v>-6.344519386852018</c:v>
                </c:pt>
                <c:pt idx="553">
                  <c:v>-6.1978556037145784</c:v>
                </c:pt>
                <c:pt idx="554">
                  <c:v>-6.0544555278737144</c:v>
                </c:pt>
                <c:pt idx="555">
                  <c:v>-5.9142305777759345</c:v>
                </c:pt>
                <c:pt idx="556">
                  <c:v>-5.7770952892819976</c:v>
                </c:pt>
                <c:pt idx="557">
                  <c:v>-5.6429671856970982</c:v>
                </c:pt>
                <c:pt idx="558">
                  <c:v>-5.5117666541370491</c:v>
                </c:pt>
                <c:pt idx="559">
                  <c:v>-5.3834168278792784</c:v>
                </c:pt>
                <c:pt idx="560">
                  <c:v>-5.2578434743692632</c:v>
                </c:pt>
                <c:pt idx="561">
                  <c:v>-5.1349748885734057</c:v>
                </c:pt>
                <c:pt idx="562">
                  <c:v>-5.0147417913881212</c:v>
                </c:pt>
                <c:pt idx="563">
                  <c:v>-4.8970772328327898</c:v>
                </c:pt>
                <c:pt idx="564">
                  <c:v>-4.781916499770511</c:v>
                </c:pt>
                <c:pt idx="565">
                  <c:v>-4.6691970279160309</c:v>
                </c:pt>
                <c:pt idx="566">
                  <c:v>-4.5588583179045674</c:v>
                </c:pt>
                <c:pt idx="567">
                  <c:v>-4.4508418552086306</c:v>
                </c:pt>
                <c:pt idx="568">
                  <c:v>-4.3450910337024879</c:v>
                </c:pt>
                <c:pt idx="569">
                  <c:v>-4.241551082685592</c:v>
                </c:pt>
                <c:pt idx="570">
                  <c:v>-4.1401689971872582</c:v>
                </c:pt>
                <c:pt idx="571">
                  <c:v>-4.040893471385175</c:v>
                </c:pt>
                <c:pt idx="572">
                  <c:v>-3.9436748349798028</c:v>
                </c:pt>
                <c:pt idx="573">
                  <c:v>-3.8484649923758738</c:v>
                </c:pt>
                <c:pt idx="574">
                  <c:v>-3.7552173645304432</c:v>
                </c:pt>
                <c:pt idx="575">
                  <c:v>-3.6638868333349857</c:v>
                </c:pt>
                <c:pt idx="576">
                  <c:v>-3.5744296884063722</c:v>
                </c:pt>
                <c:pt idx="577">
                  <c:v>-3.4868035761684744</c:v>
                </c:pt>
                <c:pt idx="578">
                  <c:v>-3.4009674511127419</c:v>
                </c:pt>
                <c:pt idx="579">
                  <c:v>-3.3168815291321696</c:v>
                </c:pt>
                <c:pt idx="580">
                  <c:v>-3.2345072428288191</c:v>
                </c:pt>
                <c:pt idx="581">
                  <c:v>-3.1538071987004965</c:v>
                </c:pt>
                <c:pt idx="582">
                  <c:v>-3.0747451361172611</c:v>
                </c:pt>
                <c:pt idx="583">
                  <c:v>-2.9972858880031805</c:v>
                </c:pt>
                <c:pt idx="584">
                  <c:v>-2.9213953431433057</c:v>
                </c:pt>
                <c:pt idx="585">
                  <c:v>-2.8470404100400253</c:v>
                </c:pt>
                <c:pt idx="586">
                  <c:v>-2.7741889822469652</c:v>
                </c:pt>
                <c:pt idx="587">
                  <c:v>-2.7028099051123395</c:v>
                </c:pt>
                <c:pt idx="588">
                  <c:v>-2.6328729438672198</c:v>
                </c:pt>
                <c:pt idx="589">
                  <c:v>-2.5643487529974909</c:v>
                </c:pt>
                <c:pt idx="590">
                  <c:v>-2.4972088468414313</c:v>
                </c:pt>
                <c:pt idx="591">
                  <c:v>-2.4314255713578112</c:v>
                </c:pt>
                <c:pt idx="592">
                  <c:v>-2.3669720770121971</c:v>
                </c:pt>
                <c:pt idx="593">
                  <c:v>-2.3038222927317995</c:v>
                </c:pt>
                <c:pt idx="594">
                  <c:v>-2.241950900881688</c:v>
                </c:pt>
                <c:pt idx="595">
                  <c:v>-2.1813333132175723</c:v>
                </c:pt>
                <c:pt idx="596">
                  <c:v>-2.1219456477725225</c:v>
                </c:pt>
                <c:pt idx="597">
                  <c:v>-2.0637647066371847</c:v>
                </c:pt>
                <c:pt idx="598">
                  <c:v>-2.0067679545949653</c:v>
                </c:pt>
                <c:pt idx="599">
                  <c:v>-1.9509334985755749</c:v>
                </c:pt>
                <c:pt idx="600">
                  <c:v>-1.8962400678921019</c:v>
                </c:pt>
                <c:pt idx="601">
                  <c:v>-1.842666995228448</c:v>
                </c:pt>
                <c:pt idx="602">
                  <c:v>-1.7901941983455836</c:v>
                </c:pt>
                <c:pt idx="603">
                  <c:v>-1.7388021624765666</c:v>
                </c:pt>
                <c:pt idx="604">
                  <c:v>-1.6884719233817056</c:v>
                </c:pt>
                <c:pt idx="605">
                  <c:v>-1.6391850510366044</c:v>
                </c:pt>
                <c:pt idx="606">
                  <c:v>-1.5909236339271176</c:v>
                </c:pt>
                <c:pt idx="607">
                  <c:v>-1.5436702639264406</c:v>
                </c:pt>
                <c:pt idx="608">
                  <c:v>-1.4974080217307351</c:v>
                </c:pt>
                <c:pt idx="609">
                  <c:v>-1.4521204628307791</c:v>
                </c:pt>
                <c:pt idx="610">
                  <c:v>-1.4077916039981628</c:v>
                </c:pt>
                <c:pt idx="611">
                  <c:v>-1.3644059102655295</c:v>
                </c:pt>
                <c:pt idx="612">
                  <c:v>-1.3219482823813393</c:v>
                </c:pt>
                <c:pt idx="613">
                  <c:v>-1.2804040447204481</c:v>
                </c:pt>
                <c:pt idx="614">
                  <c:v>-1.2397589336327088</c:v>
                </c:pt>
                <c:pt idx="615">
                  <c:v>-1.1999990862125516</c:v>
                </c:pt>
                <c:pt idx="616">
                  <c:v>-1.1611110294732918</c:v>
                </c:pt>
                <c:pt idx="617">
                  <c:v>-1.1230816699106039</c:v>
                </c:pt>
                <c:pt idx="618">
                  <c:v>-1.0858982834403235</c:v>
                </c:pt>
                <c:pt idx="619">
                  <c:v>-1.0495485056963476</c:v>
                </c:pt>
                <c:pt idx="620">
                  <c:v>-1.0140203226750537</c:v>
                </c:pt>
                <c:pt idx="621">
                  <c:v>-0.9793020617132282</c:v>
                </c:pt>
                <c:pt idx="622">
                  <c:v>-0.94538238278704578</c:v>
                </c:pt>
                <c:pt idx="623">
                  <c:v>-0.912250270120191</c:v>
                </c:pt>
                <c:pt idx="624">
                  <c:v>-0.8798950240896779</c:v>
                </c:pt>
                <c:pt idx="625">
                  <c:v>-0.84830625341843025</c:v>
                </c:pt>
                <c:pt idx="626">
                  <c:v>-0.8174738676441109</c:v>
                </c:pt>
                <c:pt idx="627">
                  <c:v>-0.78738806985411525</c:v>
                </c:pt>
                <c:pt idx="628">
                  <c:v>-0.75803934967705322</c:v>
                </c:pt>
                <c:pt idx="629">
                  <c:v>-0.72941847652139269</c:v>
                </c:pt>
                <c:pt idx="630">
                  <c:v>-0.70151649305232855</c:v>
                </c:pt>
                <c:pt idx="631">
                  <c:v>-0.67432470889822005</c:v>
                </c:pt>
                <c:pt idx="632">
                  <c:v>-0.64783469457829634</c:v>
                </c:pt>
                <c:pt idx="633">
                  <c:v>-0.62203827564356684</c:v>
                </c:pt>
                <c:pt idx="634">
                  <c:v>-0.59692752702316287</c:v>
                </c:pt>
                <c:pt idx="635">
                  <c:v>-0.57249476756855633</c:v>
                </c:pt>
                <c:pt idx="636">
                  <c:v>-0.54873255478831962</c:v>
                </c:pt>
                <c:pt idx="637">
                  <c:v>-0.52563367976626174</c:v>
                </c:pt>
                <c:pt idx="638">
                  <c:v>-0.5031911622559514</c:v>
                </c:pt>
                <c:pt idx="639">
                  <c:v>-0.48139824594474451</c:v>
                </c:pt>
                <c:pt idx="640">
                  <c:v>-0.46024839388054212</c:v>
                </c:pt>
                <c:pt idx="641">
                  <c:v>-0.43973528405455892</c:v>
                </c:pt>
                <c:pt idx="642">
                  <c:v>-0.41985280513340378</c:v>
                </c:pt>
                <c:pt idx="643">
                  <c:v>-0.40059505233375486</c:v>
                </c:pt>
                <c:pt idx="644">
                  <c:v>-0.38195632343284214</c:v>
                </c:pt>
                <c:pt idx="645">
                  <c:v>-0.3639311149078221</c:v>
                </c:pt>
                <c:pt idx="646">
                  <c:v>-0.34651411819695255</c:v>
                </c:pt>
                <c:pt idx="647">
                  <c:v>-0.32970021607521421</c:v>
                </c:pt>
                <c:pt idx="648">
                  <c:v>-0.31348447913668998</c:v>
                </c:pt>
                <c:pt idx="649">
                  <c:v>-0.29786216237559249</c:v>
                </c:pt>
                <c:pt idx="650">
                  <c:v>-0.28282870185728703</c:v>
                </c:pt>
                <c:pt idx="651">
                  <c:v>-0.26837971147001177</c:v>
                </c:pt>
                <c:pt idx="652">
                  <c:v>-0.25451097974719811</c:v>
                </c:pt>
                <c:pt idx="653">
                  <c:v>-0.24121846674934408</c:v>
                </c:pt>
                <c:pt idx="654">
                  <c:v>-0.22849830099326049</c:v>
                </c:pt>
                <c:pt idx="655">
                  <c:v>-0.21634677641517289</c:v>
                </c:pt>
                <c:pt idx="656">
                  <c:v>-0.20476034935260271</c:v>
                </c:pt>
                <c:pt idx="657">
                  <c:v>-0.19373563552813464</c:v>
                </c:pt>
                <c:pt idx="658">
                  <c:v>-0.18326940701610089</c:v>
                </c:pt>
                <c:pt idx="659">
                  <c:v>-0.17335858917084898</c:v>
                </c:pt>
                <c:pt idx="660">
                  <c:v>-0.16400025749261679</c:v>
                </c:pt>
                <c:pt idx="661">
                  <c:v>-0.15519163440412787</c:v>
                </c:pt>
                <c:pt idx="662">
                  <c:v>-0.146930085907892</c:v>
                </c:pt>
                <c:pt idx="663">
                  <c:v>-0.13921311809092174</c:v>
                </c:pt>
                <c:pt idx="664">
                  <c:v>-0.13203837344030342</c:v>
                </c:pt>
                <c:pt idx="665">
                  <c:v>-0.12540362692997867</c:v>
                </c:pt>
                <c:pt idx="666">
                  <c:v>-0.11930678183648978</c:v>
                </c:pt>
                <c:pt idx="667">
                  <c:v>-0.11374586523968902</c:v>
                </c:pt>
                <c:pt idx="668">
                  <c:v>-0.10871902316398403</c:v>
                </c:pt>
                <c:pt idx="669">
                  <c:v>-0.10422451531714579</c:v>
                </c:pt>
                <c:pt idx="670">
                  <c:v>-0.10026070938764498</c:v>
                </c:pt>
                <c:pt idx="671">
                  <c:v>-9.6826074868513537E-2</c:v>
                </c:pt>
                <c:pt idx="672">
                  <c:v>-9.3919176386330391E-2</c:v>
                </c:pt>
                <c:pt idx="673">
                  <c:v>-9.15386665283527E-2</c:v>
                </c:pt>
                <c:pt idx="674">
                  <c:v>-8.9683278178918496E-2</c:v>
                </c:pt>
                <c:pt idx="675">
                  <c:v>-8.8351816397384361E-2</c:v>
                </c:pt>
                <c:pt idx="676">
                  <c:v>-8.7543149892796338E-2</c:v>
                </c:pt>
                <c:pt idx="677">
                  <c:v>-8.7256202173440073E-2</c:v>
                </c:pt>
                <c:pt idx="678">
                  <c:v>-8.7489942470217408E-2</c:v>
                </c:pt>
                <c:pt idx="679">
                  <c:v>-8.8243376549204028E-2</c:v>
                </c:pt>
                <c:pt idx="680">
                  <c:v>-8.9515537538823603E-2</c:v>
                </c:pt>
                <c:pt idx="681">
                  <c:v>-9.1305476899565544E-2</c:v>
                </c:pt>
                <c:pt idx="682">
                  <c:v>-9.3612255658757637E-2</c:v>
                </c:pt>
                <c:pt idx="683">
                  <c:v>-9.6434936020270465E-2</c:v>
                </c:pt>
                <c:pt idx="684">
                  <c:v>-9.9772573440729317E-2</c:v>
                </c:pt>
                <c:pt idx="685">
                  <c:v>-0.10362420924194209</c:v>
                </c:pt>
                <c:pt idx="686">
                  <c:v>-0.10798886380608178</c:v>
                </c:pt>
                <c:pt idx="687">
                  <c:v>-0.11286553037774311</c:v>
                </c:pt>
                <c:pt idx="688">
                  <c:v>-0.11825316947692525</c:v>
                </c:pt>
                <c:pt idx="689">
                  <c:v>-0.12415070391028729</c:v>
                </c:pt>
                <c:pt idx="690">
                  <c:v>-0.13055701435513675</c:v>
                </c:pt>
                <c:pt idx="691">
                  <c:v>-0.13747093548150588</c:v>
                </c:pt>
                <c:pt idx="692">
                  <c:v>-0.14489125257200067</c:v>
                </c:pt>
                <c:pt idx="693">
                  <c:v>-0.15281669859631702</c:v>
                </c:pt>
                <c:pt idx="694">
                  <c:v>-0.16124595169679637</c:v>
                </c:pt>
                <c:pt idx="695">
                  <c:v>-0.170177633042536</c:v>
                </c:pt>
                <c:pt idx="696">
                  <c:v>-0.17961030501185049</c:v>
                </c:pt>
                <c:pt idx="697">
                  <c:v>-0.18954246966585242</c:v>
                </c:pt>
                <c:pt idx="698">
                  <c:v>-0.19997256747925565</c:v>
                </c:pt>
                <c:pt idx="699">
                  <c:v>-0.21089897629794088</c:v>
                </c:pt>
                <c:pt idx="700">
                  <c:v>-0.22232001049619299</c:v>
                </c:pt>
                <c:pt idx="701">
                  <c:v>-0.23423392030971282</c:v>
                </c:pt>
                <c:pt idx="702">
                  <c:v>-0.24663889132345054</c:v>
                </c:pt>
                <c:pt idx="703">
                  <c:v>-0.25953304409597699</c:v>
                </c:pt>
                <c:pt idx="704">
                  <c:v>-0.27291443390449832</c:v>
                </c:pt>
                <c:pt idx="705">
                  <c:v>-0.28678105059672382</c:v>
                </c:pt>
                <c:pt idx="706">
                  <c:v>-0.30113081853764484</c:v>
                </c:pt>
                <c:pt idx="707">
                  <c:v>-0.31596159664089546</c:v>
                </c:pt>
                <c:pt idx="708">
                  <c:v>-0.33127117847575299</c:v>
                </c:pt>
                <c:pt idx="709">
                  <c:v>-0.34705729244204675</c:v>
                </c:pt>
                <c:pt idx="710">
                  <c:v>-0.36331760200627122</c:v>
                </c:pt>
                <c:pt idx="711">
                  <c:v>-0.38004970599309651</c:v>
                </c:pt>
                <c:pt idx="712">
                  <c:v>-0.39725113892722835</c:v>
                </c:pt>
                <c:pt idx="713">
                  <c:v>-0.41491937142122171</c:v>
                </c:pt>
                <c:pt idx="714">
                  <c:v>-0.43305181060541648</c:v>
                </c:pt>
                <c:pt idx="715">
                  <c:v>-0.45164580059664011</c:v>
                </c:pt>
                <c:pt idx="716">
                  <c:v>-0.47069862300273496</c:v>
                </c:pt>
                <c:pt idx="717">
                  <c:v>-0.490207497460318</c:v>
                </c:pt>
                <c:pt idx="718">
                  <c:v>-0.51016958220348163</c:v>
                </c:pt>
                <c:pt idx="719">
                  <c:v>-0.53058197466140944</c:v>
                </c:pt>
                <c:pt idx="720">
                  <c:v>-0.55144171208309378</c:v>
                </c:pt>
                <c:pt idx="721">
                  <c:v>-0.57274577218754008</c:v>
                </c:pt>
                <c:pt idx="722">
                  <c:v>-0.59449107383800348</c:v>
                </c:pt>
                <c:pt idx="723">
                  <c:v>-0.6166744777389449</c:v>
                </c:pt>
                <c:pt idx="724">
                  <c:v>-0.63929278715452142</c:v>
                </c:pt>
                <c:pt idx="725">
                  <c:v>-0.66234274864751785</c:v>
                </c:pt>
                <c:pt idx="726">
                  <c:v>-0.68582105283773087</c:v>
                </c:pt>
                <c:pt idx="727">
                  <c:v>-0.70972433517888955</c:v>
                </c:pt>
                <c:pt idx="728">
                  <c:v>-0.73404917675326198</c:v>
                </c:pt>
                <c:pt idx="729">
                  <c:v>-0.75879210508315709</c:v>
                </c:pt>
                <c:pt idx="730">
                  <c:v>-0.78394959495858807</c:v>
                </c:pt>
                <c:pt idx="731">
                  <c:v>-0.80951806928039993</c:v>
                </c:pt>
                <c:pt idx="732">
                  <c:v>-0.83549389991820111</c:v>
                </c:pt>
                <c:pt idx="733">
                  <c:v>-0.86187340858248385</c:v>
                </c:pt>
                <c:pt idx="734">
                  <c:v>-0.88865286771033336</c:v>
                </c:pt>
                <c:pt idx="735">
                  <c:v>-0.91582850136415617</c:v>
                </c:pt>
                <c:pt idx="736">
                  <c:v>-0.9433964861428864</c:v>
                </c:pt>
                <c:pt idx="737">
                  <c:v>-0.97135295210513284</c:v>
                </c:pt>
                <c:pt idx="738">
                  <c:v>-0.99969398370376361</c:v>
                </c:pt>
                <c:pt idx="739">
                  <c:v>-1.0284156207314252</c:v>
                </c:pt>
                <c:pt idx="740">
                  <c:v>-1.0575138592765136</c:v>
                </c:pt>
                <c:pt idx="741">
                  <c:v>-1.0869846526891243</c:v>
                </c:pt>
                <c:pt idx="742">
                  <c:v>-1.116823912556514</c:v>
                </c:pt>
                <c:pt idx="743">
                  <c:v>-1.1470275096876257</c:v>
                </c:pt>
                <c:pt idx="744">
                  <c:v>-1.1775912751062174</c:v>
                </c:pt>
                <c:pt idx="745">
                  <c:v>-1.208511001052168</c:v>
                </c:pt>
                <c:pt idx="746">
                  <c:v>-1.2397824419905095</c:v>
                </c:pt>
                <c:pt idx="747">
                  <c:v>-1.2714013156277613</c:v>
                </c:pt>
                <c:pt idx="748">
                  <c:v>-1.3033633039351515</c:v>
                </c:pt>
                <c:pt idx="749">
                  <c:v>-1.3356640541782761</c:v>
                </c:pt>
                <c:pt idx="750">
                  <c:v>-1.368299179952811</c:v>
                </c:pt>
                <c:pt idx="751">
                  <c:v>-1.4012642622258311</c:v>
                </c:pt>
                <c:pt idx="752">
                  <c:v>-1.4345548503823471</c:v>
                </c:pt>
                <c:pt idx="753">
                  <c:v>-1.4681664632766414</c:v>
                </c:pt>
                <c:pt idx="754">
                  <c:v>-1.5020945902879919</c:v>
                </c:pt>
                <c:pt idx="755">
                  <c:v>-1.5363346923803967</c:v>
                </c:pt>
                <c:pt idx="756">
                  <c:v>-1.5708822031658722</c:v>
                </c:pt>
                <c:pt idx="757">
                  <c:v>-1.6057325299709524</c:v>
                </c:pt>
                <c:pt idx="758">
                  <c:v>-1.6408810549059745</c:v>
                </c:pt>
                <c:pt idx="759">
                  <c:v>-1.6763231359367594</c:v>
                </c:pt>
                <c:pt idx="760">
                  <c:v>-1.7120541079583007</c:v>
                </c:pt>
                <c:pt idx="761">
                  <c:v>-1.7480692838700651</c:v>
                </c:pt>
                <c:pt idx="762">
                  <c:v>-1.7843639556525166</c:v>
                </c:pt>
                <c:pt idx="763">
                  <c:v>-1.82093339544448</c:v>
                </c:pt>
                <c:pt idx="764">
                  <c:v>-1.8577728566209668</c:v>
                </c:pt>
                <c:pt idx="765">
                  <c:v>-1.8948775748710596</c:v>
                </c:pt>
                <c:pt idx="766">
                  <c:v>-1.9322427692755129</c:v>
                </c:pt>
                <c:pt idx="767">
                  <c:v>-1.9698636433836487</c:v>
                </c:pt>
                <c:pt idx="768">
                  <c:v>-2.0077353862892195</c:v>
                </c:pt>
                <c:pt idx="769">
                  <c:v>-2.0458531737048298</c:v>
                </c:pt>
                <c:pt idx="770">
                  <c:v>-2.0842121690345663</c:v>
                </c:pt>
                <c:pt idx="771">
                  <c:v>-2.1228075244444748</c:v>
                </c:pt>
                <c:pt idx="772">
                  <c:v>-2.1616343819305106</c:v>
                </c:pt>
                <c:pt idx="773">
                  <c:v>-2.2006878743835991</c:v>
                </c:pt>
                <c:pt idx="774">
                  <c:v>-2.2399631266514786</c:v>
                </c:pt>
                <c:pt idx="775">
                  <c:v>-2.2794552565969353</c:v>
                </c:pt>
                <c:pt idx="776">
                  <c:v>-2.3191593761521121</c:v>
                </c:pt>
                <c:pt idx="777">
                  <c:v>-2.3590705923685227</c:v>
                </c:pt>
                <c:pt idx="778">
                  <c:v>-2.3991840084624538</c:v>
                </c:pt>
                <c:pt idx="779">
                  <c:v>-2.4394947248553875</c:v>
                </c:pt>
                <c:pt idx="780">
                  <c:v>-2.4799978402091445</c:v>
                </c:pt>
                <c:pt idx="781">
                  <c:v>-2.5206884524553885</c:v>
                </c:pt>
                <c:pt idx="782">
                  <c:v>-2.5615616598191893</c:v>
                </c:pt>
                <c:pt idx="783">
                  <c:v>-2.6026125618363003</c:v>
                </c:pt>
                <c:pt idx="784">
                  <c:v>-2.6438362603638645</c:v>
                </c:pt>
                <c:pt idx="785">
                  <c:v>-2.685227860584209</c:v>
                </c:pt>
                <c:pt idx="786">
                  <c:v>-2.7267824720014349</c:v>
                </c:pt>
                <c:pt idx="787">
                  <c:v>-2.7684952094305029</c:v>
                </c:pt>
                <c:pt idx="788">
                  <c:v>-2.8103611939785091</c:v>
                </c:pt>
                <c:pt idx="789">
                  <c:v>-2.8523755540178701</c:v>
                </c:pt>
                <c:pt idx="790">
                  <c:v>-2.8945334261511135</c:v>
                </c:pt>
                <c:pt idx="791">
                  <c:v>-2.9368299561670153</c:v>
                </c:pt>
                <c:pt idx="792">
                  <c:v>-2.9792602999877924</c:v>
                </c:pt>
                <c:pt idx="793">
                  <c:v>-3.0218196246070801</c:v>
                </c:pt>
                <c:pt idx="794">
                  <c:v>-3.0645031090184442</c:v>
                </c:pt>
                <c:pt idx="795">
                  <c:v>-3.1073059451341534</c:v>
                </c:pt>
                <c:pt idx="796">
                  <c:v>-3.1502233386939631</c:v>
                </c:pt>
                <c:pt idx="797">
                  <c:v>-3.1932505101636757</c:v>
                </c:pt>
                <c:pt idx="798">
                  <c:v>-3.2363826956232198</c:v>
                </c:pt>
                <c:pt idx="799">
                  <c:v>-3.2796151476440243</c:v>
                </c:pt>
                <c:pt idx="800">
                  <c:v>-3.3229431361554482</c:v>
                </c:pt>
                <c:pt idx="801">
                  <c:v>-3.366361949300066</c:v>
                </c:pt>
                <c:pt idx="802">
                  <c:v>-3.4098668942775672</c:v>
                </c:pt>
                <c:pt idx="803">
                  <c:v>-3.45345329817708</c:v>
                </c:pt>
                <c:pt idx="804">
                  <c:v>-3.4971165087976992</c:v>
                </c:pt>
                <c:pt idx="805">
                  <c:v>-3.5408518954570396</c:v>
                </c:pt>
                <c:pt idx="806">
                  <c:v>-3.5846548497876189</c:v>
                </c:pt>
                <c:pt idx="807">
                  <c:v>-3.6285207865208742</c:v>
                </c:pt>
                <c:pt idx="808">
                  <c:v>-3.6724451442586705</c:v>
                </c:pt>
                <c:pt idx="809">
                  <c:v>-3.7164233862320728</c:v>
                </c:pt>
                <c:pt idx="810">
                  <c:v>-3.7604510010472936</c:v>
                </c:pt>
                <c:pt idx="811">
                  <c:v>-3.8045235034186029</c:v>
                </c:pt>
                <c:pt idx="812">
                  <c:v>-3.8486364348880677</c:v>
                </c:pt>
                <c:pt idx="813">
                  <c:v>-3.8927853645319916</c:v>
                </c:pt>
                <c:pt idx="814">
                  <c:v>-3.9369658896539108</c:v>
                </c:pt>
                <c:pt idx="815">
                  <c:v>-3.9811736364640091</c:v>
                </c:pt>
                <c:pt idx="816">
                  <c:v>-4.0254042607448479</c:v>
                </c:pt>
                <c:pt idx="817">
                  <c:v>-4.0696534485032947</c:v>
                </c:pt>
                <c:pt idx="818">
                  <c:v>-4.1139169166085159</c:v>
                </c:pt>
                <c:pt idx="819">
                  <c:v>-4.1581904134159862</c:v>
                </c:pt>
                <c:pt idx="820">
                  <c:v>-4.202469719377361</c:v>
                </c:pt>
                <c:pt idx="821">
                  <c:v>-4.2467506476361816</c:v>
                </c:pt>
                <c:pt idx="822">
                  <c:v>-4.2910290446092851</c:v>
                </c:pt>
                <c:pt idx="823">
                  <c:v>-4.3353007905538874</c:v>
                </c:pt>
                <c:pt idx="824">
                  <c:v>-4.379561800120249</c:v>
                </c:pt>
                <c:pt idx="825">
                  <c:v>-4.4238080228898751</c:v>
                </c:pt>
                <c:pt idx="826">
                  <c:v>-4.4680354438991809</c:v>
                </c:pt>
                <c:pt idx="827">
                  <c:v>-4.5122400841486296</c:v>
                </c:pt>
                <c:pt idx="828">
                  <c:v>-4.556418001097212</c:v>
                </c:pt>
                <c:pt idx="829">
                  <c:v>-4.6005652891423496</c:v>
                </c:pt>
                <c:pt idx="830">
                  <c:v>-4.6446780800850931</c:v>
                </c:pt>
                <c:pt idx="831">
                  <c:v>-4.6887525435806836</c:v>
                </c:pt>
                <c:pt idx="832">
                  <c:v>-4.7327848875743843</c:v>
                </c:pt>
                <c:pt idx="833">
                  <c:v>-4.7767713587226543</c:v>
                </c:pt>
                <c:pt idx="834">
                  <c:v>-4.8207082427996228</c:v>
                </c:pt>
                <c:pt idx="835">
                  <c:v>-4.8645918650888627</c:v>
                </c:pt>
                <c:pt idx="836">
                  <c:v>-4.9084185907605153</c:v>
                </c:pt>
                <c:pt idx="837">
                  <c:v>-4.9521848252337728</c:v>
                </c:pt>
                <c:pt idx="838">
                  <c:v>-4.9958870145246985</c:v>
                </c:pt>
                <c:pt idx="839">
                  <c:v>-5.0395216455795291</c:v>
                </c:pt>
                <c:pt idx="840">
                  <c:v>-5.0830852465933409</c:v>
                </c:pt>
                <c:pt idx="841">
                  <c:v>-5.126574387314295</c:v>
                </c:pt>
                <c:pt idx="842">
                  <c:v>-5.1699856793333749</c:v>
                </c:pt>
                <c:pt idx="843">
                  <c:v>-5.2133157763597415</c:v>
                </c:pt>
                <c:pt idx="844">
                  <c:v>-5.2565613744817599</c:v>
                </c:pt>
                <c:pt idx="845">
                  <c:v>-5.2997192124137555</c:v>
                </c:pt>
                <c:pt idx="846">
                  <c:v>-5.3427860717285682</c:v>
                </c:pt>
                <c:pt idx="847">
                  <c:v>-5.3857587770760036</c:v>
                </c:pt>
                <c:pt idx="848">
                  <c:v>-5.4286341963872395</c:v>
                </c:pt>
                <c:pt idx="849">
                  <c:v>-5.4714092410652997</c:v>
                </c:pt>
                <c:pt idx="850">
                  <c:v>-5.5140808661616791</c:v>
                </c:pt>
                <c:pt idx="851">
                  <c:v>-5.5566460705391867</c:v>
                </c:pt>
                <c:pt idx="852">
                  <c:v>-5.5991018970212156</c:v>
                </c:pt>
                <c:pt idx="853">
                  <c:v>-5.6414454325273864</c:v>
                </c:pt>
                <c:pt idx="854">
                  <c:v>-5.683673808195838</c:v>
                </c:pt>
                <c:pt idx="855">
                  <c:v>-5.725784199492157</c:v>
                </c:pt>
                <c:pt idx="856">
                  <c:v>-5.767773826305155</c:v>
                </c:pt>
                <c:pt idx="857">
                  <c:v>-5.8096399530295821</c:v>
                </c:pt>
                <c:pt idx="858">
                  <c:v>-5.8513798886358872</c:v>
                </c:pt>
                <c:pt idx="859">
                  <c:v>-5.8929909867272192</c:v>
                </c:pt>
                <c:pt idx="860">
                  <c:v>-5.9344706455837342</c:v>
                </c:pt>
                <c:pt idx="861">
                  <c:v>-5.9758163081944078</c:v>
                </c:pt>
                <c:pt idx="862">
                  <c:v>-6.0170254622764885</c:v>
                </c:pt>
                <c:pt idx="863">
                  <c:v>-6.0580956402826818</c:v>
                </c:pt>
                <c:pt idx="864">
                  <c:v>-6.0990244193963221</c:v>
                </c:pt>
                <c:pt idx="865">
                  <c:v>-6.1398094215145873</c:v>
                </c:pt>
                <c:pt idx="866">
                  <c:v>-6.1804483132199906</c:v>
                </c:pt>
                <c:pt idx="867">
                  <c:v>-6.2209388057402402</c:v>
                </c:pt>
                <c:pt idx="868">
                  <c:v>-6.2612786548967057</c:v>
                </c:pt>
                <c:pt idx="869">
                  <c:v>-6.3014656610415924</c:v>
                </c:pt>
                <c:pt idx="870">
                  <c:v>-6.3414976689840579</c:v>
                </c:pt>
                <c:pt idx="871">
                  <c:v>-6.3813725679053492</c:v>
                </c:pt>
                <c:pt idx="872">
                  <c:v>-6.4210882912632563</c:v>
                </c:pt>
                <c:pt idx="873">
                  <c:v>-6.4606428166859509</c:v>
                </c:pt>
                <c:pt idx="874">
                  <c:v>-6.5000341658554479</c:v>
                </c:pt>
                <c:pt idx="875">
                  <c:v>-6.5392604043808635</c:v>
                </c:pt>
                <c:pt idx="876">
                  <c:v>-6.5783196416616425</c:v>
                </c:pt>
                <c:pt idx="877">
                  <c:v>-6.6172100307409005</c:v>
                </c:pt>
                <c:pt idx="878">
                  <c:v>-6.65592976814919</c:v>
                </c:pt>
                <c:pt idx="879">
                  <c:v>-6.6944770937387057</c:v>
                </c:pt>
                <c:pt idx="880">
                  <c:v>-6.7328502905082628</c:v>
                </c:pt>
                <c:pt idx="881">
                  <c:v>-6.7710476844191687</c:v>
                </c:pt>
                <c:pt idx="882">
                  <c:v>-6.8090676442021829</c:v>
                </c:pt>
                <c:pt idx="883">
                  <c:v>-6.8469085811557555</c:v>
                </c:pt>
                <c:pt idx="884">
                  <c:v>-6.8845689489357875</c:v>
                </c:pt>
                <c:pt idx="885">
                  <c:v>-6.9220472433370368</c:v>
                </c:pt>
                <c:pt idx="886">
                  <c:v>-6.9593420020663785</c:v>
                </c:pt>
                <c:pt idx="887">
                  <c:v>-6.9964518045081556</c:v>
                </c:pt>
                <c:pt idx="888">
                  <c:v>-7.0333752714817876</c:v>
                </c:pt>
                <c:pt idx="889">
                  <c:v>-7.07011106499181</c:v>
                </c:pt>
                <c:pt idx="890">
                  <c:v>-7.1066578879705951</c:v>
                </c:pt>
                <c:pt idx="891">
                  <c:v>-7.1430144840138761</c:v>
                </c:pt>
                <c:pt idx="892">
                  <c:v>-7.1791796371093541</c:v>
                </c:pt>
                <c:pt idx="893">
                  <c:v>-7.2151521713584952</c:v>
                </c:pt>
                <c:pt idx="894">
                  <c:v>-7.2509309506918003</c:v>
                </c:pt>
                <c:pt idx="895">
                  <c:v>-7.2865148785776848</c:v>
                </c:pt>
                <c:pt idx="896">
                  <c:v>-7.321902897725157</c:v>
                </c:pt>
                <c:pt idx="897">
                  <c:v>-7.357093989780525</c:v>
                </c:pt>
                <c:pt idx="898">
                  <c:v>-7.3920871750183412</c:v>
                </c:pt>
                <c:pt idx="899">
                  <c:v>-7.4268815120266751</c:v>
                </c:pt>
                <c:pt idx="900">
                  <c:v>-7.4614760973870347</c:v>
                </c:pt>
                <c:pt idx="901">
                  <c:v>-7.4958700653490533</c:v>
                </c:pt>
                <c:pt idx="902">
                  <c:v>-7.5300625875001428</c:v>
                </c:pt>
                <c:pt idx="903">
                  <c:v>-7.564052872430306</c:v>
                </c:pt>
                <c:pt idx="904">
                  <c:v>-7.5978401653922889</c:v>
                </c:pt>
                <c:pt idx="905">
                  <c:v>-7.6314237479572977</c:v>
                </c:pt>
                <c:pt idx="906">
                  <c:v>-7.6648029376663906</c:v>
                </c:pt>
                <c:pt idx="907">
                  <c:v>-7.6979770876778222</c:v>
                </c:pt>
                <c:pt idx="908">
                  <c:v>-7.7309455864104102</c:v>
                </c:pt>
                <c:pt idx="909">
                  <c:v>-7.7637078571832481</c:v>
                </c:pt>
                <c:pt idx="910">
                  <c:v>-7.7962633578517755</c:v>
                </c:pt>
                <c:pt idx="911">
                  <c:v>-7.8286115804405521</c:v>
                </c:pt>
                <c:pt idx="912">
                  <c:v>-7.8607520507727786</c:v>
                </c:pt>
                <c:pt idx="913">
                  <c:v>-7.8926843280968031</c:v>
                </c:pt>
                <c:pt idx="914">
                  <c:v>-7.9244080047097896</c:v>
                </c:pt>
                <c:pt idx="915">
                  <c:v>-7.9559227055786899</c:v>
                </c:pt>
                <c:pt idx="916">
                  <c:v>-7.9872280879586937</c:v>
                </c:pt>
                <c:pt idx="917">
                  <c:v>-8.0183238410093516</c:v>
                </c:pt>
                <c:pt idx="918">
                  <c:v>-8.049209685408492</c:v>
                </c:pt>
                <c:pt idx="919">
                  <c:v>-8.0798853729641618</c:v>
                </c:pt>
                <c:pt idx="920">
                  <c:v>-8.1103506862246082</c:v>
                </c:pt>
                <c:pt idx="921">
                  <c:v>-8.1406054380867143</c:v>
                </c:pt>
                <c:pt idx="922">
                  <c:v>-8.1706494714027293</c:v>
                </c:pt>
                <c:pt idx="923">
                  <c:v>-8.2004826585857185</c:v>
                </c:pt>
                <c:pt idx="924">
                  <c:v>-8.2301049012137266</c:v>
                </c:pt>
                <c:pt idx="925">
                  <c:v>-8.2595161296328641</c:v>
                </c:pt>
                <c:pt idx="926">
                  <c:v>-8.2887163025594504</c:v>
                </c:pt>
                <c:pt idx="927">
                  <c:v>-8.317705406681343</c:v>
                </c:pt>
                <c:pt idx="928">
                  <c:v>-8.3464834562586674</c:v>
                </c:pt>
                <c:pt idx="929">
                  <c:v>-8.3750504927239362</c:v>
                </c:pt>
                <c:pt idx="930">
                  <c:v>-8.4034065842818979</c:v>
                </c:pt>
                <c:pt idx="931">
                  <c:v>-8.4315518255090698</c:v>
                </c:pt>
                <c:pt idx="932">
                  <c:v>-8.4594863369531872</c:v>
                </c:pt>
                <c:pt idx="933">
                  <c:v>-8.4872102647326724</c:v>
                </c:pt>
                <c:pt idx="934">
                  <c:v>-8.514723780136265</c:v>
                </c:pt>
                <c:pt idx="935">
                  <c:v>-8.5420270792229154</c:v>
                </c:pt>
                <c:pt idx="936">
                  <c:v>-8.5691203824220405</c:v>
                </c:pt>
                <c:pt idx="937">
                  <c:v>-8.5960039341343855</c:v>
                </c:pt>
                <c:pt idx="938">
                  <c:v>-8.6226780023334353</c:v>
                </c:pt>
                <c:pt idx="939">
                  <c:v>-8.6491428781676127</c:v>
                </c:pt>
                <c:pt idx="940">
                  <c:v>-8.6753988755633511</c:v>
                </c:pt>
                <c:pt idx="941">
                  <c:v>-8.7014463308291123</c:v>
                </c:pt>
                <c:pt idx="942">
                  <c:v>-8.7272856022605119</c:v>
                </c:pt>
                <c:pt idx="943">
                  <c:v>-8.7529170697466014</c:v>
                </c:pt>
                <c:pt idx="944">
                  <c:v>-8.7783411343774738</c:v>
                </c:pt>
                <c:pt idx="945">
                  <c:v>-8.8035582180532543</c:v>
                </c:pt>
                <c:pt idx="946">
                  <c:v>-8.828568763094518</c:v>
                </c:pt>
                <c:pt idx="947">
                  <c:v>-8.8285935309754695</c:v>
                </c:pt>
                <c:pt idx="948">
                  <c:v>-8.8286182986523372</c:v>
                </c:pt>
                <c:pt idx="949">
                  <c:v>-8.8286430661251067</c:v>
                </c:pt>
                <c:pt idx="950">
                  <c:v>-8.8286678333937942</c:v>
                </c:pt>
                <c:pt idx="951">
                  <c:v>-8.8286926004583837</c:v>
                </c:pt>
                <c:pt idx="952">
                  <c:v>-8.8287173673188875</c:v>
                </c:pt>
                <c:pt idx="953">
                  <c:v>-8.8287421339753056</c:v>
                </c:pt>
                <c:pt idx="954">
                  <c:v>-8.8287669004276328</c:v>
                </c:pt>
                <c:pt idx="955">
                  <c:v>-8.8287916666758743</c:v>
                </c:pt>
                <c:pt idx="956">
                  <c:v>-8.8288164327200267</c:v>
                </c:pt>
                <c:pt idx="957">
                  <c:v>-8.8288411985600934</c:v>
                </c:pt>
                <c:pt idx="958">
                  <c:v>-8.8288659641960763</c:v>
                </c:pt>
                <c:pt idx="959">
                  <c:v>-8.8288907296279699</c:v>
                </c:pt>
                <c:pt idx="960">
                  <c:v>-8.8289154948557833</c:v>
                </c:pt>
                <c:pt idx="961">
                  <c:v>-8.8289402598795093</c:v>
                </c:pt>
                <c:pt idx="962">
                  <c:v>-8.8289650246991478</c:v>
                </c:pt>
                <c:pt idx="963">
                  <c:v>-8.8289897893147078</c:v>
                </c:pt>
                <c:pt idx="964">
                  <c:v>-8.8290145537261804</c:v>
                </c:pt>
                <c:pt idx="965">
                  <c:v>-8.8290393179335744</c:v>
                </c:pt>
                <c:pt idx="966">
                  <c:v>-8.8290640819368846</c:v>
                </c:pt>
                <c:pt idx="967">
                  <c:v>-8.8290888457361145</c:v>
                </c:pt>
                <c:pt idx="968">
                  <c:v>-8.8291136093312588</c:v>
                </c:pt>
                <c:pt idx="969">
                  <c:v>-8.829138372722328</c:v>
                </c:pt>
                <c:pt idx="970">
                  <c:v>-8.8291631359093099</c:v>
                </c:pt>
                <c:pt idx="971">
                  <c:v>-8.829187898892215</c:v>
                </c:pt>
                <c:pt idx="972">
                  <c:v>-8.8292126616710451</c:v>
                </c:pt>
                <c:pt idx="973">
                  <c:v>-8.8292374242457861</c:v>
                </c:pt>
                <c:pt idx="974">
                  <c:v>-8.8292621866164591</c:v>
                </c:pt>
                <c:pt idx="975">
                  <c:v>-8.8292869487830501</c:v>
                </c:pt>
                <c:pt idx="976">
                  <c:v>-8.8293117107455661</c:v>
                </c:pt>
                <c:pt idx="977">
                  <c:v>-8.8293364725039982</c:v>
                </c:pt>
                <c:pt idx="978">
                  <c:v>-8.8293612340583572</c:v>
                </c:pt>
                <c:pt idx="979">
                  <c:v>-8.8293859954086411</c:v>
                </c:pt>
                <c:pt idx="980">
                  <c:v>-8.8294107565548483</c:v>
                </c:pt>
                <c:pt idx="981">
                  <c:v>-8.8294355174969805</c:v>
                </c:pt>
                <c:pt idx="982">
                  <c:v>-8.8294602782350395</c:v>
                </c:pt>
                <c:pt idx="983">
                  <c:v>-8.8294850387690182</c:v>
                </c:pt>
                <c:pt idx="984">
                  <c:v>-8.8295097990989326</c:v>
                </c:pt>
                <c:pt idx="985">
                  <c:v>-8.8295345592247685</c:v>
                </c:pt>
                <c:pt idx="986">
                  <c:v>-8.8295593191465329</c:v>
                </c:pt>
                <c:pt idx="987">
                  <c:v>-8.8295840788642224</c:v>
                </c:pt>
                <c:pt idx="988">
                  <c:v>-8.8296088383778422</c:v>
                </c:pt>
                <c:pt idx="989">
                  <c:v>-8.8296335976873959</c:v>
                </c:pt>
                <c:pt idx="990">
                  <c:v>-8.8296583567928693</c:v>
                </c:pt>
                <c:pt idx="991">
                  <c:v>-8.8296831156942766</c:v>
                </c:pt>
                <c:pt idx="992">
                  <c:v>-8.8297078743916106</c:v>
                </c:pt>
                <c:pt idx="993">
                  <c:v>-8.8297326328848786</c:v>
                </c:pt>
                <c:pt idx="994">
                  <c:v>-8.8297573911740734</c:v>
                </c:pt>
                <c:pt idx="995">
                  <c:v>-8.8297821492592039</c:v>
                </c:pt>
                <c:pt idx="996">
                  <c:v>-8.8298069071402647</c:v>
                </c:pt>
                <c:pt idx="997">
                  <c:v>-8.8298316648172523</c:v>
                </c:pt>
                <c:pt idx="998">
                  <c:v>-8.8298564222901845</c:v>
                </c:pt>
                <c:pt idx="999">
                  <c:v>-8.8298811795590399</c:v>
                </c:pt>
                <c:pt idx="1000">
                  <c:v>-8.8299059366238275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4C-DF48-ADA1-B093CE44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53360"/>
        <c:axId val="1"/>
      </c:scatterChart>
      <c:valAx>
        <c:axId val="18059533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Accélérations [m/s²]_</a:t>
                </a:r>
              </a:p>
            </c:rich>
          </c:tx>
          <c:layout>
            <c:manualLayout>
              <c:xMode val="edge"/>
              <c:yMode val="edge"/>
              <c:x val="2.7122641509433963E-2"/>
              <c:y val="0.2973865266841644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5953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491258030774126"/>
          <c:y val="0.25214561439489114"/>
          <c:w val="0.28593070606586024"/>
          <c:h val="0.153851561325696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Positions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674528301886802"/>
          <c:y val="9.4771544282144501E-2"/>
          <c:w val="0.86438679245283023"/>
          <c:h val="0.738564448543608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Courbes!$B$144</c:f>
              <c:strCache>
                <c:ptCount val="1"/>
                <c:pt idx="0">
                  <c:v>Portée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5.0999999999999375</c:v>
                </c:pt>
                <c:pt idx="502">
                  <c:v>5.1999999999999371</c:v>
                </c:pt>
                <c:pt idx="503">
                  <c:v>5.2999999999999368</c:v>
                </c:pt>
                <c:pt idx="504">
                  <c:v>5.3999999999999364</c:v>
                </c:pt>
                <c:pt idx="505">
                  <c:v>5.4999999999999361</c:v>
                </c:pt>
                <c:pt idx="506">
                  <c:v>5.5999999999999357</c:v>
                </c:pt>
                <c:pt idx="507">
                  <c:v>5.6999999999999353</c:v>
                </c:pt>
                <c:pt idx="508">
                  <c:v>5.799999999999935</c:v>
                </c:pt>
                <c:pt idx="509">
                  <c:v>5.8999999999999346</c:v>
                </c:pt>
                <c:pt idx="510">
                  <c:v>5.9999999999999343</c:v>
                </c:pt>
                <c:pt idx="511">
                  <c:v>6.0999999999999339</c:v>
                </c:pt>
                <c:pt idx="512">
                  <c:v>6.1999999999999336</c:v>
                </c:pt>
                <c:pt idx="513">
                  <c:v>6.2999999999999332</c:v>
                </c:pt>
                <c:pt idx="514">
                  <c:v>6.3999999999999329</c:v>
                </c:pt>
                <c:pt idx="515">
                  <c:v>6.4999999999999325</c:v>
                </c:pt>
                <c:pt idx="516">
                  <c:v>6.5999999999999321</c:v>
                </c:pt>
                <c:pt idx="517">
                  <c:v>6.6999999999999318</c:v>
                </c:pt>
                <c:pt idx="518">
                  <c:v>6.7999999999999314</c:v>
                </c:pt>
                <c:pt idx="519">
                  <c:v>6.8999999999999311</c:v>
                </c:pt>
                <c:pt idx="520">
                  <c:v>6.9999999999999307</c:v>
                </c:pt>
                <c:pt idx="521">
                  <c:v>7.0999999999999304</c:v>
                </c:pt>
                <c:pt idx="522">
                  <c:v>7.19999999999993</c:v>
                </c:pt>
                <c:pt idx="523">
                  <c:v>7.2999999999999297</c:v>
                </c:pt>
                <c:pt idx="524">
                  <c:v>7.3999999999999293</c:v>
                </c:pt>
                <c:pt idx="525">
                  <c:v>7.4999999999999289</c:v>
                </c:pt>
                <c:pt idx="526">
                  <c:v>7.5999999999999286</c:v>
                </c:pt>
                <c:pt idx="527">
                  <c:v>7.6999999999999282</c:v>
                </c:pt>
                <c:pt idx="528">
                  <c:v>7.7999999999999279</c:v>
                </c:pt>
                <c:pt idx="529">
                  <c:v>7.8999999999999275</c:v>
                </c:pt>
                <c:pt idx="530">
                  <c:v>7.9999999999999272</c:v>
                </c:pt>
                <c:pt idx="531">
                  <c:v>8.0999999999999268</c:v>
                </c:pt>
                <c:pt idx="532">
                  <c:v>8.1999999999999265</c:v>
                </c:pt>
                <c:pt idx="533">
                  <c:v>8.2999999999999261</c:v>
                </c:pt>
                <c:pt idx="534">
                  <c:v>8.3999999999999257</c:v>
                </c:pt>
                <c:pt idx="535">
                  <c:v>8.4999999999999254</c:v>
                </c:pt>
                <c:pt idx="536">
                  <c:v>8.599999999999925</c:v>
                </c:pt>
                <c:pt idx="537">
                  <c:v>8.6999999999999247</c:v>
                </c:pt>
                <c:pt idx="538">
                  <c:v>8.7999999999999243</c:v>
                </c:pt>
                <c:pt idx="539">
                  <c:v>8.899999999999924</c:v>
                </c:pt>
                <c:pt idx="540">
                  <c:v>8.9999999999999236</c:v>
                </c:pt>
                <c:pt idx="541">
                  <c:v>9.0999999999999233</c:v>
                </c:pt>
                <c:pt idx="542">
                  <c:v>9.1999999999999229</c:v>
                </c:pt>
                <c:pt idx="543">
                  <c:v>9.2999999999999226</c:v>
                </c:pt>
                <c:pt idx="544">
                  <c:v>9.3999999999999222</c:v>
                </c:pt>
                <c:pt idx="545">
                  <c:v>9.4999999999999218</c:v>
                </c:pt>
                <c:pt idx="546">
                  <c:v>9.5999999999999215</c:v>
                </c:pt>
                <c:pt idx="547">
                  <c:v>9.6999999999999211</c:v>
                </c:pt>
                <c:pt idx="548">
                  <c:v>9.7999999999999208</c:v>
                </c:pt>
                <c:pt idx="549">
                  <c:v>9.8999999999999204</c:v>
                </c:pt>
                <c:pt idx="550">
                  <c:v>9.9999999999999201</c:v>
                </c:pt>
                <c:pt idx="551">
                  <c:v>10.09999999999992</c:v>
                </c:pt>
                <c:pt idx="552">
                  <c:v>10.199999999999919</c:v>
                </c:pt>
                <c:pt idx="553">
                  <c:v>10.299999999999919</c:v>
                </c:pt>
                <c:pt idx="554">
                  <c:v>10.399999999999919</c:v>
                </c:pt>
                <c:pt idx="555">
                  <c:v>10.499999999999918</c:v>
                </c:pt>
                <c:pt idx="556">
                  <c:v>10.599999999999918</c:v>
                </c:pt>
                <c:pt idx="557">
                  <c:v>10.699999999999918</c:v>
                </c:pt>
                <c:pt idx="558">
                  <c:v>10.799999999999917</c:v>
                </c:pt>
                <c:pt idx="559">
                  <c:v>10.899999999999917</c:v>
                </c:pt>
                <c:pt idx="560">
                  <c:v>10.999999999999917</c:v>
                </c:pt>
                <c:pt idx="561">
                  <c:v>11.099999999999916</c:v>
                </c:pt>
                <c:pt idx="562">
                  <c:v>11.199999999999916</c:v>
                </c:pt>
                <c:pt idx="563">
                  <c:v>11.299999999999915</c:v>
                </c:pt>
                <c:pt idx="564">
                  <c:v>11.399999999999915</c:v>
                </c:pt>
                <c:pt idx="565">
                  <c:v>11.499999999999915</c:v>
                </c:pt>
                <c:pt idx="566">
                  <c:v>11.599999999999914</c:v>
                </c:pt>
                <c:pt idx="567">
                  <c:v>11.699999999999914</c:v>
                </c:pt>
                <c:pt idx="568">
                  <c:v>11.799999999999914</c:v>
                </c:pt>
                <c:pt idx="569">
                  <c:v>11.899999999999913</c:v>
                </c:pt>
                <c:pt idx="570">
                  <c:v>11.999999999999913</c:v>
                </c:pt>
                <c:pt idx="571">
                  <c:v>12.099999999999913</c:v>
                </c:pt>
                <c:pt idx="572">
                  <c:v>12.199999999999912</c:v>
                </c:pt>
                <c:pt idx="573">
                  <c:v>12.299999999999912</c:v>
                </c:pt>
                <c:pt idx="574">
                  <c:v>12.399999999999912</c:v>
                </c:pt>
                <c:pt idx="575">
                  <c:v>12.499999999999911</c:v>
                </c:pt>
                <c:pt idx="576">
                  <c:v>12.599999999999911</c:v>
                </c:pt>
                <c:pt idx="577">
                  <c:v>12.69999999999991</c:v>
                </c:pt>
                <c:pt idx="578">
                  <c:v>12.79999999999991</c:v>
                </c:pt>
                <c:pt idx="579">
                  <c:v>12.89999999999991</c:v>
                </c:pt>
                <c:pt idx="580">
                  <c:v>12.999999999999909</c:v>
                </c:pt>
                <c:pt idx="581">
                  <c:v>13.099999999999909</c:v>
                </c:pt>
                <c:pt idx="582">
                  <c:v>13.199999999999909</c:v>
                </c:pt>
                <c:pt idx="583">
                  <c:v>13.299999999999908</c:v>
                </c:pt>
                <c:pt idx="584">
                  <c:v>13.399999999999908</c:v>
                </c:pt>
                <c:pt idx="585">
                  <c:v>13.499999999999908</c:v>
                </c:pt>
                <c:pt idx="586">
                  <c:v>13.599999999999907</c:v>
                </c:pt>
                <c:pt idx="587">
                  <c:v>13.699999999999907</c:v>
                </c:pt>
                <c:pt idx="588">
                  <c:v>13.799999999999907</c:v>
                </c:pt>
                <c:pt idx="589">
                  <c:v>13.899999999999906</c:v>
                </c:pt>
                <c:pt idx="590">
                  <c:v>13.999999999999906</c:v>
                </c:pt>
                <c:pt idx="591">
                  <c:v>14.099999999999905</c:v>
                </c:pt>
                <c:pt idx="592">
                  <c:v>14.199999999999905</c:v>
                </c:pt>
                <c:pt idx="593">
                  <c:v>14.299999999999905</c:v>
                </c:pt>
                <c:pt idx="594">
                  <c:v>14.399999999999904</c:v>
                </c:pt>
                <c:pt idx="595">
                  <c:v>14.499999999999904</c:v>
                </c:pt>
                <c:pt idx="596">
                  <c:v>14.599999999999904</c:v>
                </c:pt>
                <c:pt idx="597">
                  <c:v>14.699999999999903</c:v>
                </c:pt>
                <c:pt idx="598">
                  <c:v>14.799999999999903</c:v>
                </c:pt>
                <c:pt idx="599">
                  <c:v>14.899999999999903</c:v>
                </c:pt>
                <c:pt idx="600">
                  <c:v>14.999999999999902</c:v>
                </c:pt>
                <c:pt idx="601">
                  <c:v>15.099999999999902</c:v>
                </c:pt>
                <c:pt idx="602">
                  <c:v>15.199999999999902</c:v>
                </c:pt>
                <c:pt idx="603">
                  <c:v>15.299999999999901</c:v>
                </c:pt>
                <c:pt idx="604">
                  <c:v>15.399999999999901</c:v>
                </c:pt>
                <c:pt idx="605">
                  <c:v>15.499999999999901</c:v>
                </c:pt>
                <c:pt idx="606">
                  <c:v>15.5999999999999</c:v>
                </c:pt>
                <c:pt idx="607">
                  <c:v>15.6999999999999</c:v>
                </c:pt>
                <c:pt idx="608">
                  <c:v>15.799999999999899</c:v>
                </c:pt>
                <c:pt idx="609">
                  <c:v>15.899999999999899</c:v>
                </c:pt>
                <c:pt idx="610">
                  <c:v>15.999999999999899</c:v>
                </c:pt>
                <c:pt idx="611">
                  <c:v>16.099999999999898</c:v>
                </c:pt>
                <c:pt idx="612">
                  <c:v>16.1999999999999</c:v>
                </c:pt>
                <c:pt idx="613">
                  <c:v>16.299999999999901</c:v>
                </c:pt>
                <c:pt idx="614">
                  <c:v>16.399999999999903</c:v>
                </c:pt>
                <c:pt idx="615">
                  <c:v>16.499999999999904</c:v>
                </c:pt>
                <c:pt idx="616">
                  <c:v>16.599999999999905</c:v>
                </c:pt>
                <c:pt idx="617">
                  <c:v>16.699999999999907</c:v>
                </c:pt>
                <c:pt idx="618">
                  <c:v>16.799999999999908</c:v>
                </c:pt>
                <c:pt idx="619">
                  <c:v>16.89999999999991</c:v>
                </c:pt>
                <c:pt idx="620">
                  <c:v>16.999999999999911</c:v>
                </c:pt>
                <c:pt idx="621">
                  <c:v>17.099999999999913</c:v>
                </c:pt>
                <c:pt idx="622">
                  <c:v>17.199999999999914</c:v>
                </c:pt>
                <c:pt idx="623">
                  <c:v>17.299999999999915</c:v>
                </c:pt>
                <c:pt idx="624">
                  <c:v>17.399999999999917</c:v>
                </c:pt>
                <c:pt idx="625">
                  <c:v>17.499999999999918</c:v>
                </c:pt>
                <c:pt idx="626">
                  <c:v>17.59999999999992</c:v>
                </c:pt>
                <c:pt idx="627">
                  <c:v>17.699999999999921</c:v>
                </c:pt>
                <c:pt idx="628">
                  <c:v>17.799999999999923</c:v>
                </c:pt>
                <c:pt idx="629">
                  <c:v>17.899999999999924</c:v>
                </c:pt>
                <c:pt idx="630">
                  <c:v>17.999999999999925</c:v>
                </c:pt>
                <c:pt idx="631">
                  <c:v>18.099999999999927</c:v>
                </c:pt>
                <c:pt idx="632">
                  <c:v>18.199999999999928</c:v>
                </c:pt>
                <c:pt idx="633">
                  <c:v>18.29999999999993</c:v>
                </c:pt>
                <c:pt idx="634">
                  <c:v>18.399999999999931</c:v>
                </c:pt>
                <c:pt idx="635">
                  <c:v>18.499999999999932</c:v>
                </c:pt>
                <c:pt idx="636">
                  <c:v>18.599999999999934</c:v>
                </c:pt>
                <c:pt idx="637">
                  <c:v>18.699999999999935</c:v>
                </c:pt>
                <c:pt idx="638">
                  <c:v>18.799999999999937</c:v>
                </c:pt>
                <c:pt idx="639">
                  <c:v>18.899999999999938</c:v>
                </c:pt>
                <c:pt idx="640">
                  <c:v>18.99999999999994</c:v>
                </c:pt>
                <c:pt idx="641">
                  <c:v>19.099999999999941</c:v>
                </c:pt>
                <c:pt idx="642">
                  <c:v>19.199999999999942</c:v>
                </c:pt>
                <c:pt idx="643">
                  <c:v>19.299999999999944</c:v>
                </c:pt>
                <c:pt idx="644">
                  <c:v>19.399999999999945</c:v>
                </c:pt>
                <c:pt idx="645">
                  <c:v>19.499999999999947</c:v>
                </c:pt>
                <c:pt idx="646">
                  <c:v>19.599999999999948</c:v>
                </c:pt>
                <c:pt idx="647">
                  <c:v>19.69999999999995</c:v>
                </c:pt>
                <c:pt idx="648">
                  <c:v>19.799999999999951</c:v>
                </c:pt>
                <c:pt idx="649">
                  <c:v>19.899999999999952</c:v>
                </c:pt>
                <c:pt idx="650">
                  <c:v>19.999999999999954</c:v>
                </c:pt>
                <c:pt idx="651">
                  <c:v>20.099999999999955</c:v>
                </c:pt>
                <c:pt idx="652">
                  <c:v>20.199999999999957</c:v>
                </c:pt>
                <c:pt idx="653">
                  <c:v>20.299999999999958</c:v>
                </c:pt>
                <c:pt idx="654">
                  <c:v>20.399999999999959</c:v>
                </c:pt>
                <c:pt idx="655">
                  <c:v>20.499999999999961</c:v>
                </c:pt>
                <c:pt idx="656">
                  <c:v>20.599999999999962</c:v>
                </c:pt>
                <c:pt idx="657">
                  <c:v>20.699999999999964</c:v>
                </c:pt>
                <c:pt idx="658">
                  <c:v>20.799999999999965</c:v>
                </c:pt>
                <c:pt idx="659">
                  <c:v>20.899999999999967</c:v>
                </c:pt>
                <c:pt idx="660">
                  <c:v>20.999999999999968</c:v>
                </c:pt>
                <c:pt idx="661">
                  <c:v>21.099999999999969</c:v>
                </c:pt>
                <c:pt idx="662">
                  <c:v>21.199999999999971</c:v>
                </c:pt>
                <c:pt idx="663">
                  <c:v>21.299999999999972</c:v>
                </c:pt>
                <c:pt idx="664">
                  <c:v>21.399999999999974</c:v>
                </c:pt>
                <c:pt idx="665">
                  <c:v>21.499999999999975</c:v>
                </c:pt>
                <c:pt idx="666">
                  <c:v>21.599999999999977</c:v>
                </c:pt>
                <c:pt idx="667">
                  <c:v>21.699999999999978</c:v>
                </c:pt>
                <c:pt idx="668">
                  <c:v>21.799999999999979</c:v>
                </c:pt>
                <c:pt idx="669">
                  <c:v>21.899999999999981</c:v>
                </c:pt>
                <c:pt idx="670">
                  <c:v>21.999999999999982</c:v>
                </c:pt>
                <c:pt idx="671">
                  <c:v>22.099999999999984</c:v>
                </c:pt>
                <c:pt idx="672">
                  <c:v>22.199999999999985</c:v>
                </c:pt>
                <c:pt idx="673">
                  <c:v>22.299999999999986</c:v>
                </c:pt>
                <c:pt idx="674">
                  <c:v>22.399999999999988</c:v>
                </c:pt>
                <c:pt idx="675">
                  <c:v>22.499999999999989</c:v>
                </c:pt>
                <c:pt idx="676">
                  <c:v>22.599999999999991</c:v>
                </c:pt>
                <c:pt idx="677">
                  <c:v>22.699999999999992</c:v>
                </c:pt>
                <c:pt idx="678">
                  <c:v>22.799999999999994</c:v>
                </c:pt>
                <c:pt idx="679">
                  <c:v>22.899999999999995</c:v>
                </c:pt>
                <c:pt idx="680">
                  <c:v>22.999999999999996</c:v>
                </c:pt>
                <c:pt idx="681">
                  <c:v>23.099999999999998</c:v>
                </c:pt>
                <c:pt idx="682">
                  <c:v>23.2</c:v>
                </c:pt>
                <c:pt idx="683">
                  <c:v>23.3</c:v>
                </c:pt>
                <c:pt idx="684">
                  <c:v>23.400000000000002</c:v>
                </c:pt>
                <c:pt idx="685">
                  <c:v>23.500000000000004</c:v>
                </c:pt>
                <c:pt idx="686">
                  <c:v>23.600000000000005</c:v>
                </c:pt>
                <c:pt idx="687">
                  <c:v>23.700000000000006</c:v>
                </c:pt>
                <c:pt idx="688">
                  <c:v>23.800000000000008</c:v>
                </c:pt>
                <c:pt idx="689">
                  <c:v>23.900000000000009</c:v>
                </c:pt>
                <c:pt idx="690">
                  <c:v>24.000000000000011</c:v>
                </c:pt>
                <c:pt idx="691">
                  <c:v>24.100000000000012</c:v>
                </c:pt>
                <c:pt idx="692">
                  <c:v>24.200000000000014</c:v>
                </c:pt>
                <c:pt idx="693">
                  <c:v>24.300000000000015</c:v>
                </c:pt>
                <c:pt idx="694">
                  <c:v>24.400000000000016</c:v>
                </c:pt>
                <c:pt idx="695">
                  <c:v>24.500000000000018</c:v>
                </c:pt>
                <c:pt idx="696">
                  <c:v>24.600000000000019</c:v>
                </c:pt>
                <c:pt idx="697">
                  <c:v>24.700000000000021</c:v>
                </c:pt>
                <c:pt idx="698">
                  <c:v>24.800000000000022</c:v>
                </c:pt>
                <c:pt idx="699">
                  <c:v>24.900000000000023</c:v>
                </c:pt>
                <c:pt idx="700">
                  <c:v>25.000000000000025</c:v>
                </c:pt>
                <c:pt idx="701">
                  <c:v>25.100000000000026</c:v>
                </c:pt>
                <c:pt idx="702">
                  <c:v>25.200000000000028</c:v>
                </c:pt>
                <c:pt idx="703">
                  <c:v>25.300000000000029</c:v>
                </c:pt>
                <c:pt idx="704">
                  <c:v>25.400000000000031</c:v>
                </c:pt>
                <c:pt idx="705">
                  <c:v>25.500000000000032</c:v>
                </c:pt>
                <c:pt idx="706">
                  <c:v>25.600000000000033</c:v>
                </c:pt>
                <c:pt idx="707">
                  <c:v>25.700000000000035</c:v>
                </c:pt>
                <c:pt idx="708">
                  <c:v>25.800000000000036</c:v>
                </c:pt>
                <c:pt idx="709">
                  <c:v>25.900000000000038</c:v>
                </c:pt>
                <c:pt idx="710">
                  <c:v>26.000000000000039</c:v>
                </c:pt>
                <c:pt idx="711">
                  <c:v>26.100000000000041</c:v>
                </c:pt>
                <c:pt idx="712">
                  <c:v>26.200000000000042</c:v>
                </c:pt>
                <c:pt idx="713">
                  <c:v>26.300000000000043</c:v>
                </c:pt>
                <c:pt idx="714">
                  <c:v>26.400000000000045</c:v>
                </c:pt>
                <c:pt idx="715">
                  <c:v>26.500000000000046</c:v>
                </c:pt>
                <c:pt idx="716">
                  <c:v>26.600000000000048</c:v>
                </c:pt>
                <c:pt idx="717">
                  <c:v>26.700000000000049</c:v>
                </c:pt>
                <c:pt idx="718">
                  <c:v>26.80000000000005</c:v>
                </c:pt>
                <c:pt idx="719">
                  <c:v>26.900000000000052</c:v>
                </c:pt>
                <c:pt idx="720">
                  <c:v>27.000000000000053</c:v>
                </c:pt>
                <c:pt idx="721">
                  <c:v>27.100000000000055</c:v>
                </c:pt>
                <c:pt idx="722">
                  <c:v>27.200000000000056</c:v>
                </c:pt>
                <c:pt idx="723">
                  <c:v>27.300000000000058</c:v>
                </c:pt>
                <c:pt idx="724">
                  <c:v>27.400000000000059</c:v>
                </c:pt>
                <c:pt idx="725">
                  <c:v>27.50000000000006</c:v>
                </c:pt>
                <c:pt idx="726">
                  <c:v>27.600000000000062</c:v>
                </c:pt>
                <c:pt idx="727">
                  <c:v>27.700000000000063</c:v>
                </c:pt>
                <c:pt idx="728">
                  <c:v>27.800000000000065</c:v>
                </c:pt>
                <c:pt idx="729">
                  <c:v>27.900000000000066</c:v>
                </c:pt>
                <c:pt idx="730">
                  <c:v>28.000000000000068</c:v>
                </c:pt>
                <c:pt idx="731">
                  <c:v>28.100000000000069</c:v>
                </c:pt>
                <c:pt idx="732">
                  <c:v>28.20000000000007</c:v>
                </c:pt>
                <c:pt idx="733">
                  <c:v>28.300000000000072</c:v>
                </c:pt>
                <c:pt idx="734">
                  <c:v>28.400000000000073</c:v>
                </c:pt>
                <c:pt idx="735">
                  <c:v>28.500000000000075</c:v>
                </c:pt>
                <c:pt idx="736">
                  <c:v>28.600000000000076</c:v>
                </c:pt>
                <c:pt idx="737">
                  <c:v>28.700000000000077</c:v>
                </c:pt>
                <c:pt idx="738">
                  <c:v>28.800000000000079</c:v>
                </c:pt>
                <c:pt idx="739">
                  <c:v>28.90000000000008</c:v>
                </c:pt>
                <c:pt idx="740">
                  <c:v>29.000000000000082</c:v>
                </c:pt>
                <c:pt idx="741">
                  <c:v>29.100000000000083</c:v>
                </c:pt>
                <c:pt idx="742">
                  <c:v>29.200000000000085</c:v>
                </c:pt>
                <c:pt idx="743">
                  <c:v>29.300000000000086</c:v>
                </c:pt>
                <c:pt idx="744">
                  <c:v>29.400000000000087</c:v>
                </c:pt>
                <c:pt idx="745">
                  <c:v>29.500000000000089</c:v>
                </c:pt>
                <c:pt idx="746">
                  <c:v>29.60000000000009</c:v>
                </c:pt>
                <c:pt idx="747">
                  <c:v>29.700000000000092</c:v>
                </c:pt>
                <c:pt idx="748">
                  <c:v>29.800000000000093</c:v>
                </c:pt>
                <c:pt idx="749">
                  <c:v>29.900000000000095</c:v>
                </c:pt>
                <c:pt idx="750">
                  <c:v>30.000000000000096</c:v>
                </c:pt>
                <c:pt idx="751">
                  <c:v>30.100000000000097</c:v>
                </c:pt>
                <c:pt idx="752">
                  <c:v>30.200000000000099</c:v>
                </c:pt>
                <c:pt idx="753">
                  <c:v>30.3000000000001</c:v>
                </c:pt>
                <c:pt idx="754">
                  <c:v>30.400000000000102</c:v>
                </c:pt>
                <c:pt idx="755">
                  <c:v>30.500000000000103</c:v>
                </c:pt>
                <c:pt idx="756">
                  <c:v>30.600000000000104</c:v>
                </c:pt>
                <c:pt idx="757">
                  <c:v>30.700000000000106</c:v>
                </c:pt>
                <c:pt idx="758">
                  <c:v>30.800000000000107</c:v>
                </c:pt>
                <c:pt idx="759">
                  <c:v>30.900000000000109</c:v>
                </c:pt>
                <c:pt idx="760">
                  <c:v>31.00000000000011</c:v>
                </c:pt>
                <c:pt idx="761">
                  <c:v>31.100000000000112</c:v>
                </c:pt>
                <c:pt idx="762">
                  <c:v>31.200000000000113</c:v>
                </c:pt>
                <c:pt idx="763">
                  <c:v>31.300000000000114</c:v>
                </c:pt>
                <c:pt idx="764">
                  <c:v>31.400000000000116</c:v>
                </c:pt>
                <c:pt idx="765">
                  <c:v>31.500000000000117</c:v>
                </c:pt>
                <c:pt idx="766">
                  <c:v>31.600000000000119</c:v>
                </c:pt>
                <c:pt idx="767">
                  <c:v>31.70000000000012</c:v>
                </c:pt>
                <c:pt idx="768">
                  <c:v>31.800000000000122</c:v>
                </c:pt>
                <c:pt idx="769">
                  <c:v>31.900000000000123</c:v>
                </c:pt>
                <c:pt idx="770">
                  <c:v>32.000000000000121</c:v>
                </c:pt>
                <c:pt idx="771">
                  <c:v>32.100000000000122</c:v>
                </c:pt>
                <c:pt idx="772">
                  <c:v>32.200000000000124</c:v>
                </c:pt>
                <c:pt idx="773">
                  <c:v>32.300000000000125</c:v>
                </c:pt>
                <c:pt idx="774">
                  <c:v>32.400000000000126</c:v>
                </c:pt>
                <c:pt idx="775">
                  <c:v>32.500000000000128</c:v>
                </c:pt>
                <c:pt idx="776">
                  <c:v>32.600000000000129</c:v>
                </c:pt>
                <c:pt idx="777">
                  <c:v>32.700000000000131</c:v>
                </c:pt>
                <c:pt idx="778">
                  <c:v>32.800000000000132</c:v>
                </c:pt>
                <c:pt idx="779">
                  <c:v>32.900000000000134</c:v>
                </c:pt>
                <c:pt idx="780">
                  <c:v>33.000000000000135</c:v>
                </c:pt>
                <c:pt idx="781">
                  <c:v>33.100000000000136</c:v>
                </c:pt>
                <c:pt idx="782">
                  <c:v>33.200000000000138</c:v>
                </c:pt>
                <c:pt idx="783">
                  <c:v>33.300000000000139</c:v>
                </c:pt>
                <c:pt idx="784">
                  <c:v>33.400000000000141</c:v>
                </c:pt>
                <c:pt idx="785">
                  <c:v>33.500000000000142</c:v>
                </c:pt>
                <c:pt idx="786">
                  <c:v>33.600000000000144</c:v>
                </c:pt>
                <c:pt idx="787">
                  <c:v>33.700000000000145</c:v>
                </c:pt>
                <c:pt idx="788">
                  <c:v>33.800000000000146</c:v>
                </c:pt>
                <c:pt idx="789">
                  <c:v>33.900000000000148</c:v>
                </c:pt>
                <c:pt idx="790">
                  <c:v>34.000000000000149</c:v>
                </c:pt>
                <c:pt idx="791">
                  <c:v>34.100000000000151</c:v>
                </c:pt>
                <c:pt idx="792">
                  <c:v>34.200000000000152</c:v>
                </c:pt>
                <c:pt idx="793">
                  <c:v>34.300000000000153</c:v>
                </c:pt>
                <c:pt idx="794">
                  <c:v>34.400000000000155</c:v>
                </c:pt>
                <c:pt idx="795">
                  <c:v>34.500000000000156</c:v>
                </c:pt>
                <c:pt idx="796">
                  <c:v>34.600000000000158</c:v>
                </c:pt>
                <c:pt idx="797">
                  <c:v>34.700000000000159</c:v>
                </c:pt>
                <c:pt idx="798">
                  <c:v>34.800000000000161</c:v>
                </c:pt>
                <c:pt idx="799">
                  <c:v>34.900000000000162</c:v>
                </c:pt>
                <c:pt idx="800">
                  <c:v>35.000000000000163</c:v>
                </c:pt>
                <c:pt idx="801">
                  <c:v>35.100000000000165</c:v>
                </c:pt>
                <c:pt idx="802">
                  <c:v>35.200000000000166</c:v>
                </c:pt>
                <c:pt idx="803">
                  <c:v>35.300000000000168</c:v>
                </c:pt>
                <c:pt idx="804">
                  <c:v>35.400000000000169</c:v>
                </c:pt>
                <c:pt idx="805">
                  <c:v>35.500000000000171</c:v>
                </c:pt>
                <c:pt idx="806">
                  <c:v>35.600000000000172</c:v>
                </c:pt>
                <c:pt idx="807">
                  <c:v>35.700000000000173</c:v>
                </c:pt>
                <c:pt idx="808">
                  <c:v>35.800000000000175</c:v>
                </c:pt>
                <c:pt idx="809">
                  <c:v>35.900000000000176</c:v>
                </c:pt>
                <c:pt idx="810">
                  <c:v>36.000000000000178</c:v>
                </c:pt>
                <c:pt idx="811">
                  <c:v>36.100000000000179</c:v>
                </c:pt>
                <c:pt idx="812">
                  <c:v>36.20000000000018</c:v>
                </c:pt>
                <c:pt idx="813">
                  <c:v>36.300000000000182</c:v>
                </c:pt>
                <c:pt idx="814">
                  <c:v>36.400000000000183</c:v>
                </c:pt>
                <c:pt idx="815">
                  <c:v>36.500000000000185</c:v>
                </c:pt>
                <c:pt idx="816">
                  <c:v>36.600000000000186</c:v>
                </c:pt>
                <c:pt idx="817">
                  <c:v>36.700000000000188</c:v>
                </c:pt>
                <c:pt idx="818">
                  <c:v>36.800000000000189</c:v>
                </c:pt>
                <c:pt idx="819">
                  <c:v>36.90000000000019</c:v>
                </c:pt>
                <c:pt idx="820">
                  <c:v>37.000000000000192</c:v>
                </c:pt>
                <c:pt idx="821">
                  <c:v>37.100000000000193</c:v>
                </c:pt>
                <c:pt idx="822">
                  <c:v>37.200000000000195</c:v>
                </c:pt>
                <c:pt idx="823">
                  <c:v>37.300000000000196</c:v>
                </c:pt>
                <c:pt idx="824">
                  <c:v>37.400000000000198</c:v>
                </c:pt>
                <c:pt idx="825">
                  <c:v>37.500000000000199</c:v>
                </c:pt>
                <c:pt idx="826">
                  <c:v>37.6000000000002</c:v>
                </c:pt>
                <c:pt idx="827">
                  <c:v>37.700000000000202</c:v>
                </c:pt>
                <c:pt idx="828">
                  <c:v>37.800000000000203</c:v>
                </c:pt>
                <c:pt idx="829">
                  <c:v>37.900000000000205</c:v>
                </c:pt>
                <c:pt idx="830">
                  <c:v>38.000000000000206</c:v>
                </c:pt>
                <c:pt idx="831">
                  <c:v>38.100000000000207</c:v>
                </c:pt>
                <c:pt idx="832">
                  <c:v>38.200000000000209</c:v>
                </c:pt>
                <c:pt idx="833">
                  <c:v>38.30000000000021</c:v>
                </c:pt>
                <c:pt idx="834">
                  <c:v>38.400000000000212</c:v>
                </c:pt>
                <c:pt idx="835">
                  <c:v>38.500000000000213</c:v>
                </c:pt>
                <c:pt idx="836">
                  <c:v>38.600000000000215</c:v>
                </c:pt>
                <c:pt idx="837">
                  <c:v>38.700000000000216</c:v>
                </c:pt>
                <c:pt idx="838">
                  <c:v>38.800000000000217</c:v>
                </c:pt>
                <c:pt idx="839">
                  <c:v>38.900000000000219</c:v>
                </c:pt>
                <c:pt idx="840">
                  <c:v>39.00000000000022</c:v>
                </c:pt>
                <c:pt idx="841">
                  <c:v>39.100000000000222</c:v>
                </c:pt>
                <c:pt idx="842">
                  <c:v>39.200000000000223</c:v>
                </c:pt>
                <c:pt idx="843">
                  <c:v>39.300000000000225</c:v>
                </c:pt>
                <c:pt idx="844">
                  <c:v>39.400000000000226</c:v>
                </c:pt>
                <c:pt idx="845">
                  <c:v>39.500000000000227</c:v>
                </c:pt>
                <c:pt idx="846">
                  <c:v>39.600000000000229</c:v>
                </c:pt>
                <c:pt idx="847">
                  <c:v>39.70000000000023</c:v>
                </c:pt>
                <c:pt idx="848">
                  <c:v>39.800000000000232</c:v>
                </c:pt>
                <c:pt idx="849">
                  <c:v>39.900000000000233</c:v>
                </c:pt>
                <c:pt idx="850">
                  <c:v>40.000000000000234</c:v>
                </c:pt>
                <c:pt idx="851">
                  <c:v>40.100000000000236</c:v>
                </c:pt>
                <c:pt idx="852">
                  <c:v>40.200000000000237</c:v>
                </c:pt>
                <c:pt idx="853">
                  <c:v>40.300000000000239</c:v>
                </c:pt>
                <c:pt idx="854">
                  <c:v>40.40000000000024</c:v>
                </c:pt>
                <c:pt idx="855">
                  <c:v>40.500000000000242</c:v>
                </c:pt>
                <c:pt idx="856">
                  <c:v>40.600000000000243</c:v>
                </c:pt>
                <c:pt idx="857">
                  <c:v>40.700000000000244</c:v>
                </c:pt>
                <c:pt idx="858">
                  <c:v>40.800000000000246</c:v>
                </c:pt>
                <c:pt idx="859">
                  <c:v>40.900000000000247</c:v>
                </c:pt>
                <c:pt idx="860">
                  <c:v>41.000000000000249</c:v>
                </c:pt>
                <c:pt idx="861">
                  <c:v>41.10000000000025</c:v>
                </c:pt>
                <c:pt idx="862">
                  <c:v>41.200000000000252</c:v>
                </c:pt>
                <c:pt idx="863">
                  <c:v>41.300000000000253</c:v>
                </c:pt>
                <c:pt idx="864">
                  <c:v>41.400000000000254</c:v>
                </c:pt>
                <c:pt idx="865">
                  <c:v>41.500000000000256</c:v>
                </c:pt>
                <c:pt idx="866">
                  <c:v>41.600000000000257</c:v>
                </c:pt>
                <c:pt idx="867">
                  <c:v>41.700000000000259</c:v>
                </c:pt>
                <c:pt idx="868">
                  <c:v>41.80000000000026</c:v>
                </c:pt>
                <c:pt idx="869">
                  <c:v>41.900000000000261</c:v>
                </c:pt>
                <c:pt idx="870">
                  <c:v>42.000000000000263</c:v>
                </c:pt>
                <c:pt idx="871">
                  <c:v>42.100000000000264</c:v>
                </c:pt>
                <c:pt idx="872">
                  <c:v>42.200000000000266</c:v>
                </c:pt>
                <c:pt idx="873">
                  <c:v>42.300000000000267</c:v>
                </c:pt>
                <c:pt idx="874">
                  <c:v>42.400000000000269</c:v>
                </c:pt>
                <c:pt idx="875">
                  <c:v>42.50000000000027</c:v>
                </c:pt>
                <c:pt idx="876">
                  <c:v>42.600000000000271</c:v>
                </c:pt>
                <c:pt idx="877">
                  <c:v>42.700000000000273</c:v>
                </c:pt>
                <c:pt idx="878">
                  <c:v>42.800000000000274</c:v>
                </c:pt>
                <c:pt idx="879">
                  <c:v>42.900000000000276</c:v>
                </c:pt>
                <c:pt idx="880">
                  <c:v>43.000000000000277</c:v>
                </c:pt>
                <c:pt idx="881">
                  <c:v>43.100000000000279</c:v>
                </c:pt>
                <c:pt idx="882">
                  <c:v>43.20000000000028</c:v>
                </c:pt>
                <c:pt idx="883">
                  <c:v>43.300000000000281</c:v>
                </c:pt>
                <c:pt idx="884">
                  <c:v>43.400000000000283</c:v>
                </c:pt>
                <c:pt idx="885">
                  <c:v>43.500000000000284</c:v>
                </c:pt>
                <c:pt idx="886">
                  <c:v>43.600000000000286</c:v>
                </c:pt>
                <c:pt idx="887">
                  <c:v>43.700000000000287</c:v>
                </c:pt>
                <c:pt idx="888">
                  <c:v>43.800000000000288</c:v>
                </c:pt>
                <c:pt idx="889">
                  <c:v>43.90000000000029</c:v>
                </c:pt>
                <c:pt idx="890">
                  <c:v>44.000000000000291</c:v>
                </c:pt>
                <c:pt idx="891">
                  <c:v>44.100000000000293</c:v>
                </c:pt>
                <c:pt idx="892">
                  <c:v>44.200000000000294</c:v>
                </c:pt>
                <c:pt idx="893">
                  <c:v>44.300000000000296</c:v>
                </c:pt>
                <c:pt idx="894">
                  <c:v>44.400000000000297</c:v>
                </c:pt>
                <c:pt idx="895">
                  <c:v>44.500000000000298</c:v>
                </c:pt>
                <c:pt idx="896">
                  <c:v>44.6000000000003</c:v>
                </c:pt>
                <c:pt idx="897">
                  <c:v>44.700000000000301</c:v>
                </c:pt>
                <c:pt idx="898">
                  <c:v>44.800000000000303</c:v>
                </c:pt>
                <c:pt idx="899">
                  <c:v>44.900000000000304</c:v>
                </c:pt>
                <c:pt idx="900">
                  <c:v>45.000000000000306</c:v>
                </c:pt>
                <c:pt idx="901">
                  <c:v>45.100000000000307</c:v>
                </c:pt>
                <c:pt idx="902">
                  <c:v>45.200000000000308</c:v>
                </c:pt>
                <c:pt idx="903">
                  <c:v>45.30000000000031</c:v>
                </c:pt>
                <c:pt idx="904">
                  <c:v>45.400000000000311</c:v>
                </c:pt>
                <c:pt idx="905">
                  <c:v>45.500000000000313</c:v>
                </c:pt>
                <c:pt idx="906">
                  <c:v>45.600000000000314</c:v>
                </c:pt>
                <c:pt idx="907">
                  <c:v>45.700000000000315</c:v>
                </c:pt>
                <c:pt idx="908">
                  <c:v>45.800000000000317</c:v>
                </c:pt>
                <c:pt idx="909">
                  <c:v>45.900000000000318</c:v>
                </c:pt>
                <c:pt idx="910">
                  <c:v>46.00000000000032</c:v>
                </c:pt>
                <c:pt idx="911">
                  <c:v>46.100000000000321</c:v>
                </c:pt>
                <c:pt idx="912">
                  <c:v>46.200000000000323</c:v>
                </c:pt>
                <c:pt idx="913">
                  <c:v>46.300000000000324</c:v>
                </c:pt>
                <c:pt idx="914">
                  <c:v>46.400000000000325</c:v>
                </c:pt>
                <c:pt idx="915">
                  <c:v>46.500000000000327</c:v>
                </c:pt>
                <c:pt idx="916">
                  <c:v>46.600000000000328</c:v>
                </c:pt>
                <c:pt idx="917">
                  <c:v>46.70000000000033</c:v>
                </c:pt>
                <c:pt idx="918">
                  <c:v>46.800000000000331</c:v>
                </c:pt>
                <c:pt idx="919">
                  <c:v>46.900000000000333</c:v>
                </c:pt>
                <c:pt idx="920">
                  <c:v>47.000000000000334</c:v>
                </c:pt>
                <c:pt idx="921">
                  <c:v>47.100000000000335</c:v>
                </c:pt>
                <c:pt idx="922">
                  <c:v>47.200000000000337</c:v>
                </c:pt>
                <c:pt idx="923">
                  <c:v>47.300000000000338</c:v>
                </c:pt>
                <c:pt idx="924">
                  <c:v>47.40000000000034</c:v>
                </c:pt>
                <c:pt idx="925">
                  <c:v>47.500000000000341</c:v>
                </c:pt>
                <c:pt idx="926">
                  <c:v>47.600000000000342</c:v>
                </c:pt>
                <c:pt idx="927">
                  <c:v>47.700000000000344</c:v>
                </c:pt>
                <c:pt idx="928">
                  <c:v>47.800000000000345</c:v>
                </c:pt>
                <c:pt idx="929">
                  <c:v>47.900000000000347</c:v>
                </c:pt>
                <c:pt idx="930">
                  <c:v>48.000000000000348</c:v>
                </c:pt>
                <c:pt idx="931">
                  <c:v>48.10000000000035</c:v>
                </c:pt>
                <c:pt idx="932">
                  <c:v>48.200000000000351</c:v>
                </c:pt>
                <c:pt idx="933">
                  <c:v>48.300000000000352</c:v>
                </c:pt>
                <c:pt idx="934">
                  <c:v>48.400000000000354</c:v>
                </c:pt>
                <c:pt idx="935">
                  <c:v>48.500000000000355</c:v>
                </c:pt>
                <c:pt idx="936">
                  <c:v>48.600000000000357</c:v>
                </c:pt>
                <c:pt idx="937">
                  <c:v>48.700000000000358</c:v>
                </c:pt>
                <c:pt idx="938">
                  <c:v>48.80000000000036</c:v>
                </c:pt>
                <c:pt idx="939">
                  <c:v>48.900000000000361</c:v>
                </c:pt>
                <c:pt idx="940">
                  <c:v>49.000000000000362</c:v>
                </c:pt>
                <c:pt idx="941">
                  <c:v>49.100000000000364</c:v>
                </c:pt>
                <c:pt idx="942">
                  <c:v>49.200000000000365</c:v>
                </c:pt>
                <c:pt idx="943">
                  <c:v>49.300000000000367</c:v>
                </c:pt>
                <c:pt idx="944">
                  <c:v>49.400000000000368</c:v>
                </c:pt>
                <c:pt idx="945">
                  <c:v>49.500000000000369</c:v>
                </c:pt>
                <c:pt idx="946">
                  <c:v>49.500100000000373</c:v>
                </c:pt>
                <c:pt idx="947">
                  <c:v>49.500200000000376</c:v>
                </c:pt>
                <c:pt idx="948">
                  <c:v>49.500300000000379</c:v>
                </c:pt>
                <c:pt idx="949">
                  <c:v>49.500400000000383</c:v>
                </c:pt>
                <c:pt idx="950">
                  <c:v>49.500500000000386</c:v>
                </c:pt>
                <c:pt idx="951">
                  <c:v>49.500600000000389</c:v>
                </c:pt>
                <c:pt idx="952">
                  <c:v>49.500700000000393</c:v>
                </c:pt>
                <c:pt idx="953">
                  <c:v>49.500800000000396</c:v>
                </c:pt>
                <c:pt idx="954">
                  <c:v>49.500900000000399</c:v>
                </c:pt>
                <c:pt idx="955">
                  <c:v>49.501000000000403</c:v>
                </c:pt>
                <c:pt idx="956">
                  <c:v>49.501100000000406</c:v>
                </c:pt>
                <c:pt idx="957">
                  <c:v>49.501200000000409</c:v>
                </c:pt>
                <c:pt idx="958">
                  <c:v>49.501300000000413</c:v>
                </c:pt>
                <c:pt idx="959">
                  <c:v>49.501400000000416</c:v>
                </c:pt>
                <c:pt idx="960">
                  <c:v>49.501500000000419</c:v>
                </c:pt>
                <c:pt idx="961">
                  <c:v>49.501600000000423</c:v>
                </c:pt>
                <c:pt idx="962">
                  <c:v>49.501700000000426</c:v>
                </c:pt>
                <c:pt idx="963">
                  <c:v>49.501800000000429</c:v>
                </c:pt>
                <c:pt idx="964">
                  <c:v>49.501900000000433</c:v>
                </c:pt>
                <c:pt idx="965">
                  <c:v>49.502000000000436</c:v>
                </c:pt>
                <c:pt idx="966">
                  <c:v>49.502100000000439</c:v>
                </c:pt>
                <c:pt idx="967">
                  <c:v>49.502200000000443</c:v>
                </c:pt>
                <c:pt idx="968">
                  <c:v>49.502300000000446</c:v>
                </c:pt>
                <c:pt idx="969">
                  <c:v>49.502400000000449</c:v>
                </c:pt>
                <c:pt idx="970">
                  <c:v>49.502500000000452</c:v>
                </c:pt>
                <c:pt idx="971">
                  <c:v>49.502600000000456</c:v>
                </c:pt>
                <c:pt idx="972">
                  <c:v>49.502700000000459</c:v>
                </c:pt>
                <c:pt idx="973">
                  <c:v>49.502800000000462</c:v>
                </c:pt>
                <c:pt idx="974">
                  <c:v>49.502900000000466</c:v>
                </c:pt>
                <c:pt idx="975">
                  <c:v>49.503000000000469</c:v>
                </c:pt>
                <c:pt idx="976">
                  <c:v>49.503100000000472</c:v>
                </c:pt>
                <c:pt idx="977">
                  <c:v>49.503200000000476</c:v>
                </c:pt>
                <c:pt idx="978">
                  <c:v>49.503300000000479</c:v>
                </c:pt>
                <c:pt idx="979">
                  <c:v>49.503400000000482</c:v>
                </c:pt>
                <c:pt idx="980">
                  <c:v>49.503500000000486</c:v>
                </c:pt>
                <c:pt idx="981">
                  <c:v>49.503600000000489</c:v>
                </c:pt>
                <c:pt idx="982">
                  <c:v>49.503700000000492</c:v>
                </c:pt>
                <c:pt idx="983">
                  <c:v>49.503800000000496</c:v>
                </c:pt>
                <c:pt idx="984">
                  <c:v>49.503900000000499</c:v>
                </c:pt>
                <c:pt idx="985">
                  <c:v>49.504000000000502</c:v>
                </c:pt>
                <c:pt idx="986">
                  <c:v>49.504100000000506</c:v>
                </c:pt>
                <c:pt idx="987">
                  <c:v>49.504200000000509</c:v>
                </c:pt>
                <c:pt idx="988">
                  <c:v>49.504300000000512</c:v>
                </c:pt>
                <c:pt idx="989">
                  <c:v>49.504400000000516</c:v>
                </c:pt>
                <c:pt idx="990">
                  <c:v>49.504500000000519</c:v>
                </c:pt>
                <c:pt idx="991">
                  <c:v>49.504600000000522</c:v>
                </c:pt>
                <c:pt idx="992">
                  <c:v>49.504700000000526</c:v>
                </c:pt>
                <c:pt idx="993">
                  <c:v>49.504800000000529</c:v>
                </c:pt>
                <c:pt idx="994">
                  <c:v>49.504900000000532</c:v>
                </c:pt>
                <c:pt idx="995">
                  <c:v>49.505000000000535</c:v>
                </c:pt>
                <c:pt idx="996">
                  <c:v>49.505100000000539</c:v>
                </c:pt>
                <c:pt idx="997">
                  <c:v>49.505200000000542</c:v>
                </c:pt>
                <c:pt idx="998">
                  <c:v>49.505300000000545</c:v>
                </c:pt>
                <c:pt idx="999">
                  <c:v>49.505400000000549</c:v>
                </c:pt>
                <c:pt idx="1000">
                  <c:v>49.505500000000552</c:v>
                </c:pt>
              </c:numCache>
            </c:numRef>
          </c:xVal>
          <c:yVal>
            <c:numRef>
              <c:f>Calculs!$J$4:$J$1004</c:f>
              <c:numCache>
                <c:formatCode>0.00</c:formatCode>
                <c:ptCount val="1001"/>
                <c:pt idx="0">
                  <c:v>0</c:v>
                </c:pt>
                <c:pt idx="1">
                  <c:v>4.2388035248574833E-5</c:v>
                </c:pt>
                <c:pt idx="2">
                  <c:v>2.633065668814509E-4</c:v>
                </c:pt>
                <c:pt idx="3">
                  <c:v>7.9542963262857795E-4</c:v>
                </c:pt>
                <c:pt idx="4">
                  <c:v>1.7166269806795881E-3</c:v>
                </c:pt>
                <c:pt idx="5">
                  <c:v>3.1048343840561509E-3</c:v>
                </c:pt>
                <c:pt idx="6">
                  <c:v>5.0380635461967482E-3</c:v>
                </c:pt>
                <c:pt idx="7">
                  <c:v>7.594411916287399E-3</c:v>
                </c:pt>
                <c:pt idx="8">
                  <c:v>1.0852072418020067E-2</c:v>
                </c:pt>
                <c:pt idx="9">
                  <c:v>1.4889343095336932E-2</c:v>
                </c:pt>
                <c:pt idx="10">
                  <c:v>1.9784636678599202E-2</c:v>
                </c:pt>
                <c:pt idx="11">
                  <c:v>2.559408785778463E-2</c:v>
                </c:pt>
                <c:pt idx="12">
                  <c:v>3.2329104884837465E-2</c:v>
                </c:pt>
                <c:pt idx="13">
                  <c:v>3.9978524417161217E-2</c:v>
                </c:pt>
                <c:pt idx="14">
                  <c:v>4.8530817087647934E-2</c:v>
                </c:pt>
                <c:pt idx="15">
                  <c:v>5.7974257951207371E-2</c:v>
                </c:pt>
                <c:pt idx="16">
                  <c:v>6.8297097323067407E-2</c:v>
                </c:pt>
                <c:pt idx="17">
                  <c:v>7.9487561200797252E-2</c:v>
                </c:pt>
                <c:pt idx="18">
                  <c:v>9.1533851686051285E-2</c:v>
                </c:pt>
                <c:pt idx="19">
                  <c:v>0.10442414740596842</c:v>
                </c:pt>
                <c:pt idx="20">
                  <c:v>0.11814660393416225</c:v>
                </c:pt>
                <c:pt idx="21">
                  <c:v>0.13268935421123748</c:v>
                </c:pt>
                <c:pt idx="22">
                  <c:v>0.14804050896476892</c:v>
                </c:pt>
                <c:pt idx="23">
                  <c:v>0.16418815712867935</c:v>
                </c:pt>
                <c:pt idx="24">
                  <c:v>0.18112036626195335</c:v>
                </c:pt>
                <c:pt idx="25">
                  <c:v>0.19882518296662458</c:v>
                </c:pt>
                <c:pt idx="26">
                  <c:v>0.21729063330497422</c:v>
                </c:pt>
                <c:pt idx="27">
                  <c:v>0.23650773511460821</c:v>
                </c:pt>
                <c:pt idx="28">
                  <c:v>0.2564735156066818</c:v>
                </c:pt>
                <c:pt idx="29">
                  <c:v>0.27718800746088779</c:v>
                </c:pt>
                <c:pt idx="30">
                  <c:v>0.29865123942634525</c:v>
                </c:pt>
                <c:pt idx="31">
                  <c:v>0.32086323631653191</c:v>
                </c:pt>
                <c:pt idx="32">
                  <c:v>0.34382401900431159</c:v>
                </c:pt>
                <c:pt idx="33">
                  <c:v>0.36753360441705657</c:v>
                </c:pt>
                <c:pt idx="34">
                  <c:v>0.39203461321100952</c:v>
                </c:pt>
                <c:pt idx="35">
                  <c:v>0.41737107021736164</c:v>
                </c:pt>
                <c:pt idx="36">
                  <c:v>0.44354578167993192</c:v>
                </c:pt>
                <c:pt idx="37">
                  <c:v>0.4705614996433754</c:v>
                </c:pt>
                <c:pt idx="38">
                  <c:v>0.49842090368529446</c:v>
                </c:pt>
                <c:pt idx="39">
                  <c:v>0.52712660439949544</c:v>
                </c:pt>
                <c:pt idx="40">
                  <c:v>0.5566811466110354</c:v>
                </c:pt>
                <c:pt idx="41">
                  <c:v>0.58708701235005634</c:v>
                </c:pt>
                <c:pt idx="42">
                  <c:v>0.61834662360807557</c:v>
                </c:pt>
                <c:pt idx="43">
                  <c:v>0.65046234489755828</c:v>
                </c:pt>
                <c:pt idx="44">
                  <c:v>0.68343648563315063</c:v>
                </c:pt>
                <c:pt idx="45">
                  <c:v>0.71727130235084868</c:v>
                </c:pt>
                <c:pt idx="46">
                  <c:v>0.75196900077955542</c:v>
                </c:pt>
                <c:pt idx="47">
                  <c:v>0.78753173777789509</c:v>
                </c:pt>
                <c:pt idx="48">
                  <c:v>0.82396162314777821</c:v>
                </c:pt>
                <c:pt idx="49">
                  <c:v>0.86126072133500453</c:v>
                </c:pt>
                <c:pt idx="50">
                  <c:v>0.89943105302613724</c:v>
                </c:pt>
                <c:pt idx="51">
                  <c:v>0.93847459664995436</c:v>
                </c:pt>
                <c:pt idx="52">
                  <c:v>0.97839328979096329</c:v>
                </c:pt>
                <c:pt idx="53">
                  <c:v>1.0191890305217461</c:v>
                </c:pt>
                <c:pt idx="54">
                  <c:v>1.0608636786602585</c:v>
                </c:pt>
                <c:pt idx="55">
                  <c:v>1.1034190569576394</c:v>
                </c:pt>
                <c:pt idx="56">
                  <c:v>1.1468569522215819</c:v>
                </c:pt>
                <c:pt idx="57">
                  <c:v>1.1911791163798633</c:v>
                </c:pt>
                <c:pt idx="58">
                  <c:v>1.2363872674882286</c:v>
                </c:pt>
                <c:pt idx="59">
                  <c:v>1.2824830906864597</c:v>
                </c:pt>
                <c:pt idx="60">
                  <c:v>1.3294682391061396</c:v>
                </c:pt>
                <c:pt idx="61">
                  <c:v>1.3773443347333247</c:v>
                </c:pt>
                <c:pt idx="62">
                  <c:v>1.4261129692290775</c:v>
                </c:pt>
                <c:pt idx="63">
                  <c:v>1.4757757047105742</c:v>
                </c:pt>
                <c:pt idx="64">
                  <c:v>1.5263340744952854</c:v>
                </c:pt>
                <c:pt idx="65">
                  <c:v>1.5777895838105329</c:v>
                </c:pt>
                <c:pt idx="66">
                  <c:v>1.6301437104705501</c:v>
                </c:pt>
                <c:pt idx="67">
                  <c:v>1.6833979055230106</c:v>
                </c:pt>
                <c:pt idx="68">
                  <c:v>1.7375535938668472</c:v>
                </c:pt>
                <c:pt idx="69">
                  <c:v>1.7926121748430428</c:v>
                </c:pt>
                <c:pt idx="70">
                  <c:v>1.8485750227999618</c:v>
                </c:pt>
                <c:pt idx="71">
                  <c:v>1.9054434876346715</c:v>
                </c:pt>
                <c:pt idx="72">
                  <c:v>1.9632188576473495</c:v>
                </c:pt>
                <c:pt idx="73">
                  <c:v>2.0219023221359529</c:v>
                </c:pt>
                <c:pt idx="74">
                  <c:v>2.0814950092226621</c:v>
                </c:pt>
                <c:pt idx="75">
                  <c:v>2.1419980239062579</c:v>
                </c:pt>
                <c:pt idx="76">
                  <c:v>2.203412448515115</c:v>
                </c:pt>
                <c:pt idx="77">
                  <c:v>2.2657393431425437</c:v>
                </c:pt>
                <c:pt idx="78">
                  <c:v>2.3289797460654023</c:v>
                </c:pt>
                <c:pt idx="79">
                  <c:v>2.3931346741468409</c:v>
                </c:pt>
                <c:pt idx="80">
                  <c:v>2.4582051232239897</c:v>
                </c:pt>
                <c:pt idx="81">
                  <c:v>2.5241920684813421</c:v>
                </c:pt>
                <c:pt idx="82">
                  <c:v>2.5910964648105512</c:v>
                </c:pt>
                <c:pt idx="83">
                  <c:v>2.6589192471573</c:v>
                </c:pt>
                <c:pt idx="84">
                  <c:v>2.7276613308558799</c:v>
                </c:pt>
                <c:pt idx="85">
                  <c:v>2.7973236119520601</c:v>
                </c:pt>
                <c:pt idx="86">
                  <c:v>2.8679069675148097</c:v>
                </c:pt>
                <c:pt idx="87">
                  <c:v>2.9394122559373907</c:v>
                </c:pt>
                <c:pt idx="88">
                  <c:v>3.0118403172283195</c:v>
                </c:pt>
                <c:pt idx="89">
                  <c:v>3.0851919732926558</c:v>
                </c:pt>
                <c:pt idx="90">
                  <c:v>3.1594680282040648</c:v>
                </c:pt>
                <c:pt idx="91">
                  <c:v>3.2346692684680614</c:v>
                </c:pt>
                <c:pt idx="92">
                  <c:v>3.3107964632768327</c:v>
                </c:pt>
                <c:pt idx="93">
                  <c:v>3.387850364756007</c:v>
                </c:pt>
                <c:pt idx="94">
                  <c:v>3.4658317082037198</c:v>
                </c:pt>
                <c:pt idx="95">
                  <c:v>3.5447412123223105</c:v>
                </c:pt>
                <c:pt idx="96">
                  <c:v>3.6245795794429636</c:v>
                </c:pt>
                <c:pt idx="97">
                  <c:v>3.7053474957435921</c:v>
                </c:pt>
                <c:pt idx="98">
                  <c:v>3.7870456314602472</c:v>
                </c:pt>
                <c:pt idx="99">
                  <c:v>3.8696746410923222</c:v>
                </c:pt>
                <c:pt idx="100">
                  <c:v>3.9532351636018062</c:v>
                </c:pt>
                <c:pt idx="101">
                  <c:v>4.0377278226068292</c:v>
                </c:pt>
                <c:pt idx="102">
                  <c:v>4.1231532265697304</c:v>
                </c:pt>
                <c:pt idx="103">
                  <c:v>4.2095119689798635</c:v>
                </c:pt>
                <c:pt idx="104">
                  <c:v>4.2968046285313592</c:v>
                </c:pt>
                <c:pt idx="105">
                  <c:v>4.3850317692960292</c:v>
                </c:pt>
                <c:pt idx="106">
                  <c:v>4.4741939408916114</c:v>
                </c:pt>
                <c:pt idx="107">
                  <c:v>4.5642916786455281</c:v>
                </c:pt>
                <c:pt idx="108">
                  <c:v>4.6553255037543408</c:v>
                </c:pt>
                <c:pt idx="109">
                  <c:v>4.7472959234390517</c:v>
                </c:pt>
                <c:pt idx="110">
                  <c:v>4.8402034310964162</c:v>
                </c:pt>
                <c:pt idx="111">
                  <c:v>4.934048506446417</c:v>
                </c:pt>
                <c:pt idx="112">
                  <c:v>5.0288316156760349</c:v>
                </c:pt>
                <c:pt idx="113">
                  <c:v>5.1245532115794603</c:v>
                </c:pt>
                <c:pt idx="114">
                  <c:v>5.2212137336948734</c:v>
                </c:pt>
                <c:pt idx="115">
                  <c:v>5.3188136084379138</c:v>
                </c:pt>
                <c:pt idx="116">
                  <c:v>5.4173532492319634</c:v>
                </c:pt>
                <c:pt idx="117">
                  <c:v>5.5168330566353516</c:v>
                </c:pt>
                <c:pt idx="118">
                  <c:v>5.6172534184655998</c:v>
                </c:pt>
                <c:pt idx="119">
                  <c:v>5.7186147099208027</c:v>
                </c:pt>
                <c:pt idx="120">
                  <c:v>5.8209172936982476</c:v>
                </c:pt>
                <c:pt idx="121">
                  <c:v>5.9241615201103697</c:v>
                </c:pt>
                <c:pt idx="122">
                  <c:v>6.0283477271981347</c:v>
                </c:pt>
                <c:pt idx="123">
                  <c:v>6.1334762408419383</c:v>
                </c:pt>
                <c:pt idx="124">
                  <c:v>6.2395473748701002</c:v>
                </c:pt>
                <c:pt idx="125">
                  <c:v>6.346561431165048</c:v>
                </c:pt>
                <c:pt idx="126">
                  <c:v>6.4545186997672515</c:v>
                </c:pt>
                <c:pt idx="127">
                  <c:v>6.5634194589769983</c:v>
                </c:pt>
                <c:pt idx="128">
                  <c:v>6.6732639754540708</c:v>
                </c:pt>
                <c:pt idx="129">
                  <c:v>6.7840523179318986</c:v>
                </c:pt>
                <c:pt idx="130">
                  <c:v>6.8957841702017983</c:v>
                </c:pt>
                <c:pt idx="131">
                  <c:v>7.0084590166579064</c:v>
                </c:pt>
                <c:pt idx="132">
                  <c:v>7.122076328583149</c:v>
                </c:pt>
                <c:pt idx="133">
                  <c:v>7.2366355642690596</c:v>
                </c:pt>
                <c:pt idx="134">
                  <c:v>7.3521361691334599</c:v>
                </c:pt>
                <c:pt idx="135">
                  <c:v>7.4685775758360586</c:v>
                </c:pt>
                <c:pt idx="136">
                  <c:v>7.5859592043920561</c:v>
                </c:pt>
                <c:pt idx="137">
                  <c:v>7.7042804622837995</c:v>
                </c:pt>
                <c:pt idx="138">
                  <c:v>7.8235407445705638</c:v>
                </c:pt>
                <c:pt idx="139">
                  <c:v>7.9437394339965133</c:v>
                </c:pt>
                <c:pt idx="140">
                  <c:v>8.0648759010969009</c:v>
                </c:pt>
                <c:pt idx="141">
                  <c:v>8.1869495043025626</c:v>
                </c:pt>
                <c:pt idx="142">
                  <c:v>8.3099595900427587</c:v>
                </c:pt>
                <c:pt idx="143">
                  <c:v>8.4339054928464119</c:v>
                </c:pt>
                <c:pt idx="144">
                  <c:v>8.5587865354417936</c:v>
                </c:pt>
                <c:pt idx="145">
                  <c:v>8.6846020288547088</c:v>
                </c:pt>
                <c:pt idx="146">
                  <c:v>8.8113512725052132</c:v>
                </c:pt>
                <c:pt idx="147">
                  <c:v>8.9390335543029273</c:v>
                </c:pt>
                <c:pt idx="148">
                  <c:v>9.0676481507409648</c:v>
                </c:pt>
                <c:pt idx="149">
                  <c:v>9.1971943269885355</c:v>
                </c:pt>
                <c:pt idx="150">
                  <c:v>9.3276713369822613</c:v>
                </c:pt>
                <c:pt idx="151">
                  <c:v>9.4590784235162246</c:v>
                </c:pt>
                <c:pt idx="152">
                  <c:v>9.5914148183308097</c:v>
                </c:pt>
                <c:pt idx="153">
                  <c:v>9.7246797422003581</c:v>
                </c:pt>
                <c:pt idx="154">
                  <c:v>9.8588724050196728</c:v>
                </c:pt>
                <c:pt idx="155">
                  <c:v>9.9939920058894138</c:v>
                </c:pt>
                <c:pt idx="156">
                  <c:v>10.130037733200403</c:v>
                </c:pt>
                <c:pt idx="157">
                  <c:v>10.267008764716884</c:v>
                </c:pt>
                <c:pt idx="158">
                  <c:v>10.404904267658749</c:v>
                </c:pt>
                <c:pt idx="159">
                  <c:v>10.543723398782777</c:v>
                </c:pt>
                <c:pt idx="160">
                  <c:v>10.68346530446291</c:v>
                </c:pt>
                <c:pt idx="161">
                  <c:v>10.824129120769575</c:v>
                </c:pt>
                <c:pt idx="162">
                  <c:v>10.965713973548105</c:v>
                </c:pt>
                <c:pt idx="163">
                  <c:v>11.108218978496266</c:v>
                </c:pt>
                <c:pt idx="164">
                  <c:v>11.251643241240915</c:v>
                </c:pt>
                <c:pt idx="165">
                  <c:v>11.39598585741382</c:v>
                </c:pt>
                <c:pt idx="166">
                  <c:v>11.541245912726657</c:v>
                </c:pt>
                <c:pt idx="167">
                  <c:v>11.687422483045214</c:v>
                </c:pt>
                <c:pt idx="168">
                  <c:v>11.834514634462815</c:v>
                </c:pt>
                <c:pt idx="169">
                  <c:v>11.982521423372985</c:v>
                </c:pt>
                <c:pt idx="170">
                  <c:v>12.131441896541384</c:v>
                </c:pt>
                <c:pt idx="171">
                  <c:v>12.281275091177022</c:v>
                </c:pt>
                <c:pt idx="172">
                  <c:v>12.432020035002767</c:v>
                </c:pt>
                <c:pt idx="173">
                  <c:v>12.583675746325182</c:v>
                </c:pt>
                <c:pt idx="174">
                  <c:v>12.736241234103694</c:v>
                </c:pt>
                <c:pt idx="175">
                  <c:v>12.889715498019115</c:v>
                </c:pt>
                <c:pt idx="176">
                  <c:v>13.044097528541526</c:v>
                </c:pt>
                <c:pt idx="177">
                  <c:v>13.19938630699756</c:v>
                </c:pt>
                <c:pt idx="178">
                  <c:v>13.35558080563707</c:v>
                </c:pt>
                <c:pt idx="179">
                  <c:v>13.512679987699215</c:v>
                </c:pt>
                <c:pt idx="180">
                  <c:v>13.670682807477982</c:v>
                </c:pt>
                <c:pt idx="181">
                  <c:v>13.829588210387142</c:v>
                </c:pt>
                <c:pt idx="182">
                  <c:v>13.98939513302466</c:v>
                </c:pt>
                <c:pt idx="183">
                  <c:v>14.15010250323658</c:v>
                </c:pt>
                <c:pt idx="184">
                  <c:v>14.31170924018039</c:v>
                </c:pt>
                <c:pt idx="185">
                  <c:v>14.474214254387876</c:v>
                </c:pt>
                <c:pt idx="186">
                  <c:v>14.63761644782748</c:v>
                </c:pt>
                <c:pt idx="187">
                  <c:v>14.801914713966182</c:v>
                </c:pt>
                <c:pt idx="188">
                  <c:v>14.9671079378309</c:v>
                </c:pt>
                <c:pt idx="189">
                  <c:v>15.133194996069433</c:v>
                </c:pt>
                <c:pt idx="190">
                  <c:v>15.30017475701095</c:v>
                </c:pt>
                <c:pt idx="191">
                  <c:v>15.46804608072604</c:v>
                </c:pt>
                <c:pt idx="192">
                  <c:v>15.636807819086325</c:v>
                </c:pt>
                <c:pt idx="193">
                  <c:v>15.806458815823655</c:v>
                </c:pt>
                <c:pt idx="194">
                  <c:v>15.976997906588887</c:v>
                </c:pt>
                <c:pt idx="195">
                  <c:v>16.148423919010259</c:v>
                </c:pt>
                <c:pt idx="196">
                  <c:v>16.320735672751368</c:v>
                </c:pt>
                <c:pt idx="197">
                  <c:v>16.493931979568764</c:v>
                </c:pt>
                <c:pt idx="198">
                  <c:v>16.668011643369159</c:v>
                </c:pt>
                <c:pt idx="199">
                  <c:v>16.842973460266261</c:v>
                </c:pt>
                <c:pt idx="200">
                  <c:v>17.018816218637255</c:v>
                </c:pt>
                <c:pt idx="201">
                  <c:v>17.195538699178918</c:v>
                </c:pt>
                <c:pt idx="202">
                  <c:v>17.373139674963383</c:v>
                </c:pt>
                <c:pt idx="203">
                  <c:v>17.551617911493569</c:v>
                </c:pt>
                <c:pt idx="204">
                  <c:v>17.730972166758267</c:v>
                </c:pt>
                <c:pt idx="205">
                  <c:v>17.911201191286892</c:v>
                </c:pt>
                <c:pt idx="206">
                  <c:v>18.092303679971909</c:v>
                </c:pt>
                <c:pt idx="207">
                  <c:v>18.274278223774587</c:v>
                </c:pt>
                <c:pt idx="208">
                  <c:v>18.45712335787907</c:v>
                </c:pt>
                <c:pt idx="209">
                  <c:v>18.640837609965029</c:v>
                </c:pt>
                <c:pt idx="210">
                  <c:v>18.82541950026587</c:v>
                </c:pt>
                <c:pt idx="211">
                  <c:v>19.010867541626617</c:v>
                </c:pt>
                <c:pt idx="212">
                  <c:v>19.197180239561465</c:v>
                </c:pt>
                <c:pt idx="213">
                  <c:v>19.38435609231102</c:v>
                </c:pt>
                <c:pt idx="214">
                  <c:v>19.57239359089921</c:v>
                </c:pt>
                <c:pt idx="215">
                  <c:v>19.761291219189911</c:v>
                </c:pt>
                <c:pt idx="216">
                  <c:v>19.951047453943247</c:v>
                </c:pt>
                <c:pt idx="217">
                  <c:v>20.141660764871606</c:v>
                </c:pt>
                <c:pt idx="218">
                  <c:v>20.333129614695352</c:v>
                </c:pt>
                <c:pt idx="219">
                  <c:v>20.525452459198252</c:v>
                </c:pt>
                <c:pt idx="220">
                  <c:v>20.718627747282618</c:v>
                </c:pt>
                <c:pt idx="221">
                  <c:v>20.912653921024162</c:v>
                </c:pt>
                <c:pt idx="222">
                  <c:v>21.107529415726578</c:v>
                </c:pt>
                <c:pt idx="223">
                  <c:v>21.30325265997585</c:v>
                </c:pt>
                <c:pt idx="224">
                  <c:v>21.499822075694297</c:v>
                </c:pt>
                <c:pt idx="225">
                  <c:v>21.69723607819434</c:v>
                </c:pt>
                <c:pt idx="226">
                  <c:v>21.895493076232011</c:v>
                </c:pt>
                <c:pt idx="227">
                  <c:v>22.094591472060209</c:v>
                </c:pt>
                <c:pt idx="228">
                  <c:v>22.2945296614817</c:v>
                </c:pt>
                <c:pt idx="229">
                  <c:v>22.495306033901855</c:v>
                </c:pt>
                <c:pt idx="230">
                  <c:v>22.696918972381152</c:v>
                </c:pt>
                <c:pt idx="231">
                  <c:v>22.899366853687422</c:v>
                </c:pt>
                <c:pt idx="232">
                  <c:v>23.102648048347863</c:v>
                </c:pt>
                <c:pt idx="233">
                  <c:v>23.3067609207008</c:v>
                </c:pt>
                <c:pt idx="234">
                  <c:v>23.511703828947219</c:v>
                </c:pt>
                <c:pt idx="235">
                  <c:v>23.717475125202064</c:v>
                </c:pt>
                <c:pt idx="236">
                  <c:v>23.924073155545301</c:v>
                </c:pt>
                <c:pt idx="237">
                  <c:v>24.131496260072748</c:v>
                </c:pt>
                <c:pt idx="238">
                  <c:v>24.339742772946693</c:v>
                </c:pt>
                <c:pt idx="239">
                  <c:v>24.548811022446266</c:v>
                </c:pt>
                <c:pt idx="240">
                  <c:v>24.758699331017606</c:v>
                </c:pt>
                <c:pt idx="241">
                  <c:v>24.969406015323802</c:v>
                </c:pt>
                <c:pt idx="242">
                  <c:v>25.180929215852519</c:v>
                </c:pt>
                <c:pt idx="243">
                  <c:v>25.393266726194124</c:v>
                </c:pt>
                <c:pt idx="244">
                  <c:v>25.606416163199036</c:v>
                </c:pt>
                <c:pt idx="245">
                  <c:v>25.820375137472244</c:v>
                </c:pt>
                <c:pt idx="246">
                  <c:v>26.03514125343829</c:v>
                </c:pt>
                <c:pt idx="247">
                  <c:v>26.250712109405935</c:v>
                </c:pt>
                <c:pt idx="248">
                  <c:v>26.467085297632476</c:v>
                </c:pt>
                <c:pt idx="249">
                  <c:v>26.68425840438778</c:v>
                </c:pt>
                <c:pt idx="250">
                  <c:v>26.902229010017983</c:v>
                </c:pt>
                <c:pt idx="251">
                  <c:v>27.120994689008871</c:v>
                </c:pt>
                <c:pt idx="252">
                  <c:v>27.340553010048968</c:v>
                </c:pt>
                <c:pt idx="253">
                  <c:v>27.560901536092285</c:v>
                </c:pt>
                <c:pt idx="254">
                  <c:v>27.782037824420794</c:v>
                </c:pt>
                <c:pt idx="255">
                  <c:v>28.003959426706565</c:v>
                </c:pt>
                <c:pt idx="256">
                  <c:v>28.226663889073617</c:v>
                </c:pt>
                <c:pt idx="257">
                  <c:v>28.450148752159457</c:v>
                </c:pt>
                <c:pt idx="258">
                  <c:v>28.67441155117632</c:v>
                </c:pt>
                <c:pt idx="259">
                  <c:v>28.899449815972115</c:v>
                </c:pt>
                <c:pt idx="260">
                  <c:v>29.12526107109106</c:v>
                </c:pt>
                <c:pt idx="261">
                  <c:v>29.351842835834024</c:v>
                </c:pt>
                <c:pt idx="262">
                  <c:v>29.579192624318576</c:v>
                </c:pt>
                <c:pt idx="263">
                  <c:v>29.807307945538739</c:v>
                </c:pt>
                <c:pt idx="264">
                  <c:v>30.036186303424447</c:v>
                </c:pt>
                <c:pt idx="265">
                  <c:v>30.265825196900714</c:v>
                </c:pt>
                <c:pt idx="266">
                  <c:v>30.496222119946506</c:v>
                </c:pt>
                <c:pt idx="267">
                  <c:v>30.727374561653328</c:v>
                </c:pt>
                <c:pt idx="268">
                  <c:v>30.959280006283521</c:v>
                </c:pt>
                <c:pt idx="269">
                  <c:v>31.191935933328271</c:v>
                </c:pt>
                <c:pt idx="270">
                  <c:v>31.425339817565327</c:v>
                </c:pt>
                <c:pt idx="271">
                  <c:v>31.659489129116441</c:v>
                </c:pt>
                <c:pt idx="272">
                  <c:v>31.894381333504512</c:v>
                </c:pt>
                <c:pt idx="273">
                  <c:v>32.130013891710462</c:v>
                </c:pt>
                <c:pt idx="274">
                  <c:v>32.366384260229808</c:v>
                </c:pt>
                <c:pt idx="275">
                  <c:v>32.603489891128959</c:v>
                </c:pt>
                <c:pt idx="276">
                  <c:v>32.841328232101255</c:v>
                </c:pt>
                <c:pt idx="277">
                  <c:v>33.079896726522684</c:v>
                </c:pt>
                <c:pt idx="278">
                  <c:v>33.319192813507343</c:v>
                </c:pt>
                <c:pt idx="279">
                  <c:v>33.55921392796261</c:v>
                </c:pt>
                <c:pt idx="280">
                  <c:v>33.799957500644055</c:v>
                </c:pt>
                <c:pt idx="281">
                  <c:v>34.041420958210054</c:v>
                </c:pt>
                <c:pt idx="282">
                  <c:v>34.283601723276128</c:v>
                </c:pt>
                <c:pt idx="283">
                  <c:v>34.526497214469003</c:v>
                </c:pt>
                <c:pt idx="284">
                  <c:v>34.770105051189034</c:v>
                </c:pt>
                <c:pt idx="285">
                  <c:v>35.014423258663484</c:v>
                </c:pt>
                <c:pt idx="286">
                  <c:v>35.259450063523467</c:v>
                </c:pt>
                <c:pt idx="287">
                  <c:v>35.50518368908147</c:v>
                </c:pt>
                <c:pt idx="288">
                  <c:v>35.751622355368077</c:v>
                </c:pt>
                <c:pt idx="289">
                  <c:v>35.998764279168526</c:v>
                </c:pt>
                <c:pt idx="290">
                  <c:v>36.246607674059092</c:v>
                </c:pt>
                <c:pt idx="291">
                  <c:v>36.495150750443365</c:v>
                </c:pt>
                <c:pt idx="292">
                  <c:v>36.744391715588328</c:v>
                </c:pt>
                <c:pt idx="293">
                  <c:v>36.994328773660314</c:v>
                </c:pt>
                <c:pt idx="294">
                  <c:v>37.244960125760805</c:v>
                </c:pt>
                <c:pt idx="295">
                  <c:v>37.496283969962072</c:v>
                </c:pt>
                <c:pt idx="296">
                  <c:v>37.748298501342653</c:v>
                </c:pt>
                <c:pt idx="297">
                  <c:v>38.001001912022723</c:v>
                </c:pt>
                <c:pt idx="298">
                  <c:v>38.254392391199247</c:v>
                </c:pt>
                <c:pt idx="299">
                  <c:v>38.508468125181039</c:v>
                </c:pt>
                <c:pt idx="300">
                  <c:v>38.763227297423654</c:v>
                </c:pt>
                <c:pt idx="301">
                  <c:v>39.018668088564105</c:v>
                </c:pt>
                <c:pt idx="302">
                  <c:v>39.274788676455458</c:v>
                </c:pt>
                <c:pt idx="303">
                  <c:v>39.531587236201275</c:v>
                </c:pt>
                <c:pt idx="304">
                  <c:v>39.789061940189875</c:v>
                </c:pt>
                <c:pt idx="305">
                  <c:v>40.047210958128488</c:v>
                </c:pt>
                <c:pt idx="306">
                  <c:v>40.306032457077222</c:v>
                </c:pt>
                <c:pt idx="307">
                  <c:v>40.56552460148292</c:v>
                </c:pt>
                <c:pt idx="308">
                  <c:v>40.825685553212807</c:v>
                </c:pt>
                <c:pt idx="309">
                  <c:v>41.086513471588056</c:v>
                </c:pt>
                <c:pt idx="310">
                  <c:v>41.348006513417147</c:v>
                </c:pt>
                <c:pt idx="311">
                  <c:v>41.610162833029108</c:v>
                </c:pt>
                <c:pt idx="312">
                  <c:v>41.872980582306603</c:v>
                </c:pt>
                <c:pt idx="313">
                  <c:v>42.13645791071886</c:v>
                </c:pt>
                <c:pt idx="314">
                  <c:v>42.400592965354456</c:v>
                </c:pt>
                <c:pt idx="315">
                  <c:v>42.66538389095394</c:v>
                </c:pt>
                <c:pt idx="316">
                  <c:v>42.930828829942335</c:v>
                </c:pt>
                <c:pt idx="317">
                  <c:v>43.196925922461453</c:v>
                </c:pt>
                <c:pt idx="318">
                  <c:v>43.4636733064021</c:v>
                </c:pt>
                <c:pt idx="319">
                  <c:v>43.731069117436093</c:v>
                </c:pt>
                <c:pt idx="320">
                  <c:v>43.999111489048161</c:v>
                </c:pt>
                <c:pt idx="321">
                  <c:v>44.267798552567669</c:v>
                </c:pt>
                <c:pt idx="322">
                  <c:v>44.537128437200217</c:v>
                </c:pt>
                <c:pt idx="323">
                  <c:v>44.807099270059062</c:v>
                </c:pt>
                <c:pt idx="324">
                  <c:v>45.077709176196429</c:v>
                </c:pt>
                <c:pt idx="325">
                  <c:v>45.348956278634631</c:v>
                </c:pt>
                <c:pt idx="326">
                  <c:v>45.620838711232672</c:v>
                </c:pt>
                <c:pt idx="327">
                  <c:v>45.893354631566154</c:v>
                </c:pt>
                <c:pt idx="328">
                  <c:v>46.166502208129103</c:v>
                </c:pt>
                <c:pt idx="329">
                  <c:v>46.440279607521688</c:v>
                </c:pt>
                <c:pt idx="330">
                  <c:v>46.714684994479846</c:v>
                </c:pt>
                <c:pt idx="331">
                  <c:v>46.989716531904705</c:v>
                </c:pt>
                <c:pt idx="332">
                  <c:v>47.265372380891918</c:v>
                </c:pt>
                <c:pt idx="333">
                  <c:v>47.541650700760812</c:v>
                </c:pt>
                <c:pt idx="334">
                  <c:v>47.818549649083401</c:v>
                </c:pt>
                <c:pt idx="335">
                  <c:v>48.096067381713283</c:v>
                </c:pt>
                <c:pt idx="336">
                  <c:v>48.374202052814375</c:v>
                </c:pt>
                <c:pt idx="337">
                  <c:v>48.652951814889491</c:v>
                </c:pt>
                <c:pt idx="338">
                  <c:v>48.932314818808813</c:v>
                </c:pt>
                <c:pt idx="339">
                  <c:v>49.212289213838183</c:v>
                </c:pt>
                <c:pt idx="340">
                  <c:v>49.492873147667289</c:v>
                </c:pt>
                <c:pt idx="341">
                  <c:v>49.774064766437668</c:v>
                </c:pt>
                <c:pt idx="342">
                  <c:v>50.055862214770606</c:v>
                </c:pt>
                <c:pt idx="343">
                  <c:v>50.338263635794867</c:v>
                </c:pt>
                <c:pt idx="344">
                  <c:v>50.621267171174296</c:v>
                </c:pt>
                <c:pt idx="345">
                  <c:v>50.904870961135266</c:v>
                </c:pt>
                <c:pt idx="346">
                  <c:v>51.189073144493996</c:v>
                </c:pt>
                <c:pt idx="347">
                  <c:v>51.473871858683722</c:v>
                </c:pt>
                <c:pt idx="348">
                  <c:v>51.759265239781726</c:v>
                </c:pt>
                <c:pt idx="349">
                  <c:v>52.045251422536218</c:v>
                </c:pt>
                <c:pt idx="350">
                  <c:v>52.331828540393076</c:v>
                </c:pt>
                <c:pt idx="351">
                  <c:v>52.618994725522462</c:v>
                </c:pt>
                <c:pt idx="352">
                  <c:v>52.906748108845271</c:v>
                </c:pt>
                <c:pt idx="353">
                  <c:v>53.195086820059444</c:v>
                </c:pt>
                <c:pt idx="354">
                  <c:v>53.484008987666165</c:v>
                </c:pt>
                <c:pt idx="355">
                  <c:v>53.773512738995862</c:v>
                </c:pt>
                <c:pt idx="356">
                  <c:v>54.063596200234137</c:v>
                </c:pt>
                <c:pt idx="357">
                  <c:v>54.354257496447481</c:v>
                </c:pt>
                <c:pt idx="358">
                  <c:v>54.645494751608915</c:v>
                </c:pt>
                <c:pt idx="359">
                  <c:v>54.93730608862343</c:v>
                </c:pt>
                <c:pt idx="360">
                  <c:v>55.229689629353324</c:v>
                </c:pt>
                <c:pt idx="361">
                  <c:v>55.522643494643383</c:v>
                </c:pt>
                <c:pt idx="362">
                  <c:v>55.816165804345943</c:v>
                </c:pt>
                <c:pt idx="363">
                  <c:v>56.110254677345758</c:v>
                </c:pt>
                <c:pt idx="364">
                  <c:v>56.404908231584777</c:v>
                </c:pt>
                <c:pt idx="365">
                  <c:v>56.700124584086772</c:v>
                </c:pt>
                <c:pt idx="366">
                  <c:v>56.995902182282201</c:v>
                </c:pt>
                <c:pt idx="367">
                  <c:v>57.29224013558175</c:v>
                </c:pt>
                <c:pt idx="368">
                  <c:v>57.589137884108403</c:v>
                </c:pt>
                <c:pt idx="369">
                  <c:v>57.886594867173038</c:v>
                </c:pt>
                <c:pt idx="370">
                  <c:v>58.184610523283119</c:v>
                </c:pt>
                <c:pt idx="371">
                  <c:v>58.483184290151414</c:v>
                </c:pt>
                <c:pt idx="372">
                  <c:v>58.782315604704642</c:v>
                </c:pt>
                <c:pt idx="373">
                  <c:v>59.082003903092136</c:v>
                </c:pt>
                <c:pt idx="374">
                  <c:v>59.382248620694476</c:v>
                </c:pt>
                <c:pt idx="375">
                  <c:v>59.68304919213206</c:v>
                </c:pt>
                <c:pt idx="376">
                  <c:v>59.984405051273697</c:v>
                </c:pt>
                <c:pt idx="377">
                  <c:v>60.286315631245138</c:v>
                </c:pt>
                <c:pt idx="378">
                  <c:v>60.588780364437618</c:v>
                </c:pt>
                <c:pt idx="379">
                  <c:v>60.891798682516331</c:v>
                </c:pt>
                <c:pt idx="380">
                  <c:v>61.195370016428924</c:v>
                </c:pt>
                <c:pt idx="381">
                  <c:v>61.499493436519337</c:v>
                </c:pt>
                <c:pt idx="382">
                  <c:v>61.804167292396684</c:v>
                </c:pt>
                <c:pt idx="383">
                  <c:v>62.109389572873617</c:v>
                </c:pt>
                <c:pt idx="384">
                  <c:v>62.415158266157682</c:v>
                </c:pt>
                <c:pt idx="385">
                  <c:v>62.721471359875743</c:v>
                </c:pt>
                <c:pt idx="386">
                  <c:v>63.028326841098256</c:v>
                </c:pt>
                <c:pt idx="387">
                  <c:v>63.335722696363398</c:v>
                </c:pt>
                <c:pt idx="388">
                  <c:v>63.643656911701015</c:v>
                </c:pt>
                <c:pt idx="389">
                  <c:v>63.952127472656443</c:v>
                </c:pt>
                <c:pt idx="390">
                  <c:v>64.261132364314165</c:v>
                </c:pt>
                <c:pt idx="391">
                  <c:v>64.570669571321289</c:v>
                </c:pt>
                <c:pt idx="392">
                  <c:v>64.88073707791095</c:v>
                </c:pt>
                <c:pt idx="393">
                  <c:v>65.191332867925468</c:v>
                </c:pt>
                <c:pt idx="394">
                  <c:v>65.502454924839384</c:v>
                </c:pt>
                <c:pt idx="395">
                  <c:v>65.814101231782388</c:v>
                </c:pt>
                <c:pt idx="396">
                  <c:v>66.126269771562022</c:v>
                </c:pt>
                <c:pt idx="397">
                  <c:v>66.438958526686278</c:v>
                </c:pt>
                <c:pt idx="398">
                  <c:v>66.752165479386036</c:v>
                </c:pt>
                <c:pt idx="399">
                  <c:v>67.065888611637348</c:v>
                </c:pt>
                <c:pt idx="400">
                  <c:v>67.380125905183547</c:v>
                </c:pt>
                <c:pt idx="401">
                  <c:v>67.694875056699317</c:v>
                </c:pt>
                <c:pt idx="402">
                  <c:v>68.010133192800822</c:v>
                </c:pt>
                <c:pt idx="403">
                  <c:v>68.325897155020996</c:v>
                </c:pt>
                <c:pt idx="404">
                  <c:v>68.642163784945978</c:v>
                </c:pt>
                <c:pt idx="405">
                  <c:v>68.958929924251436</c:v>
                </c:pt>
                <c:pt idx="406">
                  <c:v>69.276192414738702</c:v>
                </c:pt>
                <c:pt idx="407">
                  <c:v>69.593948098370433</c:v>
                </c:pt>
                <c:pt idx="408">
                  <c:v>69.91219381730609</c:v>
                </c:pt>
                <c:pt idx="409">
                  <c:v>70.230926413937041</c:v>
                </c:pt>
                <c:pt idx="410">
                  <c:v>70.550142730921365</c:v>
                </c:pt>
                <c:pt idx="411">
                  <c:v>70.869838032593535</c:v>
                </c:pt>
                <c:pt idx="412">
                  <c:v>71.190004425675937</c:v>
                </c:pt>
                <c:pt idx="413">
                  <c:v>71.510632438734518</c:v>
                </c:pt>
                <c:pt idx="414">
                  <c:v>71.831712602400458</c:v>
                </c:pt>
                <c:pt idx="415">
                  <c:v>72.153235449539125</c:v>
                </c:pt>
                <c:pt idx="416">
                  <c:v>72.47519151541681</c:v>
                </c:pt>
                <c:pt idx="417">
                  <c:v>72.797571337865136</c:v>
                </c:pt>
                <c:pt idx="418">
                  <c:v>73.120365457443256</c:v>
                </c:pt>
                <c:pt idx="419">
                  <c:v>73.443564417597727</c:v>
                </c:pt>
                <c:pt idx="420">
                  <c:v>73.76715786449293</c:v>
                </c:pt>
                <c:pt idx="421">
                  <c:v>74.091133646607815</c:v>
                </c:pt>
                <c:pt idx="422">
                  <c:v>74.41547871594112</c:v>
                </c:pt>
                <c:pt idx="423">
                  <c:v>74.740180029503151</c:v>
                </c:pt>
                <c:pt idx="424">
                  <c:v>75.065224549578261</c:v>
                </c:pt>
                <c:pt idx="425">
                  <c:v>75.390599243983203</c:v>
                </c:pt>
                <c:pt idx="426">
                  <c:v>75.716291086321235</c:v>
                </c:pt>
                <c:pt idx="427">
                  <c:v>76.042287056232112</c:v>
                </c:pt>
                <c:pt idx="428">
                  <c:v>76.368574139637957</c:v>
                </c:pt>
                <c:pt idx="429">
                  <c:v>76.695139328984936</c:v>
                </c:pt>
                <c:pt idx="430">
                  <c:v>77.0219696234808</c:v>
                </c:pt>
                <c:pt idx="431">
                  <c:v>77.349052029328334</c:v>
                </c:pt>
                <c:pt idx="432">
                  <c:v>77.676372104143809</c:v>
                </c:pt>
                <c:pt idx="433">
                  <c:v>78.003912501432239</c:v>
                </c:pt>
                <c:pt idx="434">
                  <c:v>78.331654428468966</c:v>
                </c:pt>
                <c:pt idx="435">
                  <c:v>78.659579104231952</c:v>
                </c:pt>
                <c:pt idx="436">
                  <c:v>78.987667759843561</c:v>
                </c:pt>
                <c:pt idx="437">
                  <c:v>79.315901639003812</c:v>
                </c:pt>
                <c:pt idx="438">
                  <c:v>79.644261998415118</c:v>
                </c:pt>
                <c:pt idx="439">
                  <c:v>79.972730108198533</c:v>
                </c:pt>
                <c:pt idx="440">
                  <c:v>80.301287252301492</c:v>
                </c:pt>
                <c:pt idx="441">
                  <c:v>80.629914728897134</c:v>
                </c:pt>
                <c:pt idx="442">
                  <c:v>80.958594737554037</c:v>
                </c:pt>
                <c:pt idx="443">
                  <c:v>81.287311266076685</c:v>
                </c:pt>
                <c:pt idx="444">
                  <c:v>81.61604920255057</c:v>
                </c:pt>
                <c:pt idx="445">
                  <c:v>81.944793447632563</c:v>
                </c:pt>
                <c:pt idx="446">
                  <c:v>82.273528914775241</c:v>
                </c:pt>
                <c:pt idx="447">
                  <c:v>82.602240530445627</c:v>
                </c:pt>
                <c:pt idx="448">
                  <c:v>82.930913234338632</c:v>
                </c:pt>
                <c:pt idx="449">
                  <c:v>83.259531979584906</c:v>
                </c:pt>
                <c:pt idx="450">
                  <c:v>83.588081732953384</c:v>
                </c:pt>
                <c:pt idx="451">
                  <c:v>83.916547475048361</c:v>
                </c:pt>
                <c:pt idx="452">
                  <c:v>84.244914200501213</c:v>
                </c:pt>
                <c:pt idx="453">
                  <c:v>84.573168192314412</c:v>
                </c:pt>
                <c:pt idx="454">
                  <c:v>84.901298295424525</c:v>
                </c:pt>
                <c:pt idx="455">
                  <c:v>85.229294640056196</c:v>
                </c:pt>
                <c:pt idx="456">
                  <c:v>85.557147365787486</c:v>
                </c:pt>
                <c:pt idx="457">
                  <c:v>85.884846621598413</c:v>
                </c:pt>
                <c:pt idx="458">
                  <c:v>86.212382565917324</c:v>
                </c:pt>
                <c:pt idx="459">
                  <c:v>86.539745366665059</c:v>
                </c:pt>
                <c:pt idx="460">
                  <c:v>86.86692520129688</c:v>
                </c:pt>
                <c:pt idx="461">
                  <c:v>87.193913406463864</c:v>
                </c:pt>
                <c:pt idx="462">
                  <c:v>87.520703626862385</c:v>
                </c:pt>
                <c:pt idx="463">
                  <c:v>87.847290663110641</c:v>
                </c:pt>
                <c:pt idx="464">
                  <c:v>88.173669320411193</c:v>
                </c:pt>
                <c:pt idx="465">
                  <c:v>88.499834408539627</c:v>
                </c:pt>
                <c:pt idx="466">
                  <c:v>88.825779774434906</c:v>
                </c:pt>
                <c:pt idx="467">
                  <c:v>89.151497335498561</c:v>
                </c:pt>
                <c:pt idx="468">
                  <c:v>89.476967268583891</c:v>
                </c:pt>
                <c:pt idx="469">
                  <c:v>89.802161404399442</c:v>
                </c:pt>
                <c:pt idx="470">
                  <c:v>90.127067219908298</c:v>
                </c:pt>
                <c:pt idx="471">
                  <c:v>90.451685407138783</c:v>
                </c:pt>
                <c:pt idx="472">
                  <c:v>90.776016655719076</c:v>
                </c:pt>
                <c:pt idx="473">
                  <c:v>91.100061652888584</c:v>
                </c:pt>
                <c:pt idx="474">
                  <c:v>91.423821083509168</c:v>
                </c:pt>
                <c:pt idx="475">
                  <c:v>91.747295630076422</c:v>
                </c:pt>
                <c:pt idx="476">
                  <c:v>92.070485972730765</c:v>
                </c:pt>
                <c:pt idx="477">
                  <c:v>92.39339278926856</c:v>
                </c:pt>
                <c:pt idx="478">
                  <c:v>92.716016755153106</c:v>
                </c:pt>
                <c:pt idx="479">
                  <c:v>93.038358543525604</c:v>
                </c:pt>
                <c:pt idx="480">
                  <c:v>93.36041882521603</c:v>
                </c:pt>
                <c:pt idx="481">
                  <c:v>93.682198268753964</c:v>
                </c:pt>
                <c:pt idx="482">
                  <c:v>94.003697540379335</c:v>
                </c:pt>
                <c:pt idx="483">
                  <c:v>94.324917304053145</c:v>
                </c:pt>
                <c:pt idx="484">
                  <c:v>94.645858221468075</c:v>
                </c:pt>
                <c:pt idx="485">
                  <c:v>94.966520952059071</c:v>
                </c:pt>
                <c:pt idx="486">
                  <c:v>95.286906153013817</c:v>
                </c:pt>
                <c:pt idx="487">
                  <c:v>95.607014479283237</c:v>
                </c:pt>
                <c:pt idx="488">
                  <c:v>95.926846583591839</c:v>
                </c:pt>
                <c:pt idx="489">
                  <c:v>96.24640311644805</c:v>
                </c:pt>
                <c:pt idx="490">
                  <c:v>96.565684726154487</c:v>
                </c:pt>
                <c:pt idx="491">
                  <c:v>96.88469205881816</c:v>
                </c:pt>
                <c:pt idx="492">
                  <c:v>97.203425758360609</c:v>
                </c:pt>
                <c:pt idx="493">
                  <c:v>97.521886466527988</c:v>
                </c:pt>
                <c:pt idx="494">
                  <c:v>97.84007482290113</c:v>
                </c:pt>
                <c:pt idx="495">
                  <c:v>98.157991464905464</c:v>
                </c:pt>
                <c:pt idx="496">
                  <c:v>98.475637027820966</c:v>
                </c:pt>
                <c:pt idx="497">
                  <c:v>98.793012144792002</c:v>
                </c:pt>
                <c:pt idx="498">
                  <c:v>99.110117446837108</c:v>
                </c:pt>
                <c:pt idx="499">
                  <c:v>99.42695356285877</c:v>
                </c:pt>
                <c:pt idx="500">
                  <c:v>99.743521119653082</c:v>
                </c:pt>
                <c:pt idx="501">
                  <c:v>102.89447432075595</c:v>
                </c:pt>
                <c:pt idx="502">
                  <c:v>106.01897392881712</c:v>
                </c:pt>
                <c:pt idx="503">
                  <c:v>109.11762715646719</c:v>
                </c:pt>
                <c:pt idx="504">
                  <c:v>112.19102138441373</c:v>
                </c:pt>
                <c:pt idx="505">
                  <c:v>115.23972503881592</c:v>
                </c:pt>
                <c:pt idx="506">
                  <c:v>118.26428842033155</c:v>
                </c:pt>
                <c:pt idx="507">
                  <c:v>121.26524448801779</c:v>
                </c:pt>
                <c:pt idx="508">
                  <c:v>124.24310960102443</c:v>
                </c:pt>
                <c:pt idx="509">
                  <c:v>127.19838422079663</c:v>
                </c:pt>
                <c:pt idx="510">
                  <c:v>130.13155357630094</c:v>
                </c:pt>
                <c:pt idx="511">
                  <c:v>133.04308829460334</c:v>
                </c:pt>
                <c:pt idx="512">
                  <c:v>135.93344499895741</c:v>
                </c:pt>
                <c:pt idx="513">
                  <c:v>138.80306687640527</c:v>
                </c:pt>
                <c:pt idx="514">
                  <c:v>141.65238421675025</c:v>
                </c:pt>
                <c:pt idx="515">
                  <c:v>144.48181492462916</c:v>
                </c:pt>
                <c:pt idx="516">
                  <c:v>147.29176500629075</c:v>
                </c:pt>
                <c:pt idx="517">
                  <c:v>150.08262903257574</c:v>
                </c:pt>
                <c:pt idx="518">
                  <c:v>152.85479057949112</c:v>
                </c:pt>
                <c:pt idx="519">
                  <c:v>155.60862264767687</c:v>
                </c:pt>
                <c:pt idx="520">
                  <c:v>158.3444880619758</c:v>
                </c:pt>
                <c:pt idx="521">
                  <c:v>161.06273985223697</c:v>
                </c:pt>
                <c:pt idx="522">
                  <c:v>163.76372161640816</c:v>
                </c:pt>
                <c:pt idx="523">
                  <c:v>166.44776786690403</c:v>
                </c:pt>
                <c:pt idx="524">
                  <c:v>169.11520436117306</c:v>
                </c:pt>
                <c:pt idx="525">
                  <c:v>171.76634841732698</c:v>
                </c:pt>
                <c:pt idx="526">
                  <c:v>174.40150921564148</c:v>
                </c:pt>
                <c:pt idx="527">
                  <c:v>177.02098808668623</c:v>
                </c:pt>
                <c:pt idx="528">
                  <c:v>179.62507878679526</c:v>
                </c:pt>
                <c:pt idx="529">
                  <c:v>182.21406776154427</c:v>
                </c:pt>
                <c:pt idx="530">
                  <c:v>184.78823439786123</c:v>
                </c:pt>
                <c:pt idx="531">
                  <c:v>187.34785126535826</c:v>
                </c:pt>
                <c:pt idx="532">
                  <c:v>189.89318434743754</c:v>
                </c:pt>
                <c:pt idx="533">
                  <c:v>192.42449326269116</c:v>
                </c:pt>
                <c:pt idx="534">
                  <c:v>194.94203147708396</c:v>
                </c:pt>
                <c:pt idx="535">
                  <c:v>197.44604650737995</c:v>
                </c:pt>
                <c:pt idx="536">
                  <c:v>199.93678011624581</c:v>
                </c:pt>
                <c:pt idx="537">
                  <c:v>202.41446849944057</c:v>
                </c:pt>
                <c:pt idx="538">
                  <c:v>204.87934246547661</c:v>
                </c:pt>
                <c:pt idx="539">
                  <c:v>207.33162760811567</c:v>
                </c:pt>
                <c:pt idx="540">
                  <c:v>209.77154447204319</c:v>
                </c:pt>
                <c:pt idx="541">
                  <c:v>212.19930871204497</c:v>
                </c:pt>
                <c:pt idx="542">
                  <c:v>214.61513124599213</c:v>
                </c:pt>
                <c:pt idx="543">
                  <c:v>217.01921840192418</c:v>
                </c:pt>
                <c:pt idx="544">
                  <c:v>219.41177205950339</c:v>
                </c:pt>
                <c:pt idx="545">
                  <c:v>221.79298978609987</c:v>
                </c:pt>
                <c:pt idx="546">
                  <c:v>224.16306496775184</c:v>
                </c:pt>
                <c:pt idx="547">
                  <c:v>226.52218693523358</c:v>
                </c:pt>
                <c:pt idx="548">
                  <c:v>228.8705410854507</c:v>
                </c:pt>
                <c:pt idx="549">
                  <c:v>231.20830899837094</c:v>
                </c:pt>
                <c:pt idx="550">
                  <c:v>233.53566854968815</c:v>
                </c:pt>
                <c:pt idx="551">
                  <c:v>235.8527940194067</c:v>
                </c:pt>
                <c:pt idx="552">
                  <c:v>238.15985619652403</c:v>
                </c:pt>
                <c:pt idx="553">
                  <c:v>240.45702247998017</c:v>
                </c:pt>
                <c:pt idx="554">
                  <c:v>242.74445697603429</c:v>
                </c:pt>
                <c:pt idx="555">
                  <c:v>245.02232059222061</c:v>
                </c:pt>
                <c:pt idx="556">
                  <c:v>247.2907711280283</c:v>
                </c:pt>
                <c:pt idx="557">
                  <c:v>249.54996336244264</c:v>
                </c:pt>
                <c:pt idx="558">
                  <c:v>251.80004913847867</c:v>
                </c:pt>
                <c:pt idx="559">
                  <c:v>254.04117744483116</c:v>
                </c:pt>
                <c:pt idx="560">
                  <c:v>256.2734944947598</c:v>
                </c:pt>
                <c:pt idx="561">
                  <c:v>258.49714380232189</c:v>
                </c:pt>
                <c:pt idx="562">
                  <c:v>260.71226625606027</c:v>
                </c:pt>
                <c:pt idx="563">
                  <c:v>262.91900019024825</c:v>
                </c:pt>
                <c:pt idx="564">
                  <c:v>265.11748145378937</c:v>
                </c:pt>
                <c:pt idx="565">
                  <c:v>267.30784347686472</c:v>
                </c:pt>
                <c:pt idx="566">
                  <c:v>269.49021733541628</c:v>
                </c:pt>
                <c:pt idx="567">
                  <c:v>271.66473181355082</c:v>
                </c:pt>
                <c:pt idx="568">
                  <c:v>273.83151346394493</c:v>
                </c:pt>
                <c:pt idx="569">
                  <c:v>275.99068666632797</c:v>
                </c:pt>
                <c:pt idx="570">
                  <c:v>278.14237368411642</c:v>
                </c:pt>
                <c:pt idx="571">
                  <c:v>280.28669471926969</c:v>
                </c:pt>
                <c:pt idx="572">
                  <c:v>282.42376796543431</c:v>
                </c:pt>
                <c:pt idx="573">
                  <c:v>284.55370965944036</c:v>
                </c:pt>
                <c:pt idx="574">
                  <c:v>286.67663413121136</c:v>
                </c:pt>
                <c:pt idx="575">
                  <c:v>288.79265385214569</c:v>
                </c:pt>
                <c:pt idx="576">
                  <c:v>290.90187948202572</c:v>
                </c:pt>
                <c:pt idx="577">
                  <c:v>293.00441991450765</c:v>
                </c:pt>
                <c:pt idx="578">
                  <c:v>295.10038232124339</c:v>
                </c:pt>
                <c:pt idx="579">
                  <c:v>297.18987219468266</c:v>
                </c:pt>
                <c:pt idx="580">
                  <c:v>299.27299338960279</c:v>
                </c:pt>
                <c:pt idx="581">
                  <c:v>301.34984816341006</c:v>
                </c:pt>
                <c:pt idx="582">
                  <c:v>303.42053721525565</c:v>
                </c:pt>
                <c:pt idx="583">
                  <c:v>305.48515972400702</c:v>
                </c:pt>
                <c:pt idx="584">
                  <c:v>307.54381338511348</c:v>
                </c:pt>
                <c:pt idx="585">
                  <c:v>309.59659444640386</c:v>
                </c:pt>
                <c:pt idx="586">
                  <c:v>311.64359774285145</c:v>
                </c:pt>
                <c:pt idx="587">
                  <c:v>313.6849167303406</c:v>
                </c:pt>
                <c:pt idx="588">
                  <c:v>315.72064351846785</c:v>
                </c:pt>
                <c:pt idx="589">
                  <c:v>317.7508689024088</c:v>
                </c:pt>
                <c:pt idx="590">
                  <c:v>319.77568239388023</c:v>
                </c:pt>
                <c:pt idx="591">
                  <c:v>321.79517225122669</c:v>
                </c:pt>
                <c:pt idx="592">
                  <c:v>323.80942550865814</c:v>
                </c:pt>
                <c:pt idx="593">
                  <c:v>325.81852800466544</c:v>
                </c:pt>
                <c:pt idx="594">
                  <c:v>327.82256440963801</c:v>
                </c:pt>
                <c:pt idx="595">
                  <c:v>329.82161825270765</c:v>
                </c:pt>
                <c:pt idx="596">
                  <c:v>331.81577194784091</c:v>
                </c:pt>
                <c:pt idx="597">
                  <c:v>333.80510681920197</c:v>
                </c:pt>
                <c:pt idx="598">
                  <c:v>335.78970312580606</c:v>
                </c:pt>
                <c:pt idx="599">
                  <c:v>337.7696400854831</c:v>
                </c:pt>
                <c:pt idx="600">
                  <c:v>339.74499589816998</c:v>
                </c:pt>
                <c:pt idx="601">
                  <c:v>341.71584776854905</c:v>
                </c:pt>
                <c:pt idx="602">
                  <c:v>343.68227192804909</c:v>
                </c:pt>
                <c:pt idx="603">
                  <c:v>345.64434365622446</c:v>
                </c:pt>
                <c:pt idx="604">
                  <c:v>347.60213730152708</c:v>
                </c:pt>
                <c:pt idx="605">
                  <c:v>349.55572630148487</c:v>
                </c:pt>
                <c:pt idx="606">
                  <c:v>351.50518320229946</c:v>
                </c:pt>
                <c:pt idx="607">
                  <c:v>353.45057967787477</c:v>
                </c:pt>
                <c:pt idx="608">
                  <c:v>355.39198654828755</c:v>
                </c:pt>
                <c:pt idx="609">
                  <c:v>357.32947379770985</c:v>
                </c:pt>
                <c:pt idx="610">
                  <c:v>359.26311059179221</c:v>
                </c:pt>
                <c:pt idx="611">
                  <c:v>361.19296529451589</c:v>
                </c:pt>
                <c:pt idx="612">
                  <c:v>363.11910548452073</c:v>
                </c:pt>
                <c:pt idx="613">
                  <c:v>365.04159797091518</c:v>
                </c:pt>
                <c:pt idx="614">
                  <c:v>366.96050880857285</c:v>
                </c:pt>
                <c:pt idx="615">
                  <c:v>368.87590331292034</c:v>
                </c:pt>
                <c:pt idx="616">
                  <c:v>370.78784607421778</c:v>
                </c:pt>
                <c:pt idx="617">
                  <c:v>372.69640097133521</c:v>
                </c:pt>
                <c:pt idx="618">
                  <c:v>374.60163118502362</c:v>
                </c:pt>
                <c:pt idx="619">
                  <c:v>376.5035992106807</c:v>
                </c:pt>
                <c:pt idx="620">
                  <c:v>378.40236687060849</c:v>
                </c:pt>
                <c:pt idx="621">
                  <c:v>380.29799532575873</c:v>
                </c:pt>
                <c:pt idx="622">
                  <c:v>382.19054508696109</c:v>
                </c:pt>
                <c:pt idx="623">
                  <c:v>384.08007602562662</c:v>
                </c:pt>
                <c:pt idx="624">
                  <c:v>385.96664738391746</c:v>
                </c:pt>
                <c:pt idx="625">
                  <c:v>387.85031778437167</c:v>
                </c:pt>
                <c:pt idx="626">
                  <c:v>389.73114523897056</c:v>
                </c:pt>
                <c:pt idx="627">
                  <c:v>391.60918715763205</c:v>
                </c:pt>
                <c:pt idx="628">
                  <c:v>393.48450035611296</c:v>
                </c:pt>
                <c:pt idx="629">
                  <c:v>395.3571410632984</c:v>
                </c:pt>
                <c:pt idx="630">
                  <c:v>397.22716492785531</c:v>
                </c:pt>
                <c:pt idx="631">
                  <c:v>399.09462702422172</c:v>
                </c:pt>
                <c:pt idx="632">
                  <c:v>400.95958185790181</c:v>
                </c:pt>
                <c:pt idx="633">
                  <c:v>402.82208337003073</c:v>
                </c:pt>
                <c:pt idx="634">
                  <c:v>404.68218494117008</c:v>
                </c:pt>
                <c:pt idx="635">
                  <c:v>406.53993939428949</c:v>
                </c:pt>
                <c:pt idx="636">
                  <c:v>408.39539899688384</c:v>
                </c:pt>
                <c:pt idx="637">
                  <c:v>410.24861546217033</c:v>
                </c:pt>
                <c:pt idx="638">
                  <c:v>412.09963994930206</c:v>
                </c:pt>
                <c:pt idx="639">
                  <c:v>413.94852306252807</c:v>
                </c:pt>
                <c:pt idx="640">
                  <c:v>415.79531484922074</c:v>
                </c:pt>
                <c:pt idx="641">
                  <c:v>417.64006479668308</c:v>
                </c:pt>
                <c:pt idx="642">
                  <c:v>419.48282182763751</c:v>
                </c:pt>
                <c:pt idx="643">
                  <c:v>421.32363429428682</c:v>
                </c:pt>
                <c:pt idx="644">
                  <c:v>423.16254997082603</c:v>
                </c:pt>
                <c:pt idx="645">
                  <c:v>424.99961604426932</c:v>
                </c:pt>
                <c:pt idx="646">
                  <c:v>426.83487910344235</c:v>
                </c:pt>
                <c:pt idx="647">
                  <c:v>428.66838512597292</c:v>
                </c:pt>
                <c:pt idx="648">
                  <c:v>430.500179463096</c:v>
                </c:pt>
                <c:pt idx="649">
                  <c:v>432.33030682206964</c:v>
                </c:pt>
                <c:pt idx="650">
                  <c:v>434.15881124597803</c:v>
                </c:pt>
                <c:pt idx="651">
                  <c:v>435.98573609067654</c:v>
                </c:pt>
                <c:pt idx="652">
                  <c:v>437.81112399861121</c:v>
                </c:pt>
                <c:pt idx="653">
                  <c:v>439.6350168692224</c:v>
                </c:pt>
                <c:pt idx="654">
                  <c:v>441.45745582562074</c:v>
                </c:pt>
                <c:pt idx="655">
                  <c:v>443.27848117720248</c:v>
                </c:pt>
                <c:pt idx="656">
                  <c:v>445.09813237785346</c:v>
                </c:pt>
                <c:pt idx="657">
                  <c:v>446.91644797937937</c:v>
                </c:pt>
                <c:pt idx="658">
                  <c:v>448.73346557979318</c:v>
                </c:pt>
                <c:pt idx="659">
                  <c:v>450.54922176609824</c:v>
                </c:pt>
                <c:pt idx="660">
                  <c:v>452.36375205122522</c:v>
                </c:pt>
                <c:pt idx="661">
                  <c:v>454.17709080482354</c:v>
                </c:pt>
                <c:pt idx="662">
                  <c:v>455.98927117767528</c:v>
                </c:pt>
                <c:pt idx="663">
                  <c:v>457.8003250196017</c:v>
                </c:pt>
                <c:pt idx="664">
                  <c:v>459.61028279087452</c:v>
                </c:pt>
                <c:pt idx="665">
                  <c:v>461.41917346733624</c:v>
                </c:pt>
                <c:pt idx="666">
                  <c:v>463.22702443967756</c:v>
                </c:pt>
                <c:pt idx="667">
                  <c:v>465.03386140762473</c:v>
                </c:pt>
                <c:pt idx="668">
                  <c:v>466.839708270149</c:v>
                </c:pt>
                <c:pt idx="669">
                  <c:v>468.64458701321871</c:v>
                </c:pt>
                <c:pt idx="670">
                  <c:v>470.44851759705392</c:v>
                </c:pt>
                <c:pt idx="671">
                  <c:v>472.25151784528498</c:v>
                </c:pt>
                <c:pt idx="672">
                  <c:v>474.05360333881885</c:v>
                </c:pt>
                <c:pt idx="673">
                  <c:v>475.85478731753335</c:v>
                </c:pt>
                <c:pt idx="674">
                  <c:v>477.65508059309099</c:v>
                </c:pt>
                <c:pt idx="675">
                  <c:v>479.4544914761434</c:v>
                </c:pt>
                <c:pt idx="676">
                  <c:v>481.25302572094517</c:v>
                </c:pt>
                <c:pt idx="677">
                  <c:v>483.05068648989879</c:v>
                </c:pt>
                <c:pt idx="678">
                  <c:v>484.84747433983046</c:v>
                </c:pt>
                <c:pt idx="679">
                  <c:v>486.64338723090395</c:v>
                </c:pt>
                <c:pt idx="680">
                  <c:v>488.43842055809313</c:v>
                </c:pt>
                <c:pt idx="681">
                  <c:v>490.2325672041581</c:v>
                </c:pt>
                <c:pt idx="682">
                  <c:v>492.02581761219329</c:v>
                </c:pt>
                <c:pt idx="683">
                  <c:v>493.81815987512408</c:v>
                </c:pt>
                <c:pt idx="684">
                  <c:v>495.60957983906491</c:v>
                </c:pt>
                <c:pt idx="685">
                  <c:v>497.40006121723491</c:v>
                </c:pt>
                <c:pt idx="686">
                  <c:v>499.1895857111374</c:v>
                </c:pt>
                <c:pt idx="687">
                  <c:v>500.97813313591018</c:v>
                </c:pt>
                <c:pt idx="688">
                  <c:v>502.76568154708701</c:v>
                </c:pt>
                <c:pt idx="689">
                  <c:v>504.55220736642781</c:v>
                </c:pt>
                <c:pt idx="690">
                  <c:v>506.33768550492289</c:v>
                </c:pt>
                <c:pt idx="691">
                  <c:v>508.12208948151664</c:v>
                </c:pt>
                <c:pt idx="692">
                  <c:v>509.90539153650235</c:v>
                </c:pt>
                <c:pt idx="693">
                  <c:v>511.68756273889466</c:v>
                </c:pt>
                <c:pt idx="694">
                  <c:v>513.46857308738356</c:v>
                </c:pt>
                <c:pt idx="695">
                  <c:v>515.24839160471174</c:v>
                </c:pt>
                <c:pt idx="696">
                  <c:v>517.02698642550217</c:v>
                </c:pt>
                <c:pt idx="697">
                  <c:v>518.80432487769747</c:v>
                </c:pt>
                <c:pt idx="698">
                  <c:v>520.5803735578711</c:v>
                </c:pt>
                <c:pt idx="699">
                  <c:v>522.35509840072996</c:v>
                </c:pt>
                <c:pt idx="700">
                  <c:v>524.1284647431695</c:v>
                </c:pt>
                <c:pt idx="701">
                  <c:v>525.90043738325573</c:v>
                </c:pt>
                <c:pt idx="702">
                  <c:v>527.67098063451544</c:v>
                </c:pt>
                <c:pt idx="703">
                  <c:v>529.44005837590566</c:v>
                </c:pt>
                <c:pt idx="704">
                  <c:v>531.20763409782035</c:v>
                </c:pt>
                <c:pt idx="705">
                  <c:v>532.97367094447372</c:v>
                </c:pt>
                <c:pt idx="706">
                  <c:v>534.73813175297676</c:v>
                </c:pt>
                <c:pt idx="707">
                  <c:v>536.50097908940097</c:v>
                </c:pt>
                <c:pt idx="708">
                  <c:v>538.26217528210134</c:v>
                </c:pt>
                <c:pt idx="709">
                  <c:v>540.02168245254597</c:v>
                </c:pt>
                <c:pt idx="710">
                  <c:v>541.77946254388041</c:v>
                </c:pt>
                <c:pt idx="711">
                  <c:v>543.53547734743131</c:v>
                </c:pt>
                <c:pt idx="712">
                  <c:v>545.28968852733806</c:v>
                </c:pt>
                <c:pt idx="713">
                  <c:v>547.04205764348103</c:v>
                </c:pt>
                <c:pt idx="714">
                  <c:v>548.79254617285972</c:v>
                </c:pt>
                <c:pt idx="715">
                  <c:v>550.54111552955874</c:v>
                </c:pt>
                <c:pt idx="716">
                  <c:v>552.28772708342785</c:v>
                </c:pt>
                <c:pt idx="717">
                  <c:v>554.03234217758666</c:v>
                </c:pt>
                <c:pt idx="718">
                  <c:v>555.77492214485756</c:v>
                </c:pt>
                <c:pt idx="719">
                  <c:v>557.51542832321707</c:v>
                </c:pt>
                <c:pt idx="720">
                  <c:v>559.2538220703492</c:v>
                </c:pt>
                <c:pt idx="721">
                  <c:v>560.9900647773751</c:v>
                </c:pt>
                <c:pt idx="722">
                  <c:v>562.72411788182615</c:v>
                </c:pt>
                <c:pt idx="723">
                  <c:v>564.45594287992162</c:v>
                </c:pt>
                <c:pt idx="724">
                  <c:v>566.185501338206</c:v>
                </c:pt>
                <c:pt idx="725">
                  <c:v>567.91275490459554</c:v>
                </c:pt>
                <c:pt idx="726">
                  <c:v>569.63766531887893</c:v>
                </c:pt>
                <c:pt idx="727">
                  <c:v>571.36019442271311</c:v>
                </c:pt>
                <c:pt idx="728">
                  <c:v>573.08030416915108</c:v>
                </c:pt>
                <c:pt idx="729">
                  <c:v>574.79795663173547</c:v>
                </c:pt>
                <c:pt idx="730">
                  <c:v>576.51311401318787</c:v>
                </c:pt>
                <c:pt idx="731">
                  <c:v>578.22573865372181</c:v>
                </c:pt>
                <c:pt idx="732">
                  <c:v>579.93579303900469</c:v>
                </c:pt>
                <c:pt idx="733">
                  <c:v>581.6432398077917</c:v>
                </c:pt>
                <c:pt idx="734">
                  <c:v>583.34804175925206</c:v>
                </c:pt>
                <c:pt idx="735">
                  <c:v>585.05016186000705</c:v>
                </c:pt>
                <c:pt idx="736">
                  <c:v>586.74956325089693</c:v>
                </c:pt>
                <c:pt idx="737">
                  <c:v>588.44620925349341</c:v>
                </c:pt>
                <c:pt idx="738">
                  <c:v>590.14006337637056</c:v>
                </c:pt>
                <c:pt idx="739">
                  <c:v>591.83108932114942</c:v>
                </c:pt>
                <c:pt idx="740">
                  <c:v>593.51925098832692</c:v>
                </c:pt>
                <c:pt idx="741">
                  <c:v>595.20451248290112</c:v>
                </c:pt>
                <c:pt idx="742">
                  <c:v>596.88683811980263</c:v>
                </c:pt>
                <c:pt idx="743">
                  <c:v>598.56619242914178</c:v>
                </c:pt>
                <c:pt idx="744">
                  <c:v>600.24254016128009</c:v>
                </c:pt>
                <c:pt idx="745">
                  <c:v>601.91584629173394</c:v>
                </c:pt>
                <c:pt idx="746">
                  <c:v>603.58607602591815</c:v>
                </c:pt>
                <c:pt idx="747">
                  <c:v>605.2531948037356</c:v>
                </c:pt>
                <c:pt idx="748">
                  <c:v>606.91716830401947</c:v>
                </c:pt>
                <c:pt idx="749">
                  <c:v>608.577962448834</c:v>
                </c:pt>
                <c:pt idx="750">
                  <c:v>610.23554340763872</c:v>
                </c:pt>
                <c:pt idx="751">
                  <c:v>611.88987760132125</c:v>
                </c:pt>
                <c:pt idx="752">
                  <c:v>613.54093170610327</c:v>
                </c:pt>
                <c:pt idx="753">
                  <c:v>615.18867265732376</c:v>
                </c:pt>
                <c:pt idx="754">
                  <c:v>616.8330676531034</c:v>
                </c:pt>
                <c:pt idx="755">
                  <c:v>618.47408415789391</c:v>
                </c:pt>
                <c:pt idx="756">
                  <c:v>620.11168990591568</c:v>
                </c:pt>
                <c:pt idx="757">
                  <c:v>621.7458529044867</c:v>
                </c:pt>
                <c:pt idx="758">
                  <c:v>623.37654143724581</c:v>
                </c:pt>
                <c:pt idx="759">
                  <c:v>625.00372406727274</c:v>
                </c:pt>
                <c:pt idx="760">
                  <c:v>626.62736964010844</c:v>
                </c:pt>
                <c:pt idx="761">
                  <c:v>628.24744728667667</c:v>
                </c:pt>
                <c:pt idx="762">
                  <c:v>629.86392642610986</c:v>
                </c:pt>
                <c:pt idx="763">
                  <c:v>631.47677676848173</c:v>
                </c:pt>
                <c:pt idx="764">
                  <c:v>633.08596831744785</c:v>
                </c:pt>
                <c:pt idx="765">
                  <c:v>634.69147137279629</c:v>
                </c:pt>
                <c:pt idx="766">
                  <c:v>636.29325653290994</c:v>
                </c:pt>
                <c:pt idx="767">
                  <c:v>637.89129469714305</c:v>
                </c:pt>
                <c:pt idx="768">
                  <c:v>639.48555706811169</c:v>
                </c:pt>
                <c:pt idx="769">
                  <c:v>641.07601515390161</c:v>
                </c:pt>
                <c:pt idx="770">
                  <c:v>642.66264077019366</c:v>
                </c:pt>
                <c:pt idx="771">
                  <c:v>644.24540604230822</c:v>
                </c:pt>
                <c:pt idx="772">
                  <c:v>645.82428340717013</c:v>
                </c:pt>
                <c:pt idx="773">
                  <c:v>647.39924561519581</c:v>
                </c:pt>
                <c:pt idx="774">
                  <c:v>648.97026573210201</c:v>
                </c:pt>
                <c:pt idx="775">
                  <c:v>650.53731714063963</c:v>
                </c:pt>
                <c:pt idx="776">
                  <c:v>652.10037354225153</c:v>
                </c:pt>
                <c:pt idx="777">
                  <c:v>653.65940895865685</c:v>
                </c:pt>
                <c:pt idx="778">
                  <c:v>655.21439773336158</c:v>
                </c:pt>
                <c:pt idx="779">
                  <c:v>656.76531453309747</c:v>
                </c:pt>
                <c:pt idx="780">
                  <c:v>658.31213434918914</c:v>
                </c:pt>
                <c:pt idx="781">
                  <c:v>659.85483249885124</c:v>
                </c:pt>
                <c:pt idx="782">
                  <c:v>661.39338462641535</c:v>
                </c:pt>
                <c:pt idx="783">
                  <c:v>662.92776670448848</c:v>
                </c:pt>
                <c:pt idx="784">
                  <c:v>664.4579550350436</c:v>
                </c:pt>
                <c:pt idx="785">
                  <c:v>665.98392625044244</c:v>
                </c:pt>
                <c:pt idx="786">
                  <c:v>667.50565731439247</c:v>
                </c:pt>
                <c:pt idx="787">
                  <c:v>669.0231255228374</c:v>
                </c:pt>
                <c:pt idx="788">
                  <c:v>670.53630850478316</c:v>
                </c:pt>
                <c:pt idx="789">
                  <c:v>672.04518422305944</c:v>
                </c:pt>
                <c:pt idx="790">
                  <c:v>673.54973097501727</c:v>
                </c:pt>
                <c:pt idx="791">
                  <c:v>675.04992739316424</c:v>
                </c:pt>
                <c:pt idx="792">
                  <c:v>676.54575244573675</c:v>
                </c:pt>
                <c:pt idx="793">
                  <c:v>678.03718543721129</c:v>
                </c:pt>
                <c:pt idx="794">
                  <c:v>679.5242060087545</c:v>
                </c:pt>
                <c:pt idx="795">
                  <c:v>681.00679413861292</c:v>
                </c:pt>
                <c:pt idx="796">
                  <c:v>682.48493014244309</c:v>
                </c:pt>
                <c:pt idx="797">
                  <c:v>683.95859467358309</c:v>
                </c:pt>
                <c:pt idx="798">
                  <c:v>685.4277687232651</c:v>
                </c:pt>
                <c:pt idx="799">
                  <c:v>686.89243362077059</c:v>
                </c:pt>
                <c:pt idx="800">
                  <c:v>688.35257103352876</c:v>
                </c:pt>
                <c:pt idx="801">
                  <c:v>689.80816296715807</c:v>
                </c:pt>
                <c:pt idx="802">
                  <c:v>691.2591917654521</c:v>
                </c:pt>
                <c:pt idx="803">
                  <c:v>692.70564011031058</c:v>
                </c:pt>
                <c:pt idx="804">
                  <c:v>694.14749102161534</c:v>
                </c:pt>
                <c:pt idx="805">
                  <c:v>695.58472785705305</c:v>
                </c:pt>
                <c:pt idx="806">
                  <c:v>697.01733431188427</c:v>
                </c:pt>
                <c:pt idx="807">
                  <c:v>698.44529441865973</c:v>
                </c:pt>
                <c:pt idx="808">
                  <c:v>699.86859254688534</c:v>
                </c:pt>
                <c:pt idx="809">
                  <c:v>701.28721340263496</c:v>
                </c:pt>
                <c:pt idx="810">
                  <c:v>702.70114202811317</c:v>
                </c:pt>
                <c:pt idx="811">
                  <c:v>704.11036380116752</c:v>
                </c:pt>
                <c:pt idx="812">
                  <c:v>705.51486443475164</c:v>
                </c:pt>
                <c:pt idx="813">
                  <c:v>706.91462997633914</c:v>
                </c:pt>
                <c:pt idx="814">
                  <c:v>708.30964680728994</c:v>
                </c:pt>
                <c:pt idx="815">
                  <c:v>709.69990164216858</c:v>
                </c:pt>
                <c:pt idx="816">
                  <c:v>711.085381528016</c:v>
                </c:pt>
                <c:pt idx="817">
                  <c:v>712.46607384357458</c:v>
                </c:pt>
                <c:pt idx="818">
                  <c:v>713.84196629846838</c:v>
                </c:pt>
                <c:pt idx="819">
                  <c:v>715.21304693233765</c:v>
                </c:pt>
                <c:pt idx="820">
                  <c:v>716.57930411392977</c:v>
                </c:pt>
                <c:pt idx="821">
                  <c:v>717.9407265401461</c:v>
                </c:pt>
                <c:pt idx="822">
                  <c:v>719.29730323504577</c:v>
                </c:pt>
                <c:pt idx="823">
                  <c:v>720.64902354880769</c:v>
                </c:pt>
                <c:pt idx="824">
                  <c:v>721.99587715665041</c:v>
                </c:pt>
                <c:pt idx="825">
                  <c:v>723.3378540577113</c:v>
                </c:pt>
                <c:pt idx="826">
                  <c:v>724.674944573885</c:v>
                </c:pt>
                <c:pt idx="827">
                  <c:v>726.00713934862267</c:v>
                </c:pt>
                <c:pt idx="828">
                  <c:v>727.33442934569212</c:v>
                </c:pt>
                <c:pt idx="829">
                  <c:v>728.65680584789902</c:v>
                </c:pt>
                <c:pt idx="830">
                  <c:v>729.97426045577163</c:v>
                </c:pt>
                <c:pt idx="831">
                  <c:v>731.28678508620703</c:v>
                </c:pt>
                <c:pt idx="832">
                  <c:v>732.5943719710823</c:v>
                </c:pt>
                <c:pt idx="833">
                  <c:v>733.89701365582926</c:v>
                </c:pt>
                <c:pt idx="834">
                  <c:v>735.19470299797467</c:v>
                </c:pt>
                <c:pt idx="835">
                  <c:v>736.48743316564571</c:v>
                </c:pt>
                <c:pt idx="836">
                  <c:v>737.77519763604198</c:v>
                </c:pt>
                <c:pt idx="837">
                  <c:v>739.05799019387473</c:v>
                </c:pt>
                <c:pt idx="838">
                  <c:v>740.33580492977308</c:v>
                </c:pt>
                <c:pt idx="839">
                  <c:v>741.60863623865964</c:v>
                </c:pt>
                <c:pt idx="840">
                  <c:v>742.87647881809437</c:v>
                </c:pt>
                <c:pt idx="841">
                  <c:v>744.13932766658809</c:v>
                </c:pt>
                <c:pt idx="842">
                  <c:v>745.39717808188698</c:v>
                </c:pt>
                <c:pt idx="843">
                  <c:v>746.65002565922759</c:v>
                </c:pt>
                <c:pt idx="844">
                  <c:v>747.89786628956381</c:v>
                </c:pt>
                <c:pt idx="845">
                  <c:v>749.14069615776611</c:v>
                </c:pt>
                <c:pt idx="846">
                  <c:v>750.37851174079378</c:v>
                </c:pt>
                <c:pt idx="847">
                  <c:v>751.61130980584107</c:v>
                </c:pt>
                <c:pt idx="848">
                  <c:v>752.83908740845754</c:v>
                </c:pt>
                <c:pt idx="849">
                  <c:v>754.06184189064334</c:v>
                </c:pt>
                <c:pt idx="850">
                  <c:v>755.27957087892048</c:v>
                </c:pt>
                <c:pt idx="851">
                  <c:v>756.49227228238044</c:v>
                </c:pt>
                <c:pt idx="852">
                  <c:v>757.69994429070823</c:v>
                </c:pt>
                <c:pt idx="853">
                  <c:v>758.90258537218517</c:v>
                </c:pt>
                <c:pt idx="854">
                  <c:v>760.10019427166878</c:v>
                </c:pt>
                <c:pt idx="855">
                  <c:v>761.29277000855257</c:v>
                </c:pt>
                <c:pt idx="856">
                  <c:v>762.48031187470519</c:v>
                </c:pt>
                <c:pt idx="857">
                  <c:v>763.66281943238937</c:v>
                </c:pt>
                <c:pt idx="858">
                  <c:v>764.84029251216259</c:v>
                </c:pt>
                <c:pt idx="859">
                  <c:v>766.0127312107586</c:v>
                </c:pt>
                <c:pt idx="860">
                  <c:v>767.18013588895167</c:v>
                </c:pt>
                <c:pt idx="861">
                  <c:v>768.34250716940312</c:v>
                </c:pt>
                <c:pt idx="862">
                  <c:v>769.49984593449153</c:v>
                </c:pt>
                <c:pt idx="863">
                  <c:v>770.6521533241272</c:v>
                </c:pt>
                <c:pt idx="864">
                  <c:v>771.79943073355105</c:v>
                </c:pt>
                <c:pt idx="865">
                  <c:v>772.94167981111889</c:v>
                </c:pt>
                <c:pt idx="866">
                  <c:v>774.07890245607177</c:v>
                </c:pt>
                <c:pt idx="867">
                  <c:v>775.21110081629229</c:v>
                </c:pt>
                <c:pt idx="868">
                  <c:v>776.33827728604899</c:v>
                </c:pt>
                <c:pt idx="869">
                  <c:v>777.46043450372747</c:v>
                </c:pt>
                <c:pt idx="870">
                  <c:v>778.57757534955067</c:v>
                </c:pt>
                <c:pt idx="871">
                  <c:v>779.68970294328722</c:v>
                </c:pt>
                <c:pt idx="872">
                  <c:v>780.79682064195026</c:v>
                </c:pt>
                <c:pt idx="873">
                  <c:v>781.89893203748545</c:v>
                </c:pt>
                <c:pt idx="874">
                  <c:v>782.99604095445022</c:v>
                </c:pt>
                <c:pt idx="875">
                  <c:v>784.08815144768391</c:v>
                </c:pt>
                <c:pt idx="876">
                  <c:v>785.17526779997002</c:v>
                </c:pt>
                <c:pt idx="877">
                  <c:v>786.25739451969048</c:v>
                </c:pt>
                <c:pt idx="878">
                  <c:v>787.33453633847284</c:v>
                </c:pt>
                <c:pt idx="879">
                  <c:v>788.40669820883136</c:v>
                </c:pt>
                <c:pt idx="880">
                  <c:v>789.47388530180137</c:v>
                </c:pt>
                <c:pt idx="881">
                  <c:v>790.53610300456899</c:v>
                </c:pt>
                <c:pt idx="882">
                  <c:v>791.59335691809508</c:v>
                </c:pt>
                <c:pt idx="883">
                  <c:v>792.64565285473532</c:v>
                </c:pt>
                <c:pt idx="884">
                  <c:v>793.69299683585643</c:v>
                </c:pt>
                <c:pt idx="885">
                  <c:v>794.7353950894485</c:v>
                </c:pt>
                <c:pt idx="886">
                  <c:v>795.772854047735</c:v>
                </c:pt>
                <c:pt idx="887">
                  <c:v>796.80538034478002</c:v>
                </c:pt>
                <c:pt idx="888">
                  <c:v>797.83298081409396</c:v>
                </c:pt>
                <c:pt idx="889">
                  <c:v>798.85566248623752</c:v>
                </c:pt>
                <c:pt idx="890">
                  <c:v>799.873432586425</c:v>
                </c:pt>
                <c:pt idx="891">
                  <c:v>800.88629853212683</c:v>
                </c:pt>
                <c:pt idx="892">
                  <c:v>801.89426793067275</c:v>
                </c:pt>
                <c:pt idx="893">
                  <c:v>802.89734857685482</c:v>
                </c:pt>
                <c:pt idx="894">
                  <c:v>803.89554845053169</c:v>
                </c:pt>
                <c:pt idx="895">
                  <c:v>804.88887571423425</c:v>
                </c:pt>
                <c:pt idx="896">
                  <c:v>805.87733871077307</c:v>
                </c:pt>
                <c:pt idx="897">
                  <c:v>806.8609459608482</c:v>
                </c:pt>
                <c:pt idx="898">
                  <c:v>807.83970616066131</c:v>
                </c:pt>
                <c:pt idx="899">
                  <c:v>808.81362817953152</c:v>
                </c:pt>
                <c:pt idx="900">
                  <c:v>809.78272105751444</c:v>
                </c:pt>
                <c:pt idx="901">
                  <c:v>810.74699400302472</c:v>
                </c:pt>
                <c:pt idx="902">
                  <c:v>811.70645639046404</c:v>
                </c:pt>
                <c:pt idx="903">
                  <c:v>812.66111775785259</c:v>
                </c:pt>
                <c:pt idx="904">
                  <c:v>813.61098780446662</c:v>
                </c:pt>
                <c:pt idx="905">
                  <c:v>814.55607638848073</c:v>
                </c:pt>
                <c:pt idx="906">
                  <c:v>815.49639352461668</c:v>
                </c:pt>
                <c:pt idx="907">
                  <c:v>816.43194938179795</c:v>
                </c:pt>
                <c:pt idx="908">
                  <c:v>817.36275428081126</c:v>
                </c:pt>
                <c:pt idx="909">
                  <c:v>818.2888186919746</c:v>
                </c:pt>
                <c:pt idx="910">
                  <c:v>819.2101532328129</c:v>
                </c:pt>
                <c:pt idx="911">
                  <c:v>820.12676866574111</c:v>
                </c:pt>
                <c:pt idx="912">
                  <c:v>821.03867589575555</c:v>
                </c:pt>
                <c:pt idx="913">
                  <c:v>821.94588596813287</c:v>
                </c:pt>
                <c:pt idx="914">
                  <c:v>822.8484100661384</c:v>
                </c:pt>
                <c:pt idx="915">
                  <c:v>823.7462595087427</c:v>
                </c:pt>
                <c:pt idx="916">
                  <c:v>824.63944574834784</c:v>
                </c:pt>
                <c:pt idx="917">
                  <c:v>825.52798036852278</c:v>
                </c:pt>
                <c:pt idx="918">
                  <c:v>826.4118750817488</c:v>
                </c:pt>
                <c:pt idx="919">
                  <c:v>827.29114172717482</c:v>
                </c:pt>
                <c:pt idx="920">
                  <c:v>828.16579226838303</c:v>
                </c:pt>
                <c:pt idx="921">
                  <c:v>829.03583879116536</c:v>
                </c:pt>
                <c:pt idx="922">
                  <c:v>829.90129350131053</c:v>
                </c:pt>
                <c:pt idx="923">
                  <c:v>830.76216872240252</c:v>
                </c:pt>
                <c:pt idx="924">
                  <c:v>831.6184768936298</c:v>
                </c:pt>
                <c:pt idx="925">
                  <c:v>832.47023056760713</c:v>
                </c:pt>
                <c:pt idx="926">
                  <c:v>833.31744240820819</c:v>
                </c:pt>
                <c:pt idx="927">
                  <c:v>834.16012518841114</c:v>
                </c:pt>
                <c:pt idx="928">
                  <c:v>834.9982917881556</c:v>
                </c:pt>
                <c:pt idx="929">
                  <c:v>835.83195519221294</c:v>
                </c:pt>
                <c:pt idx="930">
                  <c:v>836.66112848806893</c:v>
                </c:pt>
                <c:pt idx="931">
                  <c:v>837.48582486381895</c:v>
                </c:pt>
                <c:pt idx="932">
                  <c:v>838.30605760607705</c:v>
                </c:pt>
                <c:pt idx="933">
                  <c:v>839.12184009789769</c:v>
                </c:pt>
                <c:pt idx="934">
                  <c:v>839.9331858167111</c:v>
                </c:pt>
                <c:pt idx="935">
                  <c:v>840.74010833227248</c:v>
                </c:pt>
                <c:pt idx="936">
                  <c:v>841.54262130462484</c:v>
                </c:pt>
                <c:pt idx="937">
                  <c:v>842.34073848207584</c:v>
                </c:pt>
                <c:pt idx="938">
                  <c:v>843.1344736991889</c:v>
                </c:pt>
                <c:pt idx="939">
                  <c:v>843.92384087478843</c:v>
                </c:pt>
                <c:pt idx="940">
                  <c:v>844.70885400997952</c:v>
                </c:pt>
                <c:pt idx="941">
                  <c:v>845.48952718618239</c:v>
                </c:pt>
                <c:pt idx="942">
                  <c:v>846.26587456318123</c:v>
                </c:pt>
                <c:pt idx="943">
                  <c:v>847.03791037718827</c:v>
                </c:pt>
                <c:pt idx="944">
                  <c:v>847.80564893892256</c:v>
                </c:pt>
                <c:pt idx="945">
                  <c:v>848.56910463170368</c:v>
                </c:pt>
                <c:pt idx="946">
                  <c:v>848.56910463170368</c:v>
                </c:pt>
                <c:pt idx="947">
                  <c:v>848.56910463170368</c:v>
                </c:pt>
                <c:pt idx="948">
                  <c:v>848.56910463170368</c:v>
                </c:pt>
                <c:pt idx="949">
                  <c:v>848.56910463170368</c:v>
                </c:pt>
                <c:pt idx="950">
                  <c:v>848.56910463170368</c:v>
                </c:pt>
                <c:pt idx="951">
                  <c:v>848.56910463170368</c:v>
                </c:pt>
                <c:pt idx="952">
                  <c:v>848.56910463170368</c:v>
                </c:pt>
                <c:pt idx="953">
                  <c:v>848.56910463170368</c:v>
                </c:pt>
                <c:pt idx="954">
                  <c:v>848.56910463170368</c:v>
                </c:pt>
                <c:pt idx="955">
                  <c:v>848.56910463170368</c:v>
                </c:pt>
                <c:pt idx="956">
                  <c:v>848.56910463170368</c:v>
                </c:pt>
                <c:pt idx="957">
                  <c:v>848.56910463170368</c:v>
                </c:pt>
                <c:pt idx="958">
                  <c:v>848.56910463170368</c:v>
                </c:pt>
                <c:pt idx="959">
                  <c:v>848.56910463170368</c:v>
                </c:pt>
                <c:pt idx="960">
                  <c:v>848.56910463170368</c:v>
                </c:pt>
                <c:pt idx="961">
                  <c:v>848.56910463170368</c:v>
                </c:pt>
                <c:pt idx="962">
                  <c:v>848.56910463170368</c:v>
                </c:pt>
                <c:pt idx="963">
                  <c:v>848.56910463170368</c:v>
                </c:pt>
                <c:pt idx="964">
                  <c:v>848.56910463170368</c:v>
                </c:pt>
                <c:pt idx="965">
                  <c:v>848.56910463170368</c:v>
                </c:pt>
                <c:pt idx="966">
                  <c:v>848.56910463170368</c:v>
                </c:pt>
                <c:pt idx="967">
                  <c:v>848.56910463170368</c:v>
                </c:pt>
                <c:pt idx="968">
                  <c:v>848.56910463170368</c:v>
                </c:pt>
                <c:pt idx="969">
                  <c:v>848.56910463170368</c:v>
                </c:pt>
                <c:pt idx="970">
                  <c:v>848.56910463170368</c:v>
                </c:pt>
                <c:pt idx="971">
                  <c:v>848.56910463170368</c:v>
                </c:pt>
                <c:pt idx="972">
                  <c:v>848.56910463170368</c:v>
                </c:pt>
                <c:pt idx="973">
                  <c:v>848.56910463170368</c:v>
                </c:pt>
                <c:pt idx="974">
                  <c:v>848.56910463170368</c:v>
                </c:pt>
                <c:pt idx="975">
                  <c:v>848.56910463170368</c:v>
                </c:pt>
                <c:pt idx="976">
                  <c:v>848.56910463170368</c:v>
                </c:pt>
                <c:pt idx="977">
                  <c:v>848.56910463170368</c:v>
                </c:pt>
                <c:pt idx="978">
                  <c:v>848.56910463170368</c:v>
                </c:pt>
                <c:pt idx="979">
                  <c:v>848.56910463170368</c:v>
                </c:pt>
                <c:pt idx="980">
                  <c:v>848.56910463170368</c:v>
                </c:pt>
                <c:pt idx="981">
                  <c:v>848.56910463170368</c:v>
                </c:pt>
                <c:pt idx="982">
                  <c:v>848.56910463170368</c:v>
                </c:pt>
                <c:pt idx="983">
                  <c:v>848.56910463170368</c:v>
                </c:pt>
                <c:pt idx="984">
                  <c:v>848.56910463170368</c:v>
                </c:pt>
                <c:pt idx="985">
                  <c:v>848.56910463170368</c:v>
                </c:pt>
                <c:pt idx="986">
                  <c:v>848.56910463170368</c:v>
                </c:pt>
                <c:pt idx="987">
                  <c:v>848.56910463170368</c:v>
                </c:pt>
                <c:pt idx="988">
                  <c:v>848.56910463170368</c:v>
                </c:pt>
                <c:pt idx="989">
                  <c:v>848.56910463170368</c:v>
                </c:pt>
                <c:pt idx="990">
                  <c:v>848.56910463170368</c:v>
                </c:pt>
                <c:pt idx="991">
                  <c:v>848.56910463170368</c:v>
                </c:pt>
                <c:pt idx="992">
                  <c:v>848.56910463170368</c:v>
                </c:pt>
                <c:pt idx="993">
                  <c:v>848.56910463170368</c:v>
                </c:pt>
                <c:pt idx="994">
                  <c:v>848.56910463170368</c:v>
                </c:pt>
                <c:pt idx="995">
                  <c:v>848.56910463170368</c:v>
                </c:pt>
                <c:pt idx="996">
                  <c:v>848.56910463170368</c:v>
                </c:pt>
                <c:pt idx="997">
                  <c:v>848.56910463170368</c:v>
                </c:pt>
                <c:pt idx="998">
                  <c:v>848.56910463170368</c:v>
                </c:pt>
                <c:pt idx="999">
                  <c:v>848.56910463170368</c:v>
                </c:pt>
                <c:pt idx="1000">
                  <c:v>848.56910463170368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0-FB44-B75E-51812F6EEC8B}"/>
            </c:ext>
          </c:extLst>
        </c:ser>
        <c:ser>
          <c:idx val="1"/>
          <c:order val="1"/>
          <c:tx>
            <c:strRef>
              <c:f>Courbes!$B$143</c:f>
              <c:strCache>
                <c:ptCount val="1"/>
                <c:pt idx="0">
                  <c:v>Altitude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5.0999999999999375</c:v>
                </c:pt>
                <c:pt idx="502">
                  <c:v>5.1999999999999371</c:v>
                </c:pt>
                <c:pt idx="503">
                  <c:v>5.2999999999999368</c:v>
                </c:pt>
                <c:pt idx="504">
                  <c:v>5.3999999999999364</c:v>
                </c:pt>
                <c:pt idx="505">
                  <c:v>5.4999999999999361</c:v>
                </c:pt>
                <c:pt idx="506">
                  <c:v>5.5999999999999357</c:v>
                </c:pt>
                <c:pt idx="507">
                  <c:v>5.6999999999999353</c:v>
                </c:pt>
                <c:pt idx="508">
                  <c:v>5.799999999999935</c:v>
                </c:pt>
                <c:pt idx="509">
                  <c:v>5.8999999999999346</c:v>
                </c:pt>
                <c:pt idx="510">
                  <c:v>5.9999999999999343</c:v>
                </c:pt>
                <c:pt idx="511">
                  <c:v>6.0999999999999339</c:v>
                </c:pt>
                <c:pt idx="512">
                  <c:v>6.1999999999999336</c:v>
                </c:pt>
                <c:pt idx="513">
                  <c:v>6.2999999999999332</c:v>
                </c:pt>
                <c:pt idx="514">
                  <c:v>6.3999999999999329</c:v>
                </c:pt>
                <c:pt idx="515">
                  <c:v>6.4999999999999325</c:v>
                </c:pt>
                <c:pt idx="516">
                  <c:v>6.5999999999999321</c:v>
                </c:pt>
                <c:pt idx="517">
                  <c:v>6.6999999999999318</c:v>
                </c:pt>
                <c:pt idx="518">
                  <c:v>6.7999999999999314</c:v>
                </c:pt>
                <c:pt idx="519">
                  <c:v>6.8999999999999311</c:v>
                </c:pt>
                <c:pt idx="520">
                  <c:v>6.9999999999999307</c:v>
                </c:pt>
                <c:pt idx="521">
                  <c:v>7.0999999999999304</c:v>
                </c:pt>
                <c:pt idx="522">
                  <c:v>7.19999999999993</c:v>
                </c:pt>
                <c:pt idx="523">
                  <c:v>7.2999999999999297</c:v>
                </c:pt>
                <c:pt idx="524">
                  <c:v>7.3999999999999293</c:v>
                </c:pt>
                <c:pt idx="525">
                  <c:v>7.4999999999999289</c:v>
                </c:pt>
                <c:pt idx="526">
                  <c:v>7.5999999999999286</c:v>
                </c:pt>
                <c:pt idx="527">
                  <c:v>7.6999999999999282</c:v>
                </c:pt>
                <c:pt idx="528">
                  <c:v>7.7999999999999279</c:v>
                </c:pt>
                <c:pt idx="529">
                  <c:v>7.8999999999999275</c:v>
                </c:pt>
                <c:pt idx="530">
                  <c:v>7.9999999999999272</c:v>
                </c:pt>
                <c:pt idx="531">
                  <c:v>8.0999999999999268</c:v>
                </c:pt>
                <c:pt idx="532">
                  <c:v>8.1999999999999265</c:v>
                </c:pt>
                <c:pt idx="533">
                  <c:v>8.2999999999999261</c:v>
                </c:pt>
                <c:pt idx="534">
                  <c:v>8.3999999999999257</c:v>
                </c:pt>
                <c:pt idx="535">
                  <c:v>8.4999999999999254</c:v>
                </c:pt>
                <c:pt idx="536">
                  <c:v>8.599999999999925</c:v>
                </c:pt>
                <c:pt idx="537">
                  <c:v>8.6999999999999247</c:v>
                </c:pt>
                <c:pt idx="538">
                  <c:v>8.7999999999999243</c:v>
                </c:pt>
                <c:pt idx="539">
                  <c:v>8.899999999999924</c:v>
                </c:pt>
                <c:pt idx="540">
                  <c:v>8.9999999999999236</c:v>
                </c:pt>
                <c:pt idx="541">
                  <c:v>9.0999999999999233</c:v>
                </c:pt>
                <c:pt idx="542">
                  <c:v>9.1999999999999229</c:v>
                </c:pt>
                <c:pt idx="543">
                  <c:v>9.2999999999999226</c:v>
                </c:pt>
                <c:pt idx="544">
                  <c:v>9.3999999999999222</c:v>
                </c:pt>
                <c:pt idx="545">
                  <c:v>9.4999999999999218</c:v>
                </c:pt>
                <c:pt idx="546">
                  <c:v>9.5999999999999215</c:v>
                </c:pt>
                <c:pt idx="547">
                  <c:v>9.6999999999999211</c:v>
                </c:pt>
                <c:pt idx="548">
                  <c:v>9.7999999999999208</c:v>
                </c:pt>
                <c:pt idx="549">
                  <c:v>9.8999999999999204</c:v>
                </c:pt>
                <c:pt idx="550">
                  <c:v>9.9999999999999201</c:v>
                </c:pt>
                <c:pt idx="551">
                  <c:v>10.09999999999992</c:v>
                </c:pt>
                <c:pt idx="552">
                  <c:v>10.199999999999919</c:v>
                </c:pt>
                <c:pt idx="553">
                  <c:v>10.299999999999919</c:v>
                </c:pt>
                <c:pt idx="554">
                  <c:v>10.399999999999919</c:v>
                </c:pt>
                <c:pt idx="555">
                  <c:v>10.499999999999918</c:v>
                </c:pt>
                <c:pt idx="556">
                  <c:v>10.599999999999918</c:v>
                </c:pt>
                <c:pt idx="557">
                  <c:v>10.699999999999918</c:v>
                </c:pt>
                <c:pt idx="558">
                  <c:v>10.799999999999917</c:v>
                </c:pt>
                <c:pt idx="559">
                  <c:v>10.899999999999917</c:v>
                </c:pt>
                <c:pt idx="560">
                  <c:v>10.999999999999917</c:v>
                </c:pt>
                <c:pt idx="561">
                  <c:v>11.099999999999916</c:v>
                </c:pt>
                <c:pt idx="562">
                  <c:v>11.199999999999916</c:v>
                </c:pt>
                <c:pt idx="563">
                  <c:v>11.299999999999915</c:v>
                </c:pt>
                <c:pt idx="564">
                  <c:v>11.399999999999915</c:v>
                </c:pt>
                <c:pt idx="565">
                  <c:v>11.499999999999915</c:v>
                </c:pt>
                <c:pt idx="566">
                  <c:v>11.599999999999914</c:v>
                </c:pt>
                <c:pt idx="567">
                  <c:v>11.699999999999914</c:v>
                </c:pt>
                <c:pt idx="568">
                  <c:v>11.799999999999914</c:v>
                </c:pt>
                <c:pt idx="569">
                  <c:v>11.899999999999913</c:v>
                </c:pt>
                <c:pt idx="570">
                  <c:v>11.999999999999913</c:v>
                </c:pt>
                <c:pt idx="571">
                  <c:v>12.099999999999913</c:v>
                </c:pt>
                <c:pt idx="572">
                  <c:v>12.199999999999912</c:v>
                </c:pt>
                <c:pt idx="573">
                  <c:v>12.299999999999912</c:v>
                </c:pt>
                <c:pt idx="574">
                  <c:v>12.399999999999912</c:v>
                </c:pt>
                <c:pt idx="575">
                  <c:v>12.499999999999911</c:v>
                </c:pt>
                <c:pt idx="576">
                  <c:v>12.599999999999911</c:v>
                </c:pt>
                <c:pt idx="577">
                  <c:v>12.69999999999991</c:v>
                </c:pt>
                <c:pt idx="578">
                  <c:v>12.79999999999991</c:v>
                </c:pt>
                <c:pt idx="579">
                  <c:v>12.89999999999991</c:v>
                </c:pt>
                <c:pt idx="580">
                  <c:v>12.999999999999909</c:v>
                </c:pt>
                <c:pt idx="581">
                  <c:v>13.099999999999909</c:v>
                </c:pt>
                <c:pt idx="582">
                  <c:v>13.199999999999909</c:v>
                </c:pt>
                <c:pt idx="583">
                  <c:v>13.299999999999908</c:v>
                </c:pt>
                <c:pt idx="584">
                  <c:v>13.399999999999908</c:v>
                </c:pt>
                <c:pt idx="585">
                  <c:v>13.499999999999908</c:v>
                </c:pt>
                <c:pt idx="586">
                  <c:v>13.599999999999907</c:v>
                </c:pt>
                <c:pt idx="587">
                  <c:v>13.699999999999907</c:v>
                </c:pt>
                <c:pt idx="588">
                  <c:v>13.799999999999907</c:v>
                </c:pt>
                <c:pt idx="589">
                  <c:v>13.899999999999906</c:v>
                </c:pt>
                <c:pt idx="590">
                  <c:v>13.999999999999906</c:v>
                </c:pt>
                <c:pt idx="591">
                  <c:v>14.099999999999905</c:v>
                </c:pt>
                <c:pt idx="592">
                  <c:v>14.199999999999905</c:v>
                </c:pt>
                <c:pt idx="593">
                  <c:v>14.299999999999905</c:v>
                </c:pt>
                <c:pt idx="594">
                  <c:v>14.399999999999904</c:v>
                </c:pt>
                <c:pt idx="595">
                  <c:v>14.499999999999904</c:v>
                </c:pt>
                <c:pt idx="596">
                  <c:v>14.599999999999904</c:v>
                </c:pt>
                <c:pt idx="597">
                  <c:v>14.699999999999903</c:v>
                </c:pt>
                <c:pt idx="598">
                  <c:v>14.799999999999903</c:v>
                </c:pt>
                <c:pt idx="599">
                  <c:v>14.899999999999903</c:v>
                </c:pt>
                <c:pt idx="600">
                  <c:v>14.999999999999902</c:v>
                </c:pt>
                <c:pt idx="601">
                  <c:v>15.099999999999902</c:v>
                </c:pt>
                <c:pt idx="602">
                  <c:v>15.199999999999902</c:v>
                </c:pt>
                <c:pt idx="603">
                  <c:v>15.299999999999901</c:v>
                </c:pt>
                <c:pt idx="604">
                  <c:v>15.399999999999901</c:v>
                </c:pt>
                <c:pt idx="605">
                  <c:v>15.499999999999901</c:v>
                </c:pt>
                <c:pt idx="606">
                  <c:v>15.5999999999999</c:v>
                </c:pt>
                <c:pt idx="607">
                  <c:v>15.6999999999999</c:v>
                </c:pt>
                <c:pt idx="608">
                  <c:v>15.799999999999899</c:v>
                </c:pt>
                <c:pt idx="609">
                  <c:v>15.899999999999899</c:v>
                </c:pt>
                <c:pt idx="610">
                  <c:v>15.999999999999899</c:v>
                </c:pt>
                <c:pt idx="611">
                  <c:v>16.099999999999898</c:v>
                </c:pt>
                <c:pt idx="612">
                  <c:v>16.1999999999999</c:v>
                </c:pt>
                <c:pt idx="613">
                  <c:v>16.299999999999901</c:v>
                </c:pt>
                <c:pt idx="614">
                  <c:v>16.399999999999903</c:v>
                </c:pt>
                <c:pt idx="615">
                  <c:v>16.499999999999904</c:v>
                </c:pt>
                <c:pt idx="616">
                  <c:v>16.599999999999905</c:v>
                </c:pt>
                <c:pt idx="617">
                  <c:v>16.699999999999907</c:v>
                </c:pt>
                <c:pt idx="618">
                  <c:v>16.799999999999908</c:v>
                </c:pt>
                <c:pt idx="619">
                  <c:v>16.89999999999991</c:v>
                </c:pt>
                <c:pt idx="620">
                  <c:v>16.999999999999911</c:v>
                </c:pt>
                <c:pt idx="621">
                  <c:v>17.099999999999913</c:v>
                </c:pt>
                <c:pt idx="622">
                  <c:v>17.199999999999914</c:v>
                </c:pt>
                <c:pt idx="623">
                  <c:v>17.299999999999915</c:v>
                </c:pt>
                <c:pt idx="624">
                  <c:v>17.399999999999917</c:v>
                </c:pt>
                <c:pt idx="625">
                  <c:v>17.499999999999918</c:v>
                </c:pt>
                <c:pt idx="626">
                  <c:v>17.59999999999992</c:v>
                </c:pt>
                <c:pt idx="627">
                  <c:v>17.699999999999921</c:v>
                </c:pt>
                <c:pt idx="628">
                  <c:v>17.799999999999923</c:v>
                </c:pt>
                <c:pt idx="629">
                  <c:v>17.899999999999924</c:v>
                </c:pt>
                <c:pt idx="630">
                  <c:v>17.999999999999925</c:v>
                </c:pt>
                <c:pt idx="631">
                  <c:v>18.099999999999927</c:v>
                </c:pt>
                <c:pt idx="632">
                  <c:v>18.199999999999928</c:v>
                </c:pt>
                <c:pt idx="633">
                  <c:v>18.29999999999993</c:v>
                </c:pt>
                <c:pt idx="634">
                  <c:v>18.399999999999931</c:v>
                </c:pt>
                <c:pt idx="635">
                  <c:v>18.499999999999932</c:v>
                </c:pt>
                <c:pt idx="636">
                  <c:v>18.599999999999934</c:v>
                </c:pt>
                <c:pt idx="637">
                  <c:v>18.699999999999935</c:v>
                </c:pt>
                <c:pt idx="638">
                  <c:v>18.799999999999937</c:v>
                </c:pt>
                <c:pt idx="639">
                  <c:v>18.899999999999938</c:v>
                </c:pt>
                <c:pt idx="640">
                  <c:v>18.99999999999994</c:v>
                </c:pt>
                <c:pt idx="641">
                  <c:v>19.099999999999941</c:v>
                </c:pt>
                <c:pt idx="642">
                  <c:v>19.199999999999942</c:v>
                </c:pt>
                <c:pt idx="643">
                  <c:v>19.299999999999944</c:v>
                </c:pt>
                <c:pt idx="644">
                  <c:v>19.399999999999945</c:v>
                </c:pt>
                <c:pt idx="645">
                  <c:v>19.499999999999947</c:v>
                </c:pt>
                <c:pt idx="646">
                  <c:v>19.599999999999948</c:v>
                </c:pt>
                <c:pt idx="647">
                  <c:v>19.69999999999995</c:v>
                </c:pt>
                <c:pt idx="648">
                  <c:v>19.799999999999951</c:v>
                </c:pt>
                <c:pt idx="649">
                  <c:v>19.899999999999952</c:v>
                </c:pt>
                <c:pt idx="650">
                  <c:v>19.999999999999954</c:v>
                </c:pt>
                <c:pt idx="651">
                  <c:v>20.099999999999955</c:v>
                </c:pt>
                <c:pt idx="652">
                  <c:v>20.199999999999957</c:v>
                </c:pt>
                <c:pt idx="653">
                  <c:v>20.299999999999958</c:v>
                </c:pt>
                <c:pt idx="654">
                  <c:v>20.399999999999959</c:v>
                </c:pt>
                <c:pt idx="655">
                  <c:v>20.499999999999961</c:v>
                </c:pt>
                <c:pt idx="656">
                  <c:v>20.599999999999962</c:v>
                </c:pt>
                <c:pt idx="657">
                  <c:v>20.699999999999964</c:v>
                </c:pt>
                <c:pt idx="658">
                  <c:v>20.799999999999965</c:v>
                </c:pt>
                <c:pt idx="659">
                  <c:v>20.899999999999967</c:v>
                </c:pt>
                <c:pt idx="660">
                  <c:v>20.999999999999968</c:v>
                </c:pt>
                <c:pt idx="661">
                  <c:v>21.099999999999969</c:v>
                </c:pt>
                <c:pt idx="662">
                  <c:v>21.199999999999971</c:v>
                </c:pt>
                <c:pt idx="663">
                  <c:v>21.299999999999972</c:v>
                </c:pt>
                <c:pt idx="664">
                  <c:v>21.399999999999974</c:v>
                </c:pt>
                <c:pt idx="665">
                  <c:v>21.499999999999975</c:v>
                </c:pt>
                <c:pt idx="666">
                  <c:v>21.599999999999977</c:v>
                </c:pt>
                <c:pt idx="667">
                  <c:v>21.699999999999978</c:v>
                </c:pt>
                <c:pt idx="668">
                  <c:v>21.799999999999979</c:v>
                </c:pt>
                <c:pt idx="669">
                  <c:v>21.899999999999981</c:v>
                </c:pt>
                <c:pt idx="670">
                  <c:v>21.999999999999982</c:v>
                </c:pt>
                <c:pt idx="671">
                  <c:v>22.099999999999984</c:v>
                </c:pt>
                <c:pt idx="672">
                  <c:v>22.199999999999985</c:v>
                </c:pt>
                <c:pt idx="673">
                  <c:v>22.299999999999986</c:v>
                </c:pt>
                <c:pt idx="674">
                  <c:v>22.399999999999988</c:v>
                </c:pt>
                <c:pt idx="675">
                  <c:v>22.499999999999989</c:v>
                </c:pt>
                <c:pt idx="676">
                  <c:v>22.599999999999991</c:v>
                </c:pt>
                <c:pt idx="677">
                  <c:v>22.699999999999992</c:v>
                </c:pt>
                <c:pt idx="678">
                  <c:v>22.799999999999994</c:v>
                </c:pt>
                <c:pt idx="679">
                  <c:v>22.899999999999995</c:v>
                </c:pt>
                <c:pt idx="680">
                  <c:v>22.999999999999996</c:v>
                </c:pt>
                <c:pt idx="681">
                  <c:v>23.099999999999998</c:v>
                </c:pt>
                <c:pt idx="682">
                  <c:v>23.2</c:v>
                </c:pt>
                <c:pt idx="683">
                  <c:v>23.3</c:v>
                </c:pt>
                <c:pt idx="684">
                  <c:v>23.400000000000002</c:v>
                </c:pt>
                <c:pt idx="685">
                  <c:v>23.500000000000004</c:v>
                </c:pt>
                <c:pt idx="686">
                  <c:v>23.600000000000005</c:v>
                </c:pt>
                <c:pt idx="687">
                  <c:v>23.700000000000006</c:v>
                </c:pt>
                <c:pt idx="688">
                  <c:v>23.800000000000008</c:v>
                </c:pt>
                <c:pt idx="689">
                  <c:v>23.900000000000009</c:v>
                </c:pt>
                <c:pt idx="690">
                  <c:v>24.000000000000011</c:v>
                </c:pt>
                <c:pt idx="691">
                  <c:v>24.100000000000012</c:v>
                </c:pt>
                <c:pt idx="692">
                  <c:v>24.200000000000014</c:v>
                </c:pt>
                <c:pt idx="693">
                  <c:v>24.300000000000015</c:v>
                </c:pt>
                <c:pt idx="694">
                  <c:v>24.400000000000016</c:v>
                </c:pt>
                <c:pt idx="695">
                  <c:v>24.500000000000018</c:v>
                </c:pt>
                <c:pt idx="696">
                  <c:v>24.600000000000019</c:v>
                </c:pt>
                <c:pt idx="697">
                  <c:v>24.700000000000021</c:v>
                </c:pt>
                <c:pt idx="698">
                  <c:v>24.800000000000022</c:v>
                </c:pt>
                <c:pt idx="699">
                  <c:v>24.900000000000023</c:v>
                </c:pt>
                <c:pt idx="700">
                  <c:v>25.000000000000025</c:v>
                </c:pt>
                <c:pt idx="701">
                  <c:v>25.100000000000026</c:v>
                </c:pt>
                <c:pt idx="702">
                  <c:v>25.200000000000028</c:v>
                </c:pt>
                <c:pt idx="703">
                  <c:v>25.300000000000029</c:v>
                </c:pt>
                <c:pt idx="704">
                  <c:v>25.400000000000031</c:v>
                </c:pt>
                <c:pt idx="705">
                  <c:v>25.500000000000032</c:v>
                </c:pt>
                <c:pt idx="706">
                  <c:v>25.600000000000033</c:v>
                </c:pt>
                <c:pt idx="707">
                  <c:v>25.700000000000035</c:v>
                </c:pt>
                <c:pt idx="708">
                  <c:v>25.800000000000036</c:v>
                </c:pt>
                <c:pt idx="709">
                  <c:v>25.900000000000038</c:v>
                </c:pt>
                <c:pt idx="710">
                  <c:v>26.000000000000039</c:v>
                </c:pt>
                <c:pt idx="711">
                  <c:v>26.100000000000041</c:v>
                </c:pt>
                <c:pt idx="712">
                  <c:v>26.200000000000042</c:v>
                </c:pt>
                <c:pt idx="713">
                  <c:v>26.300000000000043</c:v>
                </c:pt>
                <c:pt idx="714">
                  <c:v>26.400000000000045</c:v>
                </c:pt>
                <c:pt idx="715">
                  <c:v>26.500000000000046</c:v>
                </c:pt>
                <c:pt idx="716">
                  <c:v>26.600000000000048</c:v>
                </c:pt>
                <c:pt idx="717">
                  <c:v>26.700000000000049</c:v>
                </c:pt>
                <c:pt idx="718">
                  <c:v>26.80000000000005</c:v>
                </c:pt>
                <c:pt idx="719">
                  <c:v>26.900000000000052</c:v>
                </c:pt>
                <c:pt idx="720">
                  <c:v>27.000000000000053</c:v>
                </c:pt>
                <c:pt idx="721">
                  <c:v>27.100000000000055</c:v>
                </c:pt>
                <c:pt idx="722">
                  <c:v>27.200000000000056</c:v>
                </c:pt>
                <c:pt idx="723">
                  <c:v>27.300000000000058</c:v>
                </c:pt>
                <c:pt idx="724">
                  <c:v>27.400000000000059</c:v>
                </c:pt>
                <c:pt idx="725">
                  <c:v>27.50000000000006</c:v>
                </c:pt>
                <c:pt idx="726">
                  <c:v>27.600000000000062</c:v>
                </c:pt>
                <c:pt idx="727">
                  <c:v>27.700000000000063</c:v>
                </c:pt>
                <c:pt idx="728">
                  <c:v>27.800000000000065</c:v>
                </c:pt>
                <c:pt idx="729">
                  <c:v>27.900000000000066</c:v>
                </c:pt>
                <c:pt idx="730">
                  <c:v>28.000000000000068</c:v>
                </c:pt>
                <c:pt idx="731">
                  <c:v>28.100000000000069</c:v>
                </c:pt>
                <c:pt idx="732">
                  <c:v>28.20000000000007</c:v>
                </c:pt>
                <c:pt idx="733">
                  <c:v>28.300000000000072</c:v>
                </c:pt>
                <c:pt idx="734">
                  <c:v>28.400000000000073</c:v>
                </c:pt>
                <c:pt idx="735">
                  <c:v>28.500000000000075</c:v>
                </c:pt>
                <c:pt idx="736">
                  <c:v>28.600000000000076</c:v>
                </c:pt>
                <c:pt idx="737">
                  <c:v>28.700000000000077</c:v>
                </c:pt>
                <c:pt idx="738">
                  <c:v>28.800000000000079</c:v>
                </c:pt>
                <c:pt idx="739">
                  <c:v>28.90000000000008</c:v>
                </c:pt>
                <c:pt idx="740">
                  <c:v>29.000000000000082</c:v>
                </c:pt>
                <c:pt idx="741">
                  <c:v>29.100000000000083</c:v>
                </c:pt>
                <c:pt idx="742">
                  <c:v>29.200000000000085</c:v>
                </c:pt>
                <c:pt idx="743">
                  <c:v>29.300000000000086</c:v>
                </c:pt>
                <c:pt idx="744">
                  <c:v>29.400000000000087</c:v>
                </c:pt>
                <c:pt idx="745">
                  <c:v>29.500000000000089</c:v>
                </c:pt>
                <c:pt idx="746">
                  <c:v>29.60000000000009</c:v>
                </c:pt>
                <c:pt idx="747">
                  <c:v>29.700000000000092</c:v>
                </c:pt>
                <c:pt idx="748">
                  <c:v>29.800000000000093</c:v>
                </c:pt>
                <c:pt idx="749">
                  <c:v>29.900000000000095</c:v>
                </c:pt>
                <c:pt idx="750">
                  <c:v>30.000000000000096</c:v>
                </c:pt>
                <c:pt idx="751">
                  <c:v>30.100000000000097</c:v>
                </c:pt>
                <c:pt idx="752">
                  <c:v>30.200000000000099</c:v>
                </c:pt>
                <c:pt idx="753">
                  <c:v>30.3000000000001</c:v>
                </c:pt>
                <c:pt idx="754">
                  <c:v>30.400000000000102</c:v>
                </c:pt>
                <c:pt idx="755">
                  <c:v>30.500000000000103</c:v>
                </c:pt>
                <c:pt idx="756">
                  <c:v>30.600000000000104</c:v>
                </c:pt>
                <c:pt idx="757">
                  <c:v>30.700000000000106</c:v>
                </c:pt>
                <c:pt idx="758">
                  <c:v>30.800000000000107</c:v>
                </c:pt>
                <c:pt idx="759">
                  <c:v>30.900000000000109</c:v>
                </c:pt>
                <c:pt idx="760">
                  <c:v>31.00000000000011</c:v>
                </c:pt>
                <c:pt idx="761">
                  <c:v>31.100000000000112</c:v>
                </c:pt>
                <c:pt idx="762">
                  <c:v>31.200000000000113</c:v>
                </c:pt>
                <c:pt idx="763">
                  <c:v>31.300000000000114</c:v>
                </c:pt>
                <c:pt idx="764">
                  <c:v>31.400000000000116</c:v>
                </c:pt>
                <c:pt idx="765">
                  <c:v>31.500000000000117</c:v>
                </c:pt>
                <c:pt idx="766">
                  <c:v>31.600000000000119</c:v>
                </c:pt>
                <c:pt idx="767">
                  <c:v>31.70000000000012</c:v>
                </c:pt>
                <c:pt idx="768">
                  <c:v>31.800000000000122</c:v>
                </c:pt>
                <c:pt idx="769">
                  <c:v>31.900000000000123</c:v>
                </c:pt>
                <c:pt idx="770">
                  <c:v>32.000000000000121</c:v>
                </c:pt>
                <c:pt idx="771">
                  <c:v>32.100000000000122</c:v>
                </c:pt>
                <c:pt idx="772">
                  <c:v>32.200000000000124</c:v>
                </c:pt>
                <c:pt idx="773">
                  <c:v>32.300000000000125</c:v>
                </c:pt>
                <c:pt idx="774">
                  <c:v>32.400000000000126</c:v>
                </c:pt>
                <c:pt idx="775">
                  <c:v>32.500000000000128</c:v>
                </c:pt>
                <c:pt idx="776">
                  <c:v>32.600000000000129</c:v>
                </c:pt>
                <c:pt idx="777">
                  <c:v>32.700000000000131</c:v>
                </c:pt>
                <c:pt idx="778">
                  <c:v>32.800000000000132</c:v>
                </c:pt>
                <c:pt idx="779">
                  <c:v>32.900000000000134</c:v>
                </c:pt>
                <c:pt idx="780">
                  <c:v>33.000000000000135</c:v>
                </c:pt>
                <c:pt idx="781">
                  <c:v>33.100000000000136</c:v>
                </c:pt>
                <c:pt idx="782">
                  <c:v>33.200000000000138</c:v>
                </c:pt>
                <c:pt idx="783">
                  <c:v>33.300000000000139</c:v>
                </c:pt>
                <c:pt idx="784">
                  <c:v>33.400000000000141</c:v>
                </c:pt>
                <c:pt idx="785">
                  <c:v>33.500000000000142</c:v>
                </c:pt>
                <c:pt idx="786">
                  <c:v>33.600000000000144</c:v>
                </c:pt>
                <c:pt idx="787">
                  <c:v>33.700000000000145</c:v>
                </c:pt>
                <c:pt idx="788">
                  <c:v>33.800000000000146</c:v>
                </c:pt>
                <c:pt idx="789">
                  <c:v>33.900000000000148</c:v>
                </c:pt>
                <c:pt idx="790">
                  <c:v>34.000000000000149</c:v>
                </c:pt>
                <c:pt idx="791">
                  <c:v>34.100000000000151</c:v>
                </c:pt>
                <c:pt idx="792">
                  <c:v>34.200000000000152</c:v>
                </c:pt>
                <c:pt idx="793">
                  <c:v>34.300000000000153</c:v>
                </c:pt>
                <c:pt idx="794">
                  <c:v>34.400000000000155</c:v>
                </c:pt>
                <c:pt idx="795">
                  <c:v>34.500000000000156</c:v>
                </c:pt>
                <c:pt idx="796">
                  <c:v>34.600000000000158</c:v>
                </c:pt>
                <c:pt idx="797">
                  <c:v>34.700000000000159</c:v>
                </c:pt>
                <c:pt idx="798">
                  <c:v>34.800000000000161</c:v>
                </c:pt>
                <c:pt idx="799">
                  <c:v>34.900000000000162</c:v>
                </c:pt>
                <c:pt idx="800">
                  <c:v>35.000000000000163</c:v>
                </c:pt>
                <c:pt idx="801">
                  <c:v>35.100000000000165</c:v>
                </c:pt>
                <c:pt idx="802">
                  <c:v>35.200000000000166</c:v>
                </c:pt>
                <c:pt idx="803">
                  <c:v>35.300000000000168</c:v>
                </c:pt>
                <c:pt idx="804">
                  <c:v>35.400000000000169</c:v>
                </c:pt>
                <c:pt idx="805">
                  <c:v>35.500000000000171</c:v>
                </c:pt>
                <c:pt idx="806">
                  <c:v>35.600000000000172</c:v>
                </c:pt>
                <c:pt idx="807">
                  <c:v>35.700000000000173</c:v>
                </c:pt>
                <c:pt idx="808">
                  <c:v>35.800000000000175</c:v>
                </c:pt>
                <c:pt idx="809">
                  <c:v>35.900000000000176</c:v>
                </c:pt>
                <c:pt idx="810">
                  <c:v>36.000000000000178</c:v>
                </c:pt>
                <c:pt idx="811">
                  <c:v>36.100000000000179</c:v>
                </c:pt>
                <c:pt idx="812">
                  <c:v>36.20000000000018</c:v>
                </c:pt>
                <c:pt idx="813">
                  <c:v>36.300000000000182</c:v>
                </c:pt>
                <c:pt idx="814">
                  <c:v>36.400000000000183</c:v>
                </c:pt>
                <c:pt idx="815">
                  <c:v>36.500000000000185</c:v>
                </c:pt>
                <c:pt idx="816">
                  <c:v>36.600000000000186</c:v>
                </c:pt>
                <c:pt idx="817">
                  <c:v>36.700000000000188</c:v>
                </c:pt>
                <c:pt idx="818">
                  <c:v>36.800000000000189</c:v>
                </c:pt>
                <c:pt idx="819">
                  <c:v>36.90000000000019</c:v>
                </c:pt>
                <c:pt idx="820">
                  <c:v>37.000000000000192</c:v>
                </c:pt>
                <c:pt idx="821">
                  <c:v>37.100000000000193</c:v>
                </c:pt>
                <c:pt idx="822">
                  <c:v>37.200000000000195</c:v>
                </c:pt>
                <c:pt idx="823">
                  <c:v>37.300000000000196</c:v>
                </c:pt>
                <c:pt idx="824">
                  <c:v>37.400000000000198</c:v>
                </c:pt>
                <c:pt idx="825">
                  <c:v>37.500000000000199</c:v>
                </c:pt>
                <c:pt idx="826">
                  <c:v>37.6000000000002</c:v>
                </c:pt>
                <c:pt idx="827">
                  <c:v>37.700000000000202</c:v>
                </c:pt>
                <c:pt idx="828">
                  <c:v>37.800000000000203</c:v>
                </c:pt>
                <c:pt idx="829">
                  <c:v>37.900000000000205</c:v>
                </c:pt>
                <c:pt idx="830">
                  <c:v>38.000000000000206</c:v>
                </c:pt>
                <c:pt idx="831">
                  <c:v>38.100000000000207</c:v>
                </c:pt>
                <c:pt idx="832">
                  <c:v>38.200000000000209</c:v>
                </c:pt>
                <c:pt idx="833">
                  <c:v>38.30000000000021</c:v>
                </c:pt>
                <c:pt idx="834">
                  <c:v>38.400000000000212</c:v>
                </c:pt>
                <c:pt idx="835">
                  <c:v>38.500000000000213</c:v>
                </c:pt>
                <c:pt idx="836">
                  <c:v>38.600000000000215</c:v>
                </c:pt>
                <c:pt idx="837">
                  <c:v>38.700000000000216</c:v>
                </c:pt>
                <c:pt idx="838">
                  <c:v>38.800000000000217</c:v>
                </c:pt>
                <c:pt idx="839">
                  <c:v>38.900000000000219</c:v>
                </c:pt>
                <c:pt idx="840">
                  <c:v>39.00000000000022</c:v>
                </c:pt>
                <c:pt idx="841">
                  <c:v>39.100000000000222</c:v>
                </c:pt>
                <c:pt idx="842">
                  <c:v>39.200000000000223</c:v>
                </c:pt>
                <c:pt idx="843">
                  <c:v>39.300000000000225</c:v>
                </c:pt>
                <c:pt idx="844">
                  <c:v>39.400000000000226</c:v>
                </c:pt>
                <c:pt idx="845">
                  <c:v>39.500000000000227</c:v>
                </c:pt>
                <c:pt idx="846">
                  <c:v>39.600000000000229</c:v>
                </c:pt>
                <c:pt idx="847">
                  <c:v>39.70000000000023</c:v>
                </c:pt>
                <c:pt idx="848">
                  <c:v>39.800000000000232</c:v>
                </c:pt>
                <c:pt idx="849">
                  <c:v>39.900000000000233</c:v>
                </c:pt>
                <c:pt idx="850">
                  <c:v>40.000000000000234</c:v>
                </c:pt>
                <c:pt idx="851">
                  <c:v>40.100000000000236</c:v>
                </c:pt>
                <c:pt idx="852">
                  <c:v>40.200000000000237</c:v>
                </c:pt>
                <c:pt idx="853">
                  <c:v>40.300000000000239</c:v>
                </c:pt>
                <c:pt idx="854">
                  <c:v>40.40000000000024</c:v>
                </c:pt>
                <c:pt idx="855">
                  <c:v>40.500000000000242</c:v>
                </c:pt>
                <c:pt idx="856">
                  <c:v>40.600000000000243</c:v>
                </c:pt>
                <c:pt idx="857">
                  <c:v>40.700000000000244</c:v>
                </c:pt>
                <c:pt idx="858">
                  <c:v>40.800000000000246</c:v>
                </c:pt>
                <c:pt idx="859">
                  <c:v>40.900000000000247</c:v>
                </c:pt>
                <c:pt idx="860">
                  <c:v>41.000000000000249</c:v>
                </c:pt>
                <c:pt idx="861">
                  <c:v>41.10000000000025</c:v>
                </c:pt>
                <c:pt idx="862">
                  <c:v>41.200000000000252</c:v>
                </c:pt>
                <c:pt idx="863">
                  <c:v>41.300000000000253</c:v>
                </c:pt>
                <c:pt idx="864">
                  <c:v>41.400000000000254</c:v>
                </c:pt>
                <c:pt idx="865">
                  <c:v>41.500000000000256</c:v>
                </c:pt>
                <c:pt idx="866">
                  <c:v>41.600000000000257</c:v>
                </c:pt>
                <c:pt idx="867">
                  <c:v>41.700000000000259</c:v>
                </c:pt>
                <c:pt idx="868">
                  <c:v>41.80000000000026</c:v>
                </c:pt>
                <c:pt idx="869">
                  <c:v>41.900000000000261</c:v>
                </c:pt>
                <c:pt idx="870">
                  <c:v>42.000000000000263</c:v>
                </c:pt>
                <c:pt idx="871">
                  <c:v>42.100000000000264</c:v>
                </c:pt>
                <c:pt idx="872">
                  <c:v>42.200000000000266</c:v>
                </c:pt>
                <c:pt idx="873">
                  <c:v>42.300000000000267</c:v>
                </c:pt>
                <c:pt idx="874">
                  <c:v>42.400000000000269</c:v>
                </c:pt>
                <c:pt idx="875">
                  <c:v>42.50000000000027</c:v>
                </c:pt>
                <c:pt idx="876">
                  <c:v>42.600000000000271</c:v>
                </c:pt>
                <c:pt idx="877">
                  <c:v>42.700000000000273</c:v>
                </c:pt>
                <c:pt idx="878">
                  <c:v>42.800000000000274</c:v>
                </c:pt>
                <c:pt idx="879">
                  <c:v>42.900000000000276</c:v>
                </c:pt>
                <c:pt idx="880">
                  <c:v>43.000000000000277</c:v>
                </c:pt>
                <c:pt idx="881">
                  <c:v>43.100000000000279</c:v>
                </c:pt>
                <c:pt idx="882">
                  <c:v>43.20000000000028</c:v>
                </c:pt>
                <c:pt idx="883">
                  <c:v>43.300000000000281</c:v>
                </c:pt>
                <c:pt idx="884">
                  <c:v>43.400000000000283</c:v>
                </c:pt>
                <c:pt idx="885">
                  <c:v>43.500000000000284</c:v>
                </c:pt>
                <c:pt idx="886">
                  <c:v>43.600000000000286</c:v>
                </c:pt>
                <c:pt idx="887">
                  <c:v>43.700000000000287</c:v>
                </c:pt>
                <c:pt idx="888">
                  <c:v>43.800000000000288</c:v>
                </c:pt>
                <c:pt idx="889">
                  <c:v>43.90000000000029</c:v>
                </c:pt>
                <c:pt idx="890">
                  <c:v>44.000000000000291</c:v>
                </c:pt>
                <c:pt idx="891">
                  <c:v>44.100000000000293</c:v>
                </c:pt>
                <c:pt idx="892">
                  <c:v>44.200000000000294</c:v>
                </c:pt>
                <c:pt idx="893">
                  <c:v>44.300000000000296</c:v>
                </c:pt>
                <c:pt idx="894">
                  <c:v>44.400000000000297</c:v>
                </c:pt>
                <c:pt idx="895">
                  <c:v>44.500000000000298</c:v>
                </c:pt>
                <c:pt idx="896">
                  <c:v>44.6000000000003</c:v>
                </c:pt>
                <c:pt idx="897">
                  <c:v>44.700000000000301</c:v>
                </c:pt>
                <c:pt idx="898">
                  <c:v>44.800000000000303</c:v>
                </c:pt>
                <c:pt idx="899">
                  <c:v>44.900000000000304</c:v>
                </c:pt>
                <c:pt idx="900">
                  <c:v>45.000000000000306</c:v>
                </c:pt>
                <c:pt idx="901">
                  <c:v>45.100000000000307</c:v>
                </c:pt>
                <c:pt idx="902">
                  <c:v>45.200000000000308</c:v>
                </c:pt>
                <c:pt idx="903">
                  <c:v>45.30000000000031</c:v>
                </c:pt>
                <c:pt idx="904">
                  <c:v>45.400000000000311</c:v>
                </c:pt>
                <c:pt idx="905">
                  <c:v>45.500000000000313</c:v>
                </c:pt>
                <c:pt idx="906">
                  <c:v>45.600000000000314</c:v>
                </c:pt>
                <c:pt idx="907">
                  <c:v>45.700000000000315</c:v>
                </c:pt>
                <c:pt idx="908">
                  <c:v>45.800000000000317</c:v>
                </c:pt>
                <c:pt idx="909">
                  <c:v>45.900000000000318</c:v>
                </c:pt>
                <c:pt idx="910">
                  <c:v>46.00000000000032</c:v>
                </c:pt>
                <c:pt idx="911">
                  <c:v>46.100000000000321</c:v>
                </c:pt>
                <c:pt idx="912">
                  <c:v>46.200000000000323</c:v>
                </c:pt>
                <c:pt idx="913">
                  <c:v>46.300000000000324</c:v>
                </c:pt>
                <c:pt idx="914">
                  <c:v>46.400000000000325</c:v>
                </c:pt>
                <c:pt idx="915">
                  <c:v>46.500000000000327</c:v>
                </c:pt>
                <c:pt idx="916">
                  <c:v>46.600000000000328</c:v>
                </c:pt>
                <c:pt idx="917">
                  <c:v>46.70000000000033</c:v>
                </c:pt>
                <c:pt idx="918">
                  <c:v>46.800000000000331</c:v>
                </c:pt>
                <c:pt idx="919">
                  <c:v>46.900000000000333</c:v>
                </c:pt>
                <c:pt idx="920">
                  <c:v>47.000000000000334</c:v>
                </c:pt>
                <c:pt idx="921">
                  <c:v>47.100000000000335</c:v>
                </c:pt>
                <c:pt idx="922">
                  <c:v>47.200000000000337</c:v>
                </c:pt>
                <c:pt idx="923">
                  <c:v>47.300000000000338</c:v>
                </c:pt>
                <c:pt idx="924">
                  <c:v>47.40000000000034</c:v>
                </c:pt>
                <c:pt idx="925">
                  <c:v>47.500000000000341</c:v>
                </c:pt>
                <c:pt idx="926">
                  <c:v>47.600000000000342</c:v>
                </c:pt>
                <c:pt idx="927">
                  <c:v>47.700000000000344</c:v>
                </c:pt>
                <c:pt idx="928">
                  <c:v>47.800000000000345</c:v>
                </c:pt>
                <c:pt idx="929">
                  <c:v>47.900000000000347</c:v>
                </c:pt>
                <c:pt idx="930">
                  <c:v>48.000000000000348</c:v>
                </c:pt>
                <c:pt idx="931">
                  <c:v>48.10000000000035</c:v>
                </c:pt>
                <c:pt idx="932">
                  <c:v>48.200000000000351</c:v>
                </c:pt>
                <c:pt idx="933">
                  <c:v>48.300000000000352</c:v>
                </c:pt>
                <c:pt idx="934">
                  <c:v>48.400000000000354</c:v>
                </c:pt>
                <c:pt idx="935">
                  <c:v>48.500000000000355</c:v>
                </c:pt>
                <c:pt idx="936">
                  <c:v>48.600000000000357</c:v>
                </c:pt>
                <c:pt idx="937">
                  <c:v>48.700000000000358</c:v>
                </c:pt>
                <c:pt idx="938">
                  <c:v>48.80000000000036</c:v>
                </c:pt>
                <c:pt idx="939">
                  <c:v>48.900000000000361</c:v>
                </c:pt>
                <c:pt idx="940">
                  <c:v>49.000000000000362</c:v>
                </c:pt>
                <c:pt idx="941">
                  <c:v>49.100000000000364</c:v>
                </c:pt>
                <c:pt idx="942">
                  <c:v>49.200000000000365</c:v>
                </c:pt>
                <c:pt idx="943">
                  <c:v>49.300000000000367</c:v>
                </c:pt>
                <c:pt idx="944">
                  <c:v>49.400000000000368</c:v>
                </c:pt>
                <c:pt idx="945">
                  <c:v>49.500000000000369</c:v>
                </c:pt>
                <c:pt idx="946">
                  <c:v>49.500100000000373</c:v>
                </c:pt>
                <c:pt idx="947">
                  <c:v>49.500200000000376</c:v>
                </c:pt>
                <c:pt idx="948">
                  <c:v>49.500300000000379</c:v>
                </c:pt>
                <c:pt idx="949">
                  <c:v>49.500400000000383</c:v>
                </c:pt>
                <c:pt idx="950">
                  <c:v>49.500500000000386</c:v>
                </c:pt>
                <c:pt idx="951">
                  <c:v>49.500600000000389</c:v>
                </c:pt>
                <c:pt idx="952">
                  <c:v>49.500700000000393</c:v>
                </c:pt>
                <c:pt idx="953">
                  <c:v>49.500800000000396</c:v>
                </c:pt>
                <c:pt idx="954">
                  <c:v>49.500900000000399</c:v>
                </c:pt>
                <c:pt idx="955">
                  <c:v>49.501000000000403</c:v>
                </c:pt>
                <c:pt idx="956">
                  <c:v>49.501100000000406</c:v>
                </c:pt>
                <c:pt idx="957">
                  <c:v>49.501200000000409</c:v>
                </c:pt>
                <c:pt idx="958">
                  <c:v>49.501300000000413</c:v>
                </c:pt>
                <c:pt idx="959">
                  <c:v>49.501400000000416</c:v>
                </c:pt>
                <c:pt idx="960">
                  <c:v>49.501500000000419</c:v>
                </c:pt>
                <c:pt idx="961">
                  <c:v>49.501600000000423</c:v>
                </c:pt>
                <c:pt idx="962">
                  <c:v>49.501700000000426</c:v>
                </c:pt>
                <c:pt idx="963">
                  <c:v>49.501800000000429</c:v>
                </c:pt>
                <c:pt idx="964">
                  <c:v>49.501900000000433</c:v>
                </c:pt>
                <c:pt idx="965">
                  <c:v>49.502000000000436</c:v>
                </c:pt>
                <c:pt idx="966">
                  <c:v>49.502100000000439</c:v>
                </c:pt>
                <c:pt idx="967">
                  <c:v>49.502200000000443</c:v>
                </c:pt>
                <c:pt idx="968">
                  <c:v>49.502300000000446</c:v>
                </c:pt>
                <c:pt idx="969">
                  <c:v>49.502400000000449</c:v>
                </c:pt>
                <c:pt idx="970">
                  <c:v>49.502500000000452</c:v>
                </c:pt>
                <c:pt idx="971">
                  <c:v>49.502600000000456</c:v>
                </c:pt>
                <c:pt idx="972">
                  <c:v>49.502700000000459</c:v>
                </c:pt>
                <c:pt idx="973">
                  <c:v>49.502800000000462</c:v>
                </c:pt>
                <c:pt idx="974">
                  <c:v>49.502900000000466</c:v>
                </c:pt>
                <c:pt idx="975">
                  <c:v>49.503000000000469</c:v>
                </c:pt>
                <c:pt idx="976">
                  <c:v>49.503100000000472</c:v>
                </c:pt>
                <c:pt idx="977">
                  <c:v>49.503200000000476</c:v>
                </c:pt>
                <c:pt idx="978">
                  <c:v>49.503300000000479</c:v>
                </c:pt>
                <c:pt idx="979">
                  <c:v>49.503400000000482</c:v>
                </c:pt>
                <c:pt idx="980">
                  <c:v>49.503500000000486</c:v>
                </c:pt>
                <c:pt idx="981">
                  <c:v>49.503600000000489</c:v>
                </c:pt>
                <c:pt idx="982">
                  <c:v>49.503700000000492</c:v>
                </c:pt>
                <c:pt idx="983">
                  <c:v>49.503800000000496</c:v>
                </c:pt>
                <c:pt idx="984">
                  <c:v>49.503900000000499</c:v>
                </c:pt>
                <c:pt idx="985">
                  <c:v>49.504000000000502</c:v>
                </c:pt>
                <c:pt idx="986">
                  <c:v>49.504100000000506</c:v>
                </c:pt>
                <c:pt idx="987">
                  <c:v>49.504200000000509</c:v>
                </c:pt>
                <c:pt idx="988">
                  <c:v>49.504300000000512</c:v>
                </c:pt>
                <c:pt idx="989">
                  <c:v>49.504400000000516</c:v>
                </c:pt>
                <c:pt idx="990">
                  <c:v>49.504500000000519</c:v>
                </c:pt>
                <c:pt idx="991">
                  <c:v>49.504600000000522</c:v>
                </c:pt>
                <c:pt idx="992">
                  <c:v>49.504700000000526</c:v>
                </c:pt>
                <c:pt idx="993">
                  <c:v>49.504800000000529</c:v>
                </c:pt>
                <c:pt idx="994">
                  <c:v>49.504900000000532</c:v>
                </c:pt>
                <c:pt idx="995">
                  <c:v>49.505000000000535</c:v>
                </c:pt>
                <c:pt idx="996">
                  <c:v>49.505100000000539</c:v>
                </c:pt>
                <c:pt idx="997">
                  <c:v>49.505200000000542</c:v>
                </c:pt>
                <c:pt idx="998">
                  <c:v>49.505300000000545</c:v>
                </c:pt>
                <c:pt idx="999">
                  <c:v>49.505400000000549</c:v>
                </c:pt>
                <c:pt idx="1000">
                  <c:v>49.505500000000552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4.8454537426533613E-4</c:v>
                </c:pt>
                <c:pt idx="2">
                  <c:v>3.0098523531846906E-3</c:v>
                </c:pt>
                <c:pt idx="3">
                  <c:v>9.0924669372744408E-3</c:v>
                </c:pt>
                <c:pt idx="4">
                  <c:v>1.9622488329450273E-2</c:v>
                </c:pt>
                <c:pt idx="5">
                  <c:v>3.5490770437777167E-2</c:v>
                </c:pt>
                <c:pt idx="6">
                  <c:v>5.7589035102754378E-2</c:v>
                </c:pt>
                <c:pt idx="7">
                  <c:v>8.6809984293011788E-2</c:v>
                </c:pt>
                <c:pt idx="8">
                  <c:v>0.12404741131150263</c:v>
                </c:pt>
                <c:pt idx="9">
                  <c:v>0.17019631105286553</c:v>
                </c:pt>
                <c:pt idx="10">
                  <c:v>0.22615298935126302</c:v>
                </c:pt>
                <c:pt idx="11">
                  <c:v>0.29255910031611482</c:v>
                </c:pt>
                <c:pt idx="12">
                  <c:v>0.36954504731527471</c:v>
                </c:pt>
                <c:pt idx="13">
                  <c:v>0.45698322648663359</c:v>
                </c:pt>
                <c:pt idx="14">
                  <c:v>0.55474185008536059</c:v>
                </c:pt>
                <c:pt idx="15">
                  <c:v>0.66268689479262965</c:v>
                </c:pt>
                <c:pt idx="16">
                  <c:v>0.78068405450253586</c:v>
                </c:pt>
                <c:pt idx="17">
                  <c:v>0.90859874514596273</c:v>
                </c:pt>
                <c:pt idx="18">
                  <c:v>1.0462961095112582</c:v>
                </c:pt>
                <c:pt idx="19">
                  <c:v>1.1936410220609734</c:v>
                </c:pt>
                <c:pt idx="20">
                  <c:v>1.3504980937439244</c:v>
                </c:pt>
                <c:pt idx="21">
                  <c:v>1.5167316768018404</c:v>
                </c:pt>
                <c:pt idx="22">
                  <c:v>1.6922058695698703</c:v>
                </c:pt>
                <c:pt idx="23">
                  <c:v>1.8767845212702179</c:v>
                </c:pt>
                <c:pt idx="24">
                  <c:v>2.070331236798189</c:v>
                </c:pt>
                <c:pt idx="25">
                  <c:v>2.2727093814999333</c:v>
                </c:pt>
                <c:pt idx="26">
                  <c:v>2.4837820859411726</c:v>
                </c:pt>
                <c:pt idx="27">
                  <c:v>2.7034466785245099</c:v>
                </c:pt>
                <c:pt idx="28">
                  <c:v>2.9316691784966009</c:v>
                </c:pt>
                <c:pt idx="29">
                  <c:v>3.1684499594633553</c:v>
                </c:pt>
                <c:pt idx="30">
                  <c:v>3.4137893501040186</c:v>
                </c:pt>
                <c:pt idx="31">
                  <c:v>3.6676876341132512</c:v>
                </c:pt>
                <c:pt idx="32">
                  <c:v>3.9301450501442883</c:v>
                </c:pt>
                <c:pt idx="33">
                  <c:v>4.2011617917531918</c:v>
                </c:pt>
                <c:pt idx="34">
                  <c:v>4.4807342796552891</c:v>
                </c:pt>
                <c:pt idx="35">
                  <c:v>4.7688587659544588</c:v>
                </c:pt>
                <c:pt idx="36">
                  <c:v>5.0655350626862239</c:v>
                </c:pt>
                <c:pt idx="37">
                  <c:v>5.37076294017763</c:v>
                </c:pt>
                <c:pt idx="38">
                  <c:v>5.684542128653665</c:v>
                </c:pt>
                <c:pt idx="39">
                  <c:v>6.0068723179364136</c:v>
                </c:pt>
                <c:pt idx="40">
                  <c:v>6.3377531571639567</c:v>
                </c:pt>
                <c:pt idx="41">
                  <c:v>6.6771842545272015</c:v>
                </c:pt>
                <c:pt idx="42">
                  <c:v>7.0251651770230428</c:v>
                </c:pt>
                <c:pt idx="43">
                  <c:v>7.3816954502224439</c:v>
                </c:pt>
                <c:pt idx="44">
                  <c:v>7.7467745580521896</c:v>
                </c:pt>
                <c:pt idx="45">
                  <c:v>8.1204019425892007</c:v>
                </c:pt>
                <c:pt idx="46">
                  <c:v>8.5025770038664259</c:v>
                </c:pt>
                <c:pt idx="47">
                  <c:v>8.8932990996894254</c:v>
                </c:pt>
                <c:pt idx="48">
                  <c:v>9.2925675454628678</c:v>
                </c:pt>
                <c:pt idx="49">
                  <c:v>9.7003816140262167</c:v>
                </c:pt>
                <c:pt idx="50">
                  <c:v>10.116740535497987</c:v>
                </c:pt>
                <c:pt idx="51">
                  <c:v>10.541643497127991</c:v>
                </c:pt>
                <c:pt idx="52">
                  <c:v>10.975089643157048</c:v>
                </c:pt>
                <c:pt idx="53">
                  <c:v>11.417078074683706</c:v>
                </c:pt>
                <c:pt idx="54">
                  <c:v>11.867607849537535</c:v>
                </c:pt>
                <c:pt idx="55">
                  <c:v>12.326677982158607</c:v>
                </c:pt>
                <c:pt idx="56">
                  <c:v>12.794287443482824</c:v>
                </c:pt>
                <c:pt idx="57">
                  <c:v>13.270435160832752</c:v>
                </c:pt>
                <c:pt idx="58">
                  <c:v>13.755120017813685</c:v>
                </c:pt>
                <c:pt idx="59">
                  <c:v>14.248340854214662</c:v>
                </c:pt>
                <c:pt idx="60">
                  <c:v>14.750096465914199</c:v>
                </c:pt>
                <c:pt idx="61">
                  <c:v>15.260385604790489</c:v>
                </c:pt>
                <c:pt idx="62">
                  <c:v>15.779206978635896</c:v>
                </c:pt>
                <c:pt idx="63">
                  <c:v>16.30655925107552</c:v>
                </c:pt>
                <c:pt idx="64">
                  <c:v>16.842441041489678</c:v>
                </c:pt>
                <c:pt idx="65">
                  <c:v>17.38685092494012</c:v>
                </c:pt>
                <c:pt idx="66">
                  <c:v>17.939787432099855</c:v>
                </c:pt>
                <c:pt idx="67">
                  <c:v>18.50124904918642</c:v>
                </c:pt>
                <c:pt idx="68">
                  <c:v>19.071234217898471</c:v>
                </c:pt>
                <c:pt idx="69">
                  <c:v>19.649741335355603</c:v>
                </c:pt>
                <c:pt idx="70">
                  <c:v>20.236768754041247</c:v>
                </c:pt>
                <c:pt idx="71">
                  <c:v>20.832314781748551</c:v>
                </c:pt>
                <c:pt idx="72">
                  <c:v>21.436377287415919</c:v>
                </c:pt>
                <c:pt idx="73">
                  <c:v>22.048953306369146</c:v>
                </c:pt>
                <c:pt idx="74">
                  <c:v>22.670039433573695</c:v>
                </c:pt>
                <c:pt idx="75">
                  <c:v>23.299632217497475</c:v>
                </c:pt>
                <c:pt idx="76">
                  <c:v>23.937728160093723</c:v>
                </c:pt>
                <c:pt idx="77">
                  <c:v>24.584323716786518</c:v>
                </c:pt>
                <c:pt idx="78">
                  <c:v>25.239415296458819</c:v>
                </c:pt>
                <c:pt idx="79">
                  <c:v>25.902999261443011</c:v>
                </c:pt>
                <c:pt idx="80">
                  <c:v>26.57507192751385</c:v>
                </c:pt>
                <c:pt idx="81">
                  <c:v>27.25562956388379</c:v>
                </c:pt>
                <c:pt idx="82">
                  <c:v>27.944668393200619</c:v>
                </c:pt>
                <c:pt idx="83">
                  <c:v>28.642184591547345</c:v>
                </c:pt>
                <c:pt idx="84">
                  <c:v>29.348174288444326</c:v>
                </c:pt>
                <c:pt idx="85">
                  <c:v>30.062633566853549</c:v>
                </c:pt>
                <c:pt idx="86">
                  <c:v>30.785558463185041</c:v>
                </c:pt>
                <c:pt idx="87">
                  <c:v>31.516944967305385</c:v>
                </c:pt>
                <c:pt idx="88">
                  <c:v>32.256789022548269</c:v>
                </c:pt>
                <c:pt idx="89">
                  <c:v>33.005086525727073</c:v>
                </c:pt>
                <c:pt idx="90">
                  <c:v>33.761833327149418</c:v>
                </c:pt>
                <c:pt idx="91">
                  <c:v>34.527025230633676</c:v>
                </c:pt>
                <c:pt idx="92">
                  <c:v>35.300657993527402</c:v>
                </c:pt>
                <c:pt idx="93">
                  <c:v>36.082727326727664</c:v>
                </c:pt>
                <c:pt idx="94">
                  <c:v>36.87322889470321</c:v>
                </c:pt>
                <c:pt idx="95">
                  <c:v>37.672158315518516</c:v>
                </c:pt>
                <c:pt idx="96">
                  <c:v>38.479511160859595</c:v>
                </c:pt>
                <c:pt idx="97">
                  <c:v>39.295282956061627</c:v>
                </c:pt>
                <c:pt idx="98">
                  <c:v>40.119469180138367</c:v>
                </c:pt>
                <c:pt idx="99">
                  <c:v>40.952065265813246</c:v>
                </c:pt>
                <c:pt idx="100">
                  <c:v>41.793066599552247</c:v>
                </c:pt>
                <c:pt idx="101">
                  <c:v>42.64246852159846</c:v>
                </c:pt>
                <c:pt idx="102">
                  <c:v>43.500266326008301</c:v>
                </c:pt>
                <c:pt idx="103">
                  <c:v>44.366455260689435</c:v>
                </c:pt>
                <c:pt idx="104">
                  <c:v>45.241030527440309</c:v>
                </c:pt>
                <c:pt idx="105">
                  <c:v>46.12398728199134</c:v>
                </c:pt>
                <c:pt idx="106">
                  <c:v>47.015320634047697</c:v>
                </c:pt>
                <c:pt idx="107">
                  <c:v>47.915025647333692</c:v>
                </c:pt>
                <c:pt idx="108">
                  <c:v>48.823097339638743</c:v>
                </c:pt>
                <c:pt idx="109">
                  <c:v>49.739530682864903</c:v>
                </c:pt>
                <c:pt idx="110">
                  <c:v>50.66432060307595</c:v>
                </c:pt>
                <c:pt idx="111">
                  <c:v>51.597461980548005</c:v>
                </c:pt>
                <c:pt idx="112">
                  <c:v>52.53894964982166</c:v>
                </c:pt>
                <c:pt idx="113">
                  <c:v>53.488778399755667</c:v>
                </c:pt>
                <c:pt idx="114">
                  <c:v>54.446942973582054</c:v>
                </c:pt>
                <c:pt idx="115">
                  <c:v>55.413438068962783</c:v>
                </c:pt>
                <c:pt idx="116">
                  <c:v>56.388258338047869</c:v>
                </c:pt>
                <c:pt idx="117">
                  <c:v>57.371398387534924</c:v>
                </c:pt>
                <c:pt idx="118">
                  <c:v>58.362852778730208</c:v>
                </c:pt>
                <c:pt idx="119">
                  <c:v>59.362616027611068</c:v>
                </c:pt>
                <c:pt idx="120">
                  <c:v>60.370682604889844</c:v>
                </c:pt>
                <c:pt idx="121">
                  <c:v>61.387046936079166</c:v>
                </c:pt>
                <c:pt idx="122">
                  <c:v>62.411703401558675</c:v>
                </c:pt>
                <c:pt idx="123">
                  <c:v>63.444646336643125</c:v>
                </c:pt>
                <c:pt idx="124">
                  <c:v>64.485870031651871</c:v>
                </c:pt>
                <c:pt idx="125">
                  <c:v>65.535368731979773</c:v>
                </c:pt>
                <c:pt idx="126">
                  <c:v>66.593136638169398</c:v>
                </c:pt>
                <c:pt idx="127">
                  <c:v>67.659167905984631</c:v>
                </c:pt>
                <c:pt idx="128">
                  <c:v>68.733456646485635</c:v>
                </c:pt>
                <c:pt idx="129">
                  <c:v>69.815995104083711</c:v>
                </c:pt>
                <c:pt idx="130">
                  <c:v>70.906771832403919</c:v>
                </c:pt>
                <c:pt idx="131">
                  <c:v>72.005773513763401</c:v>
                </c:pt>
                <c:pt idx="132">
                  <c:v>73.112986780907136</c:v>
                </c:pt>
                <c:pt idx="133">
                  <c:v>74.228398217214703</c:v>
                </c:pt>
                <c:pt idx="134">
                  <c:v>75.351994356908321</c:v>
                </c:pt>
                <c:pt idx="135">
                  <c:v>76.483761685262238</c:v>
                </c:pt>
                <c:pt idx="136">
                  <c:v>77.623686638813453</c:v>
                </c:pt>
                <c:pt idx="137">
                  <c:v>78.771755605573759</c:v>
                </c:pt>
                <c:pt idx="138">
                  <c:v>79.927954925243043</c:v>
                </c:pt>
                <c:pt idx="139">
                  <c:v>81.092270889423858</c:v>
                </c:pt>
                <c:pt idx="140">
                  <c:v>82.264689741837287</c:v>
                </c:pt>
                <c:pt idx="141">
                  <c:v>83.445197678539955</c:v>
                </c:pt>
                <c:pt idx="142">
                  <c:v>84.633780848142365</c:v>
                </c:pt>
                <c:pt idx="143">
                  <c:v>85.830425352028371</c:v>
                </c:pt>
                <c:pt idx="144">
                  <c:v>87.035117244575844</c:v>
                </c:pt>
                <c:pt idx="145">
                  <c:v>88.247842533378517</c:v>
                </c:pt>
                <c:pt idx="146">
                  <c:v>89.468587179469012</c:v>
                </c:pt>
                <c:pt idx="147">
                  <c:v>90.697337097542928</c:v>
                </c:pt>
                <c:pt idx="148">
                  <c:v>91.934078156184114</c:v>
                </c:pt>
                <c:pt idx="149">
                  <c:v>93.178796178091048</c:v>
                </c:pt>
                <c:pt idx="150">
                  <c:v>94.431476940304236</c:v>
                </c:pt>
                <c:pt idx="151">
                  <c:v>95.692106174434784</c:v>
                </c:pt>
                <c:pt idx="152">
                  <c:v>96.960669566893927</c:v>
                </c:pt>
                <c:pt idx="153">
                  <c:v>98.237152759123688</c:v>
                </c:pt>
                <c:pt idx="154">
                  <c:v>99.521541347828489</c:v>
                </c:pt>
                <c:pt idx="155">
                  <c:v>100.81382088520783</c:v>
                </c:pt>
                <c:pt idx="156">
                  <c:v>102.11397687918991</c:v>
                </c:pt>
                <c:pt idx="157">
                  <c:v>103.42199479366624</c:v>
                </c:pt>
                <c:pt idx="158">
                  <c:v>104.7378600487273</c:v>
                </c:pt>
                <c:pt idx="159">
                  <c:v>106.06155802089899</c:v>
                </c:pt>
                <c:pt idx="160">
                  <c:v>107.39307404338014</c:v>
                </c:pt>
                <c:pt idx="161">
                  <c:v>108.73239340628091</c:v>
                </c:pt>
                <c:pt idx="162">
                  <c:v>110.07950135686204</c:v>
                </c:pt>
                <c:pt idx="163">
                  <c:v>111.43438309977505</c:v>
                </c:pt>
                <c:pt idx="164">
                  <c:v>112.79702379730327</c:v>
                </c:pt>
                <c:pt idx="165">
                  <c:v>114.16740856960375</c:v>
                </c:pt>
                <c:pt idx="166">
                  <c:v>115.54552249494999</c:v>
                </c:pt>
                <c:pt idx="167">
                  <c:v>116.93135060997554</c:v>
                </c:pt>
                <c:pt idx="168">
                  <c:v>118.32487790991833</c:v>
                </c:pt>
                <c:pt idx="169">
                  <c:v>119.72608934886588</c:v>
                </c:pt>
                <c:pt idx="170">
                  <c:v>121.13496984000126</c:v>
                </c:pt>
                <c:pt idx="171">
                  <c:v>122.55150425584981</c:v>
                </c:pt>
                <c:pt idx="172">
                  <c:v>123.97567742852658</c:v>
                </c:pt>
                <c:pt idx="173">
                  <c:v>125.40747414998459</c:v>
                </c:pt>
                <c:pt idx="174">
                  <c:v>126.84687917226375</c:v>
                </c:pt>
                <c:pt idx="175">
                  <c:v>128.29387720774048</c:v>
                </c:pt>
                <c:pt idx="176">
                  <c:v>129.74845292937806</c:v>
                </c:pt>
                <c:pt idx="177">
                  <c:v>131.21059097097768</c:v>
                </c:pt>
                <c:pt idx="178">
                  <c:v>132.68027592743002</c:v>
                </c:pt>
                <c:pt idx="179">
                  <c:v>134.15749235496764</c:v>
                </c:pt>
                <c:pt idx="180">
                  <c:v>135.642224771418</c:v>
                </c:pt>
                <c:pt idx="181">
                  <c:v>137.13445765645687</c:v>
                </c:pt>
                <c:pt idx="182">
                  <c:v>138.63417545186266</c:v>
                </c:pt>
                <c:pt idx="183">
                  <c:v>140.14136256177113</c:v>
                </c:pt>
                <c:pt idx="184">
                  <c:v>141.65600335293078</c:v>
                </c:pt>
                <c:pt idx="185">
                  <c:v>143.1780821549587</c:v>
                </c:pt>
                <c:pt idx="186">
                  <c:v>144.70758326059709</c:v>
                </c:pt>
                <c:pt idx="187">
                  <c:v>146.24449092597021</c:v>
                </c:pt>
                <c:pt idx="188">
                  <c:v>147.7887893708419</c:v>
                </c:pt>
                <c:pt idx="189">
                  <c:v>149.34046277887364</c:v>
                </c:pt>
                <c:pt idx="190">
                  <c:v>150.89949529788302</c:v>
                </c:pt>
                <c:pt idx="191">
                  <c:v>152.46587104010274</c:v>
                </c:pt>
                <c:pt idx="192">
                  <c:v>154.03957408244</c:v>
                </c:pt>
                <c:pt idx="193">
                  <c:v>155.62058846673645</c:v>
                </c:pt>
                <c:pt idx="194">
                  <c:v>157.20889820002856</c:v>
                </c:pt>
                <c:pt idx="195">
                  <c:v>158.80448725480827</c:v>
                </c:pt>
                <c:pt idx="196">
                  <c:v>160.40733956928423</c:v>
                </c:pt>
                <c:pt idx="197">
                  <c:v>162.01743904764328</c:v>
                </c:pt>
                <c:pt idx="198">
                  <c:v>163.63476956031244</c:v>
                </c:pt>
                <c:pt idx="199">
                  <c:v>165.25931494422113</c:v>
                </c:pt>
                <c:pt idx="200">
                  <c:v>166.8910590030639</c:v>
                </c:pt>
                <c:pt idx="201">
                  <c:v>168.52998550756334</c:v>
                </c:pt>
                <c:pt idx="202">
                  <c:v>170.1760781957334</c:v>
                </c:pt>
                <c:pt idx="203">
                  <c:v>171.82932077314302</c:v>
                </c:pt>
                <c:pt idx="204">
                  <c:v>173.48969691318004</c:v>
                </c:pt>
                <c:pt idx="205">
                  <c:v>175.15719025731531</c:v>
                </c:pt>
                <c:pt idx="206">
                  <c:v>176.83178396925146</c:v>
                </c:pt>
                <c:pt idx="207">
                  <c:v>178.51346028877683</c:v>
                </c:pt>
                <c:pt idx="208">
                  <c:v>180.20220097796303</c:v>
                </c:pt>
                <c:pt idx="209">
                  <c:v>181.8979877676733</c:v>
                </c:pt>
                <c:pt idx="210">
                  <c:v>183.60080235785898</c:v>
                </c:pt>
                <c:pt idx="211">
                  <c:v>185.31062641785618</c:v>
                </c:pt>
                <c:pt idx="212">
                  <c:v>187.0274415866825</c:v>
                </c:pt>
                <c:pt idx="213">
                  <c:v>188.75122947333372</c:v>
                </c:pt>
                <c:pt idx="214">
                  <c:v>190.48197165708078</c:v>
                </c:pt>
                <c:pt idx="215">
                  <c:v>192.21964968776649</c:v>
                </c:pt>
                <c:pt idx="216">
                  <c:v>193.96424508610258</c:v>
                </c:pt>
                <c:pt idx="217">
                  <c:v>195.71573934396656</c:v>
                </c:pt>
                <c:pt idx="218">
                  <c:v>197.4741139246986</c:v>
                </c:pt>
                <c:pt idx="219">
                  <c:v>199.23935026339851</c:v>
                </c:pt>
                <c:pt idx="220">
                  <c:v>201.0114297672225</c:v>
                </c:pt>
                <c:pt idx="221">
                  <c:v>202.7903338156801</c:v>
                </c:pt>
                <c:pt idx="222">
                  <c:v>204.57604376093084</c:v>
                </c:pt>
                <c:pt idx="223">
                  <c:v>206.36854092808099</c:v>
                </c:pt>
                <c:pt idx="224">
                  <c:v>208.16780661548012</c:v>
                </c:pt>
                <c:pt idx="225">
                  <c:v>209.97382209501762</c:v>
                </c:pt>
                <c:pt idx="226">
                  <c:v>211.78656861241902</c:v>
                </c:pt>
                <c:pt idx="227">
                  <c:v>213.6060273875423</c:v>
                </c:pt>
                <c:pt idx="228">
                  <c:v>215.43217961467394</c:v>
                </c:pt>
                <c:pt idx="229">
                  <c:v>217.26500646282491</c:v>
                </c:pt>
                <c:pt idx="230">
                  <c:v>219.10448907602637</c:v>
                </c:pt>
                <c:pt idx="231">
                  <c:v>220.95060857362526</c:v>
                </c:pt>
                <c:pt idx="232">
                  <c:v>222.80334605057973</c:v>
                </c:pt>
                <c:pt idx="233">
                  <c:v>224.66268257775425</c:v>
                </c:pt>
                <c:pt idx="234">
                  <c:v>226.52859920221459</c:v>
                </c:pt>
                <c:pt idx="235">
                  <c:v>228.40107694752251</c:v>
                </c:pt>
                <c:pt idx="236">
                  <c:v>230.28009681403012</c:v>
                </c:pt>
                <c:pt idx="237">
                  <c:v>232.1656397791742</c:v>
                </c:pt>
                <c:pt idx="238">
                  <c:v>234.05768679776997</c:v>
                </c:pt>
                <c:pt idx="239">
                  <c:v>235.95621880230479</c:v>
                </c:pt>
                <c:pt idx="240">
                  <c:v>237.86121670323132</c:v>
                </c:pt>
                <c:pt idx="241">
                  <c:v>239.77266138926066</c:v>
                </c:pt>
                <c:pt idx="242">
                  <c:v>241.69053218186937</c:v>
                </c:pt>
                <c:pt idx="243">
                  <c:v>243.614805289185</c:v>
                </c:pt>
                <c:pt idx="244">
                  <c:v>245.54545535217216</c:v>
                </c:pt>
                <c:pt idx="245">
                  <c:v>247.48245699149339</c:v>
                </c:pt>
                <c:pt idx="246">
                  <c:v>249.42578480790837</c:v>
                </c:pt>
                <c:pt idx="247">
                  <c:v>251.37541338267218</c:v>
                </c:pt>
                <c:pt idx="248">
                  <c:v>253.33131727793264</c:v>
                </c:pt>
                <c:pt idx="249">
                  <c:v>255.29347103712661</c:v>
                </c:pt>
                <c:pt idx="250">
                  <c:v>257.26184918537524</c:v>
                </c:pt>
                <c:pt idx="251">
                  <c:v>259.23642622987842</c:v>
                </c:pt>
                <c:pt idx="252">
                  <c:v>261.21717666030787</c:v>
                </c:pt>
                <c:pt idx="253">
                  <c:v>263.20407494919942</c:v>
                </c:pt>
                <c:pt idx="254">
                  <c:v>265.19709555234425</c:v>
                </c:pt>
                <c:pt idx="255">
                  <c:v>267.19621290917883</c:v>
                </c:pt>
                <c:pt idx="256">
                  <c:v>269.20140144317384</c:v>
                </c:pt>
                <c:pt idx="257">
                  <c:v>271.21263556222209</c:v>
                </c:pt>
                <c:pt idx="258">
                  <c:v>273.22988965902528</c:v>
                </c:pt>
                <c:pt idx="259">
                  <c:v>275.25313811147947</c:v>
                </c:pt>
                <c:pt idx="260">
                  <c:v>277.28235528305947</c:v>
                </c:pt>
                <c:pt idx="261">
                  <c:v>279.31751552320202</c:v>
                </c:pt>
                <c:pt idx="262">
                  <c:v>281.35859316768796</c:v>
                </c:pt>
                <c:pt idx="263">
                  <c:v>283.40556253902292</c:v>
                </c:pt>
                <c:pt idx="264">
                  <c:v>285.45839794681694</c:v>
                </c:pt>
                <c:pt idx="265">
                  <c:v>287.51707368816284</c:v>
                </c:pt>
                <c:pt idx="266">
                  <c:v>289.58156404801326</c:v>
                </c:pt>
                <c:pt idx="267">
                  <c:v>291.65184329955656</c:v>
                </c:pt>
                <c:pt idx="268">
                  <c:v>293.7278857045913</c:v>
                </c:pt>
                <c:pt idx="269">
                  <c:v>295.80966551389957</c:v>
                </c:pt>
                <c:pt idx="270">
                  <c:v>297.89715696761886</c:v>
                </c:pt>
                <c:pt idx="271">
                  <c:v>299.99033429561274</c:v>
                </c:pt>
                <c:pt idx="272">
                  <c:v>302.08917171784014</c:v>
                </c:pt>
                <c:pt idx="273">
                  <c:v>304.19364344472331</c:v>
                </c:pt>
                <c:pt idx="274">
                  <c:v>306.30372367751431</c:v>
                </c:pt>
                <c:pt idx="275">
                  <c:v>308.41938660866032</c:v>
                </c:pt>
                <c:pt idx="276">
                  <c:v>310.54060642216734</c:v>
                </c:pt>
                <c:pt idx="277">
                  <c:v>312.66735729396277</c:v>
                </c:pt>
                <c:pt idx="278">
                  <c:v>314.79961339225622</c:v>
                </c:pt>
                <c:pt idx="279">
                  <c:v>316.9373488778993</c:v>
                </c:pt>
                <c:pt idx="280">
                  <c:v>319.08053790474361</c:v>
                </c:pt>
                <c:pt idx="281">
                  <c:v>321.22915461999747</c:v>
                </c:pt>
                <c:pt idx="282">
                  <c:v>323.38317316458125</c:v>
                </c:pt>
                <c:pt idx="283">
                  <c:v>325.54256767348102</c:v>
                </c:pt>
                <c:pt idx="284">
                  <c:v>327.70731409559357</c:v>
                </c:pt>
                <c:pt idx="285">
                  <c:v>329.87739201368942</c:v>
                </c:pt>
                <c:pt idx="286">
                  <c:v>332.05278282405664</c:v>
                </c:pt>
                <c:pt idx="287">
                  <c:v>334.23346791596867</c:v>
                </c:pt>
                <c:pt idx="288">
                  <c:v>336.41942867192046</c:v>
                </c:pt>
                <c:pt idx="289">
                  <c:v>338.61064646786394</c:v>
                </c:pt>
                <c:pt idx="290">
                  <c:v>340.8071026734425</c:v>
                </c:pt>
                <c:pt idx="291">
                  <c:v>343.00877865222498</c:v>
                </c:pt>
                <c:pt idx="292">
                  <c:v>345.21565576193865</c:v>
                </c:pt>
                <c:pt idx="293">
                  <c:v>347.42771535470143</c:v>
                </c:pt>
                <c:pt idx="294">
                  <c:v>349.64493877725334</c:v>
                </c:pt>
                <c:pt idx="295">
                  <c:v>351.86730737118722</c:v>
                </c:pt>
                <c:pt idx="296">
                  <c:v>354.09480247317839</c:v>
                </c:pt>
                <c:pt idx="297">
                  <c:v>356.32740541521378</c:v>
                </c:pt>
                <c:pt idx="298">
                  <c:v>358.56509752481992</c:v>
                </c:pt>
                <c:pt idx="299">
                  <c:v>360.80786012529046</c:v>
                </c:pt>
                <c:pt idx="300">
                  <c:v>363.05567453591249</c:v>
                </c:pt>
                <c:pt idx="301">
                  <c:v>365.3085220721922</c:v>
                </c:pt>
                <c:pt idx="302">
                  <c:v>367.56638404607969</c:v>
                </c:pt>
                <c:pt idx="303">
                  <c:v>369.82924176619287</c:v>
                </c:pt>
                <c:pt idx="304">
                  <c:v>372.09707653804043</c:v>
                </c:pt>
                <c:pt idx="305">
                  <c:v>374.36986966424411</c:v>
                </c:pt>
                <c:pt idx="306">
                  <c:v>376.64760244475997</c:v>
                </c:pt>
                <c:pt idx="307">
                  <c:v>378.93025617709873</c:v>
                </c:pt>
                <c:pt idx="308">
                  <c:v>381.21781215654545</c:v>
                </c:pt>
                <c:pt idx="309">
                  <c:v>383.51025167637795</c:v>
                </c:pt>
                <c:pt idx="310">
                  <c:v>385.80755602808472</c:v>
                </c:pt>
                <c:pt idx="311">
                  <c:v>388.10970650158168</c:v>
                </c:pt>
                <c:pt idx="312">
                  <c:v>390.41668438542808</c:v>
                </c:pt>
                <c:pt idx="313">
                  <c:v>392.72847096704157</c:v>
                </c:pt>
                <c:pt idx="314">
                  <c:v>395.04504753291218</c:v>
                </c:pt>
                <c:pt idx="315">
                  <c:v>397.36639536881552</c:v>
                </c:pt>
                <c:pt idx="316">
                  <c:v>399.69249576002517</c:v>
                </c:pt>
                <c:pt idx="317">
                  <c:v>402.02332999152372</c:v>
                </c:pt>
                <c:pt idx="318">
                  <c:v>404.35887934821341</c:v>
                </c:pt>
                <c:pt idx="319">
                  <c:v>406.69912511512524</c:v>
                </c:pt>
                <c:pt idx="320">
                  <c:v>409.04404857762779</c:v>
                </c:pt>
                <c:pt idx="321">
                  <c:v>411.39363102163452</c:v>
                </c:pt>
                <c:pt idx="322">
                  <c:v>413.74785373381036</c:v>
                </c:pt>
                <c:pt idx="323">
                  <c:v>416.10669800177743</c:v>
                </c:pt>
                <c:pt idx="324">
                  <c:v>418.47014511431968</c:v>
                </c:pt>
                <c:pt idx="325">
                  <c:v>420.83817636158648</c:v>
                </c:pt>
                <c:pt idx="326">
                  <c:v>423.21077314732901</c:v>
                </c:pt>
                <c:pt idx="327">
                  <c:v>425.58791710111495</c:v>
                </c:pt>
                <c:pt idx="328">
                  <c:v>427.96958996636937</c:v>
                </c:pt>
                <c:pt idx="329">
                  <c:v>430.35577348843356</c:v>
                </c:pt>
                <c:pt idx="330">
                  <c:v>432.74644941475805</c:v>
                </c:pt>
                <c:pt idx="331">
                  <c:v>435.14159949509531</c:v>
                </c:pt>
                <c:pt idx="332">
                  <c:v>437.54120548169107</c:v>
                </c:pt>
                <c:pt idx="333">
                  <c:v>439.94524912947475</c:v>
                </c:pt>
                <c:pt idx="334">
                  <c:v>442.35371219624915</c:v>
                </c:pt>
                <c:pt idx="335">
                  <c:v>444.766576442879</c:v>
                </c:pt>
                <c:pt idx="336">
                  <c:v>447.18382363347854</c:v>
                </c:pt>
                <c:pt idx="337">
                  <c:v>449.60543553559825</c:v>
                </c:pt>
                <c:pt idx="338">
                  <c:v>452.03139392041049</c:v>
                </c:pt>
                <c:pt idx="339">
                  <c:v>454.46168056289434</c:v>
                </c:pt>
                <c:pt idx="340">
                  <c:v>456.89627724201915</c:v>
                </c:pt>
                <c:pt idx="341">
                  <c:v>459.33516574092761</c:v>
                </c:pt>
                <c:pt idx="342">
                  <c:v>461.77832784711728</c:v>
                </c:pt>
                <c:pt idx="343">
                  <c:v>464.22574535262163</c:v>
                </c:pt>
                <c:pt idx="344">
                  <c:v>466.67740005418972</c:v>
                </c:pt>
                <c:pt idx="345">
                  <c:v>469.13327375346523</c:v>
                </c:pt>
                <c:pt idx="346">
                  <c:v>471.59334825716422</c:v>
                </c:pt>
                <c:pt idx="347">
                  <c:v>474.057605377252</c:v>
                </c:pt>
                <c:pt idx="348">
                  <c:v>476.52602693111908</c:v>
                </c:pt>
                <c:pt idx="349">
                  <c:v>478.99859474175605</c:v>
                </c:pt>
                <c:pt idx="350">
                  <c:v>481.47529063792751</c:v>
                </c:pt>
                <c:pt idx="351">
                  <c:v>483.95609645434496</c:v>
                </c:pt>
                <c:pt idx="352">
                  <c:v>486.44099403183867</c:v>
                </c:pt>
                <c:pt idx="353">
                  <c:v>488.92996521752866</c:v>
                </c:pt>
                <c:pt idx="354">
                  <c:v>491.42299186499451</c:v>
                </c:pt>
                <c:pt idx="355">
                  <c:v>493.92005583444438</c:v>
                </c:pt>
                <c:pt idx="356">
                  <c:v>496.42113899288273</c:v>
                </c:pt>
                <c:pt idx="357">
                  <c:v>498.9262232142774</c:v>
                </c:pt>
                <c:pt idx="358">
                  <c:v>501.43529037972542</c:v>
                </c:pt>
                <c:pt idx="359">
                  <c:v>503.94832237761779</c:v>
                </c:pt>
                <c:pt idx="360">
                  <c:v>506.46530110380343</c:v>
                </c:pt>
                <c:pt idx="361">
                  <c:v>508.98620846175203</c:v>
                </c:pt>
                <c:pt idx="362">
                  <c:v>511.51102636271577</c:v>
                </c:pt>
                <c:pt idx="363">
                  <c:v>514.03973672589018</c:v>
                </c:pt>
                <c:pt idx="364">
                  <c:v>516.57232147857417</c:v>
                </c:pt>
                <c:pt idx="365">
                  <c:v>519.10876255632832</c:v>
                </c:pt>
                <c:pt idx="366">
                  <c:v>521.64904474905177</c:v>
                </c:pt>
                <c:pt idx="367">
                  <c:v>524.19315854590275</c:v>
                </c:pt>
                <c:pt idx="368">
                  <c:v>526.74109728523047</c:v>
                </c:pt>
                <c:pt idx="369">
                  <c:v>529.29285430561185</c:v>
                </c:pt>
                <c:pt idx="370">
                  <c:v>531.84842294590771</c:v>
                </c:pt>
                <c:pt idx="371">
                  <c:v>534.40779654531786</c:v>
                </c:pt>
                <c:pt idx="372">
                  <c:v>536.97096844343707</c:v>
                </c:pt>
                <c:pt idx="373">
                  <c:v>539.53793198030962</c:v>
                </c:pt>
                <c:pt idx="374">
                  <c:v>542.10868049648502</c:v>
                </c:pt>
                <c:pt idx="375">
                  <c:v>544.68320733307235</c:v>
                </c:pt>
                <c:pt idx="376">
                  <c:v>547.26150583179526</c:v>
                </c:pt>
                <c:pt idx="377">
                  <c:v>549.84356933504614</c:v>
                </c:pt>
                <c:pt idx="378">
                  <c:v>552.42939118594063</c:v>
                </c:pt>
                <c:pt idx="379">
                  <c:v>555.01896472837166</c:v>
                </c:pt>
                <c:pt idx="380">
                  <c:v>557.61228330706342</c:v>
                </c:pt>
                <c:pt idx="381">
                  <c:v>560.2093371937342</c:v>
                </c:pt>
                <c:pt idx="382">
                  <c:v>562.81011051464532</c:v>
                </c:pt>
                <c:pt idx="383">
                  <c:v>565.4145843294715</c:v>
                </c:pt>
                <c:pt idx="384">
                  <c:v>568.02273970883641</c:v>
                </c:pt>
                <c:pt idx="385">
                  <c:v>570.63455773446969</c:v>
                </c:pt>
                <c:pt idx="386">
                  <c:v>573.25001949936211</c:v>
                </c:pt>
                <c:pt idx="387">
                  <c:v>575.86910610791949</c:v>
                </c:pt>
                <c:pt idx="388">
                  <c:v>578.49179867611633</c:v>
                </c:pt>
                <c:pt idx="389">
                  <c:v>581.11807833164733</c:v>
                </c:pt>
                <c:pt idx="390">
                  <c:v>583.74792621407823</c:v>
                </c:pt>
                <c:pt idx="391">
                  <c:v>586.38132347499595</c:v>
                </c:pt>
                <c:pt idx="392">
                  <c:v>589.01825127815653</c:v>
                </c:pt>
                <c:pt idx="393">
                  <c:v>591.65869079963295</c:v>
                </c:pt>
                <c:pt idx="394">
                  <c:v>594.30262322796125</c:v>
                </c:pt>
                <c:pt idx="395">
                  <c:v>596.95002976428589</c:v>
                </c:pt>
                <c:pt idx="396">
                  <c:v>599.60089162250347</c:v>
                </c:pt>
                <c:pt idx="397">
                  <c:v>602.25519002940598</c:v>
                </c:pt>
                <c:pt idx="398">
                  <c:v>604.91290622482234</c:v>
                </c:pt>
                <c:pt idx="399">
                  <c:v>607.57402146175912</c:v>
                </c:pt>
                <c:pt idx="400">
                  <c:v>610.23851700654006</c:v>
                </c:pt>
                <c:pt idx="401">
                  <c:v>612.90637172400773</c:v>
                </c:pt>
                <c:pt idx="402">
                  <c:v>615.5775596640807</c:v>
                </c:pt>
                <c:pt idx="403">
                  <c:v>618.2520524811755</c:v>
                </c:pt>
                <c:pt idx="404">
                  <c:v>620.92982185232142</c:v>
                </c:pt>
                <c:pt idx="405">
                  <c:v>623.61083947739746</c:v>
                </c:pt>
                <c:pt idx="406">
                  <c:v>626.29507707936659</c:v>
                </c:pt>
                <c:pt idx="407">
                  <c:v>628.98250640450806</c:v>
                </c:pt>
                <c:pt idx="408">
                  <c:v>631.67309922264712</c:v>
                </c:pt>
                <c:pt idx="409">
                  <c:v>634.36682732738257</c:v>
                </c:pt>
                <c:pt idx="410">
                  <c:v>637.06366253631154</c:v>
                </c:pt>
                <c:pt idx="411">
                  <c:v>639.76356335697892</c:v>
                </c:pt>
                <c:pt idx="412">
                  <c:v>642.46646166144524</c:v>
                </c:pt>
                <c:pt idx="413">
                  <c:v>645.1722760468158</c:v>
                </c:pt>
                <c:pt idx="414">
                  <c:v>647.88092518766075</c:v>
                </c:pt>
                <c:pt idx="415">
                  <c:v>650.59232783725099</c:v>
                </c:pt>
                <c:pt idx="416">
                  <c:v>653.3064028287771</c:v>
                </c:pt>
                <c:pt idx="417">
                  <c:v>656.023069076551</c:v>
                </c:pt>
                <c:pt idx="418">
                  <c:v>658.74224557719106</c:v>
                </c:pt>
                <c:pt idx="419">
                  <c:v>661.4638514107902</c:v>
                </c:pt>
                <c:pt idx="420">
                  <c:v>664.18779816192296</c:v>
                </c:pt>
                <c:pt idx="421">
                  <c:v>666.91398234686756</c:v>
                </c:pt>
                <c:pt idx="422">
                  <c:v>669.64229301185446</c:v>
                </c:pt>
                <c:pt idx="423">
                  <c:v>672.37261932551746</c:v>
                </c:pt>
                <c:pt idx="424">
                  <c:v>675.10485058087602</c:v>
                </c:pt>
                <c:pt idx="425">
                  <c:v>677.83887619728694</c:v>
                </c:pt>
                <c:pt idx="426">
                  <c:v>680.57458572236442</c:v>
                </c:pt>
                <c:pt idx="427">
                  <c:v>683.31186883386931</c:v>
                </c:pt>
                <c:pt idx="428">
                  <c:v>686.05061534156766</c:v>
                </c:pt>
                <c:pt idx="429">
                  <c:v>688.79071518905801</c:v>
                </c:pt>
                <c:pt idx="430">
                  <c:v>691.53205845556806</c:v>
                </c:pt>
                <c:pt idx="431">
                  <c:v>694.27453535772065</c:v>
                </c:pt>
                <c:pt idx="432">
                  <c:v>697.01802404696218</c:v>
                </c:pt>
                <c:pt idx="433">
                  <c:v>699.7623784205523</c:v>
                </c:pt>
                <c:pt idx="434">
                  <c:v>702.50744036046444</c:v>
                </c:pt>
                <c:pt idx="435">
                  <c:v>705.25305195959697</c:v>
                </c:pt>
                <c:pt idx="436">
                  <c:v>707.99905552523455</c:v>
                </c:pt>
                <c:pt idx="437">
                  <c:v>710.74529358244638</c:v>
                </c:pt>
                <c:pt idx="438">
                  <c:v>713.49160887742107</c:v>
                </c:pt>
                <c:pt idx="439">
                  <c:v>716.23784438073869</c:v>
                </c:pt>
                <c:pt idx="440">
                  <c:v>718.98384329057956</c:v>
                </c:pt>
                <c:pt idx="441">
                  <c:v>721.72944903587063</c:v>
                </c:pt>
                <c:pt idx="442">
                  <c:v>724.47451268687644</c:v>
                </c:pt>
                <c:pt idx="443">
                  <c:v>727.21890035510876</c:v>
                </c:pt>
                <c:pt idx="444">
                  <c:v>729.96248576525772</c:v>
                </c:pt>
                <c:pt idx="445">
                  <c:v>732.70514283713146</c:v>
                </c:pt>
                <c:pt idx="446">
                  <c:v>735.4467456874072</c:v>
                </c:pt>
                <c:pt idx="447">
                  <c:v>738.18716863134216</c:v>
                </c:pt>
                <c:pt idx="448">
                  <c:v>740.92628618444496</c:v>
                </c:pt>
                <c:pt idx="449">
                  <c:v>743.66397306410681</c:v>
                </c:pt>
                <c:pt idx="450">
                  <c:v>746.40010419119403</c:v>
                </c:pt>
                <c:pt idx="451">
                  <c:v>749.13455469160044</c:v>
                </c:pt>
                <c:pt idx="452">
                  <c:v>751.86719989776157</c:v>
                </c:pt>
                <c:pt idx="453">
                  <c:v>754.59792595167778</c:v>
                </c:pt>
                <c:pt idx="454">
                  <c:v>757.32664039002009</c:v>
                </c:pt>
                <c:pt idx="455">
                  <c:v>760.05326150658777</c:v>
                </c:pt>
                <c:pt idx="456">
                  <c:v>762.77770773212467</c:v>
                </c:pt>
                <c:pt idx="457">
                  <c:v>765.49989763468864</c:v>
                </c:pt>
                <c:pt idx="458">
                  <c:v>768.21974992000605</c:v>
                </c:pt>
                <c:pt idx="459">
                  <c:v>770.93718343181092</c:v>
                </c:pt>
                <c:pt idx="460">
                  <c:v>773.65211715216822</c:v>
                </c:pt>
                <c:pt idx="461">
                  <c:v>776.36447973960242</c:v>
                </c:pt>
                <c:pt idx="462">
                  <c:v>779.07421905014326</c:v>
                </c:pt>
                <c:pt idx="463">
                  <c:v>781.78129256493651</c:v>
                </c:pt>
                <c:pt idx="464">
                  <c:v>784.48565783473327</c:v>
                </c:pt>
                <c:pt idx="465">
                  <c:v>787.18727247979427</c:v>
                </c:pt>
                <c:pt idx="466">
                  <c:v>789.88608617832358</c:v>
                </c:pt>
                <c:pt idx="467">
                  <c:v>792.58203266951068</c:v>
                </c:pt>
                <c:pt idx="468">
                  <c:v>795.2749485806055</c:v>
                </c:pt>
                <c:pt idx="469">
                  <c:v>797.96460158357081</c:v>
                </c:pt>
                <c:pt idx="470">
                  <c:v>800.65088891350365</c:v>
                </c:pt>
                <c:pt idx="471">
                  <c:v>803.33381716255894</c:v>
                </c:pt>
                <c:pt idx="472">
                  <c:v>806.01339289964346</c:v>
                </c:pt>
                <c:pt idx="473">
                  <c:v>808.68962267052541</c:v>
                </c:pt>
                <c:pt idx="474">
                  <c:v>811.3625129979431</c:v>
                </c:pt>
                <c:pt idx="475">
                  <c:v>814.0320703817132</c:v>
                </c:pt>
                <c:pt idx="476">
                  <c:v>816.69830129883837</c:v>
                </c:pt>
                <c:pt idx="477">
                  <c:v>819.36121220361417</c:v>
                </c:pt>
                <c:pt idx="478">
                  <c:v>822.02080952773531</c:v>
                </c:pt>
                <c:pt idx="479">
                  <c:v>824.67709968040117</c:v>
                </c:pt>
                <c:pt idx="480">
                  <c:v>827.33008904842109</c:v>
                </c:pt>
                <c:pt idx="481">
                  <c:v>829.97978399631859</c:v>
                </c:pt>
                <c:pt idx="482">
                  <c:v>832.62619086643519</c:v>
                </c:pt>
                <c:pt idx="483">
                  <c:v>835.26931597903388</c:v>
                </c:pt>
                <c:pt idx="484">
                  <c:v>837.90916563240137</c:v>
                </c:pt>
                <c:pt idx="485">
                  <c:v>840.54574610295015</c:v>
                </c:pt>
                <c:pt idx="486">
                  <c:v>843.17906364531996</c:v>
                </c:pt>
                <c:pt idx="487">
                  <c:v>845.80912449247853</c:v>
                </c:pt>
                <c:pt idx="488">
                  <c:v>848.43593485582187</c:v>
                </c:pt>
                <c:pt idx="489">
                  <c:v>851.05950092527371</c:v>
                </c:pt>
                <c:pt idx="490">
                  <c:v>853.67982886938466</c:v>
                </c:pt>
                <c:pt idx="491">
                  <c:v>856.29692483543079</c:v>
                </c:pt>
                <c:pt idx="492">
                  <c:v>858.91079494951111</c:v>
                </c:pt>
                <c:pt idx="493">
                  <c:v>861.52144531664555</c:v>
                </c:pt>
                <c:pt idx="494">
                  <c:v>864.12888202087106</c:v>
                </c:pt>
                <c:pt idx="495">
                  <c:v>866.73311112533816</c:v>
                </c:pt>
                <c:pt idx="496">
                  <c:v>869.33413867240654</c:v>
                </c:pt>
                <c:pt idx="497">
                  <c:v>871.93197068374013</c:v>
                </c:pt>
                <c:pt idx="498">
                  <c:v>874.52661316040155</c:v>
                </c:pt>
                <c:pt idx="499">
                  <c:v>877.11807208294613</c:v>
                </c:pt>
                <c:pt idx="500">
                  <c:v>879.70635341151558</c:v>
                </c:pt>
                <c:pt idx="501">
                  <c:v>905.41485913659324</c:v>
                </c:pt>
                <c:pt idx="502">
                  <c:v>930.80942794625344</c:v>
                </c:pt>
                <c:pt idx="503">
                  <c:v>955.89582565768217</c:v>
                </c:pt>
                <c:pt idx="504">
                  <c:v>980.67962600729425</c:v>
                </c:pt>
                <c:pt idx="505">
                  <c:v>1005.166219106284</c:v>
                </c:pt>
                <c:pt idx="506">
                  <c:v>1029.3608194301369</c:v>
                </c:pt>
                <c:pt idx="507">
                  <c:v>1053.2684733727758</c:v>
                </c:pt>
                <c:pt idx="508">
                  <c:v>1076.8940663936735</c:v>
                </c:pt>
                <c:pt idx="509">
                  <c:v>1100.2423297841258</c:v>
                </c:pt>
                <c:pt idx="510">
                  <c:v>1123.3178470769235</c:v>
                </c:pt>
                <c:pt idx="511">
                  <c:v>1146.1250601218715</c:v>
                </c:pt>
                <c:pt idx="512">
                  <c:v>1168.6682748479654</c:v>
                </c:pt>
                <c:pt idx="513">
                  <c:v>1190.9516667315308</c:v>
                </c:pt>
                <c:pt idx="514">
                  <c:v>1212.9792859882482</c:v>
                </c:pt>
                <c:pt idx="515">
                  <c:v>1234.7550625057245</c:v>
                </c:pt>
                <c:pt idx="516">
                  <c:v>1256.2828105320978</c:v>
                </c:pt>
                <c:pt idx="517">
                  <c:v>1277.5662331350941</c:v>
                </c:pt>
                <c:pt idx="518">
                  <c:v>1298.6089264449627</c:v>
                </c:pt>
                <c:pt idx="519">
                  <c:v>1319.4143836938065</c:v>
                </c:pt>
                <c:pt idx="520">
                  <c:v>1339.9859990629805</c:v>
                </c:pt>
                <c:pt idx="521">
                  <c:v>1360.3270713494551</c:v>
                </c:pt>
                <c:pt idx="522">
                  <c:v>1380.4408074613225</c:v>
                </c:pt>
                <c:pt idx="523">
                  <c:v>1400.3303257519585</c:v>
                </c:pt>
                <c:pt idx="524">
                  <c:v>1419.9986592017376</c:v>
                </c:pt>
                <c:pt idx="525">
                  <c:v>1439.4487584556293</c:v>
                </c:pt>
                <c:pt idx="526">
                  <c:v>1458.6834947244754</c:v>
                </c:pt>
                <c:pt idx="527">
                  <c:v>1477.7056625572534</c:v>
                </c:pt>
                <c:pt idx="528">
                  <c:v>1496.5179824911829</c:v>
                </c:pt>
                <c:pt idx="529">
                  <c:v>1515.1231035861019</c:v>
                </c:pt>
                <c:pt idx="530">
                  <c:v>1533.5236058491505</c:v>
                </c:pt>
                <c:pt idx="531">
                  <c:v>1551.7220025554323</c:v>
                </c:pt>
                <c:pt idx="532">
                  <c:v>1569.7207424699809</c:v>
                </c:pt>
                <c:pt idx="533">
                  <c:v>1587.5222119760467</c:v>
                </c:pt>
                <c:pt idx="534">
                  <c:v>1605.1287371144158</c:v>
                </c:pt>
                <c:pt idx="535">
                  <c:v>1622.5425855382023</c:v>
                </c:pt>
                <c:pt idx="536">
                  <c:v>1639.7659683872967</c:v>
                </c:pt>
                <c:pt idx="537">
                  <c:v>1656.8010420864096</c:v>
                </c:pt>
                <c:pt idx="538">
                  <c:v>1673.649910070427</c:v>
                </c:pt>
                <c:pt idx="539">
                  <c:v>1690.3146244405834</c:v>
                </c:pt>
                <c:pt idx="540">
                  <c:v>1706.7971875547607</c:v>
                </c:pt>
                <c:pt idx="541">
                  <c:v>1723.0995535550385</c:v>
                </c:pt>
                <c:pt idx="542">
                  <c:v>1739.2236298354453</c:v>
                </c:pt>
                <c:pt idx="543">
                  <c:v>1755.1712784527042</c:v>
                </c:pt>
                <c:pt idx="544">
                  <c:v>1770.9443174826076</c:v>
                </c:pt>
                <c:pt idx="545">
                  <c:v>1786.5445223245208</c:v>
                </c:pt>
                <c:pt idx="546">
                  <c:v>1801.9736269563734</c:v>
                </c:pt>
                <c:pt idx="547">
                  <c:v>1817.2333251423788</c:v>
                </c:pt>
                <c:pt idx="548">
                  <c:v>1832.3252715955996</c:v>
                </c:pt>
                <c:pt idx="549">
                  <c:v>1847.251083097367</c:v>
                </c:pt>
                <c:pt idx="550">
                  <c:v>1862.0123395754586</c:v>
                </c:pt>
                <c:pt idx="551">
                  <c:v>1876.6105851428426</c:v>
                </c:pt>
                <c:pt idx="552">
                  <c:v>1891.0473290986997</c:v>
                </c:pt>
                <c:pt idx="553">
                  <c:v>1905.3240468933507</c:v>
                </c:pt>
                <c:pt idx="554">
                  <c:v>1919.4421810586357</c:v>
                </c:pt>
                <c:pt idx="555">
                  <c:v>1933.4031421052114</c:v>
                </c:pt>
                <c:pt idx="556">
                  <c:v>1947.208309388162</c:v>
                </c:pt>
                <c:pt idx="557">
                  <c:v>1960.859031942249</c:v>
                </c:pt>
                <c:pt idx="558">
                  <c:v>1974.3566292880639</c:v>
                </c:pt>
                <c:pt idx="559">
                  <c:v>1987.7023922102801</c:v>
                </c:pt>
                <c:pt idx="560">
                  <c:v>2000.8975835091485</c:v>
                </c:pt>
                <c:pt idx="561">
                  <c:v>2013.9434387263243</c:v>
                </c:pt>
                <c:pt idx="562">
                  <c:v>2026.8411668460594</c:v>
                </c:pt>
                <c:pt idx="563">
                  <c:v>2039.5919509727485</c:v>
                </c:pt>
                <c:pt idx="564">
                  <c:v>2052.1969489857684</c:v>
                </c:pt>
                <c:pt idx="565">
                  <c:v>2064.6572941725067</c:v>
                </c:pt>
                <c:pt idx="566">
                  <c:v>2076.9740958404386</c:v>
                </c:pt>
                <c:pt idx="567">
                  <c:v>2089.1484399090614</c:v>
                </c:pt>
                <c:pt idx="568">
                  <c:v>2101.1813894824709</c:v>
                </c:pt>
                <c:pt idx="569">
                  <c:v>2113.0739854033186</c:v>
                </c:pt>
                <c:pt idx="570">
                  <c:v>2124.8272467888651</c:v>
                </c:pt>
                <c:pt idx="571">
                  <c:v>2136.4421715497988</c:v>
                </c:pt>
                <c:pt idx="572">
                  <c:v>2147.9197368924774</c:v>
                </c:pt>
                <c:pt idx="573">
                  <c:v>2159.2608998052028</c:v>
                </c:pt>
                <c:pt idx="574">
                  <c:v>2170.4665975291277</c:v>
                </c:pt>
                <c:pt idx="575">
                  <c:v>2181.5377480143552</c:v>
                </c:pt>
                <c:pt idx="576">
                  <c:v>2192.475250361776</c:v>
                </c:pt>
                <c:pt idx="577">
                  <c:v>2203.2799852511585</c:v>
                </c:pt>
                <c:pt idx="578">
                  <c:v>2213.9528153559904</c:v>
                </c:pt>
                <c:pt idx="579">
                  <c:v>2224.4945857455455</c:v>
                </c:pt>
                <c:pt idx="580">
                  <c:v>2234.9061242746275</c:v>
                </c:pt>
                <c:pt idx="581">
                  <c:v>2245.1882419614312</c:v>
                </c:pt>
                <c:pt idx="582">
                  <c:v>2255.3417333539351</c:v>
                </c:pt>
                <c:pt idx="583">
                  <c:v>2265.3673768852241</c:v>
                </c:pt>
                <c:pt idx="584">
                  <c:v>2275.2659352181313</c:v>
                </c:pt>
                <c:pt idx="585">
                  <c:v>2285.038155579558</c:v>
                </c:pt>
                <c:pt idx="586">
                  <c:v>2294.6847700848321</c:v>
                </c:pt>
                <c:pt idx="587">
                  <c:v>2304.2064960524385</c:v>
                </c:pt>
                <c:pt idx="588">
                  <c:v>2313.6040363094485</c:v>
                </c:pt>
                <c:pt idx="589">
                  <c:v>2322.8780794879558</c:v>
                </c:pt>
                <c:pt idx="590">
                  <c:v>2332.0293003128254</c:v>
                </c:pt>
                <c:pt idx="591">
                  <c:v>2341.0583598810326</c:v>
                </c:pt>
                <c:pt idx="592">
                  <c:v>2349.9659059328783</c:v>
                </c:pt>
                <c:pt idx="593">
                  <c:v>2358.7525731153364</c:v>
                </c:pt>
                <c:pt idx="594">
                  <c:v>2367.4189832377942</c:v>
                </c:pt>
                <c:pt idx="595">
                  <c:v>2375.9657455204278</c:v>
                </c:pt>
                <c:pt idx="596">
                  <c:v>2384.393456835448</c:v>
                </c:pt>
                <c:pt idx="597">
                  <c:v>2392.7027019414427</c:v>
                </c:pt>
                <c:pt idx="598">
                  <c:v>2400.8940537110357</c:v>
                </c:pt>
                <c:pt idx="599">
                  <c:v>2408.9680733520663</c:v>
                </c:pt>
                <c:pt idx="600">
                  <c:v>2416.9253106224974</c:v>
                </c:pt>
                <c:pt idx="601">
                  <c:v>2424.7663040392408</c:v>
                </c:pt>
                <c:pt idx="602">
                  <c:v>2432.4915810810885</c:v>
                </c:pt>
                <c:pt idx="603">
                  <c:v>2440.1016583859314</c:v>
                </c:pt>
                <c:pt idx="604">
                  <c:v>2447.5970419424352</c:v>
                </c:pt>
                <c:pt idx="605">
                  <c:v>2454.9782272763432</c:v>
                </c:pt>
                <c:pt idx="606">
                  <c:v>2462.2456996315645</c:v>
                </c:pt>
                <c:pt idx="607">
                  <c:v>2469.3999341462063</c:v>
                </c:pt>
                <c:pt idx="608">
                  <c:v>2476.4413960236948</c:v>
                </c:pt>
                <c:pt idx="609">
                  <c:v>2483.3705406991344</c:v>
                </c:pt>
                <c:pt idx="610">
                  <c:v>2490.1878140010399</c:v>
                </c:pt>
                <c:pt idx="611">
                  <c:v>2496.8936523085804</c:v>
                </c:pt>
                <c:pt idx="612">
                  <c:v>2503.4884827044611</c:v>
                </c:pt>
                <c:pt idx="613">
                  <c:v>2509.9727231235706</c:v>
                </c:pt>
                <c:pt idx="614">
                  <c:v>2516.3467824975155</c:v>
                </c:pt>
                <c:pt idx="615">
                  <c:v>2522.6110608951585</c:v>
                </c:pt>
                <c:pt idx="616">
                  <c:v>2528.765949659276</c:v>
                </c:pt>
                <c:pt idx="617">
                  <c:v>2534.8118315394418</c:v>
                </c:pt>
                <c:pt idx="618">
                  <c:v>2540.7490808212488</c:v>
                </c:pt>
                <c:pt idx="619">
                  <c:v>2546.5780634519679</c:v>
                </c:pt>
                <c:pt idx="620">
                  <c:v>2552.2991371627481</c:v>
                </c:pt>
                <c:pt idx="621">
                  <c:v>2557.9126515874564</c:v>
                </c:pt>
                <c:pt idx="622">
                  <c:v>2563.4189483782502</c:v>
                </c:pt>
                <c:pt idx="623">
                  <c:v>2568.818361317979</c:v>
                </c:pt>
                <c:pt idx="624">
                  <c:v>2574.1112164295046</c:v>
                </c:pt>
                <c:pt idx="625">
                  <c:v>2579.297832082033</c:v>
                </c:pt>
                <c:pt idx="626">
                  <c:v>2584.3785190945405</c:v>
                </c:pt>
                <c:pt idx="627">
                  <c:v>2589.3535808363858</c:v>
                </c:pt>
                <c:pt idx="628">
                  <c:v>2594.223313325193</c:v>
                </c:pt>
                <c:pt idx="629">
                  <c:v>2598.9880053220886</c:v>
                </c:pt>
                <c:pt idx="630">
                  <c:v>2603.6479384243803</c:v>
                </c:pt>
                <c:pt idx="631">
                  <c:v>2608.2033871557592</c:v>
                </c:pt>
                <c:pt idx="632">
                  <c:v>2612.6546190541144</c:v>
                </c:pt>
                <c:pt idx="633">
                  <c:v>2617.0018947570452</c:v>
                </c:pt>
                <c:pt idx="634">
                  <c:v>2621.2454680851556</c:v>
                </c:pt>
                <c:pt idx="635">
                  <c:v>2625.3855861232259</c:v>
                </c:pt>
                <c:pt idx="636">
                  <c:v>2629.4224892993516</c:v>
                </c:pt>
                <c:pt idx="637">
                  <c:v>2633.3564114621449</c:v>
                </c:pt>
                <c:pt idx="638">
                  <c:v>2637.1875799561021</c:v>
                </c:pt>
                <c:pt idx="639">
                  <c:v>2640.9162156952402</c:v>
                </c:pt>
                <c:pt idx="640">
                  <c:v>2644.5425332351178</c:v>
                </c:pt>
                <c:pt idx="641">
                  <c:v>2648.0667408433587</c:v>
                </c:pt>
                <c:pt idx="642">
                  <c:v>2651.4890405688125</c:v>
                </c:pt>
                <c:pt idx="643">
                  <c:v>2654.8096283094892</c:v>
                </c:pt>
                <c:pt idx="644">
                  <c:v>2658.028693879427</c:v>
                </c:pt>
                <c:pt idx="645">
                  <c:v>2661.1464210746649</c:v>
                </c:pt>
                <c:pt idx="646">
                  <c:v>2664.1629877385076</c:v>
                </c:pt>
                <c:pt idx="647">
                  <c:v>2667.0785658263017</c:v>
                </c:pt>
                <c:pt idx="648">
                  <c:v>2669.8933214699578</c:v>
                </c:pt>
                <c:pt idx="649">
                  <c:v>2672.607415042492</c:v>
                </c:pt>
                <c:pt idx="650">
                  <c:v>2675.2210012228948</c:v>
                </c:pt>
                <c:pt idx="651">
                  <c:v>2677.7342290616766</c:v>
                </c:pt>
                <c:pt idx="652">
                  <c:v>2680.1472420474902</c:v>
                </c:pt>
                <c:pt idx="653">
                  <c:v>2682.4601781752872</c:v>
                </c:pt>
                <c:pt idx="654">
                  <c:v>2684.6731700165351</c:v>
                </c:pt>
                <c:pt idx="655">
                  <c:v>2686.7863447920968</c:v>
                </c:pt>
                <c:pt idx="656">
                  <c:v>2688.7998244484629</c:v>
                </c:pt>
                <c:pt idx="657">
                  <c:v>2690.7137257381282</c:v>
                </c:pt>
                <c:pt idx="658">
                  <c:v>2692.528160305023</c:v>
                </c:pt>
                <c:pt idx="659">
                  <c:v>2694.2432347760264</c:v>
                </c:pt>
                <c:pt idx="660">
                  <c:v>2695.8590508597376</c:v>
                </c:pt>
                <c:pt idx="661">
                  <c:v>2697.3757054538255</c:v>
                </c:pt>
                <c:pt idx="662">
                  <c:v>2698.7932907624336</c:v>
                </c:pt>
                <c:pt idx="663">
                  <c:v>2700.1118944252758</c:v>
                </c:pt>
                <c:pt idx="664">
                  <c:v>2701.3315996602023</c:v>
                </c:pt>
                <c:pt idx="665">
                  <c:v>2702.4524854211468</c:v>
                </c:pt>
                <c:pt idx="666">
                  <c:v>2703.4746265734448</c:v>
                </c:pt>
                <c:pt idx="667">
                  <c:v>2704.3980940885499</c:v>
                </c:pt>
                <c:pt idx="668">
                  <c:v>2705.2229552601057</c:v>
                </c:pt>
                <c:pt idx="669">
                  <c:v>2705.9492739431603</c:v>
                </c:pt>
                <c:pt idx="670">
                  <c:v>2706.5771108179933</c:v>
                </c:pt>
                <c:pt idx="671">
                  <c:v>2707.1065236795362</c:v>
                </c:pt>
                <c:pt idx="672">
                  <c:v>2707.5375677527045</c:v>
                </c:pt>
                <c:pt idx="673">
                  <c:v>2707.8702960331229</c:v>
                </c:pt>
                <c:pt idx="674">
                  <c:v>2708.1047596517337</c:v>
                </c:pt>
                <c:pt idx="675">
                  <c:v>2708.2410082607034</c:v>
                </c:pt>
                <c:pt idx="676">
                  <c:v>2708.2790904369535</c:v>
                </c:pt>
                <c:pt idx="677">
                  <c:v>2708.2190540986394</c:v>
                </c:pt>
                <c:pt idx="678">
                  <c:v>2708.0609469291044</c:v>
                </c:pt>
                <c:pt idx="679">
                  <c:v>2707.8048168023124</c:v>
                </c:pt>
                <c:pt idx="680">
                  <c:v>2707.4507122036071</c:v>
                </c:pt>
                <c:pt idx="681">
                  <c:v>2706.9986826398558</c:v>
                </c:pt>
                <c:pt idx="682">
                  <c:v>2706.4487790335907</c:v>
                </c:pt>
                <c:pt idx="683">
                  <c:v>2705.8010540966015</c:v>
                </c:pt>
                <c:pt idx="684">
                  <c:v>2705.0555626794503</c:v>
                </c:pt>
                <c:pt idx="685">
                  <c:v>2704.2123620944744</c:v>
                </c:pt>
                <c:pt idx="686">
                  <c:v>2703.2715124109191</c:v>
                </c:pt>
                <c:pt idx="687">
                  <c:v>2702.2330767218123</c:v>
                </c:pt>
                <c:pt idx="688">
                  <c:v>2701.0971213830121</c:v>
                </c:pt>
                <c:pt idx="689">
                  <c:v>2699.8637162255009</c:v>
                </c:pt>
                <c:pt idx="690">
                  <c:v>2698.5329347424563</c:v>
                </c:pt>
                <c:pt idx="691">
                  <c:v>2697.1048542529343</c:v>
                </c:pt>
                <c:pt idx="692">
                  <c:v>2695.5795560441456</c:v>
                </c:pt>
                <c:pt idx="693">
                  <c:v>2693.9571254943558</c:v>
                </c:pt>
                <c:pt idx="694">
                  <c:v>2692.2376521783995</c:v>
                </c:pt>
                <c:pt idx="695">
                  <c:v>2690.4212299577016</c:v>
                </c:pt>
                <c:pt idx="696">
                  <c:v>2688.5079570565654</c:v>
                </c:pt>
                <c:pt idx="697">
                  <c:v>2686.4979361263345</c:v>
                </c:pt>
                <c:pt idx="698">
                  <c:v>2684.391274298875</c:v>
                </c:pt>
                <c:pt idx="699">
                  <c:v>2682.1880832306701</c:v>
                </c:pt>
                <c:pt idx="700">
                  <c:v>2679.8884791386618</c:v>
                </c:pt>
                <c:pt idx="701">
                  <c:v>2677.4925828288442</c:v>
                </c:pt>
                <c:pt idx="702">
                  <c:v>2675.0005197184769</c:v>
                </c:pt>
                <c:pt idx="703">
                  <c:v>2672.412419852677</c:v>
                </c:pt>
                <c:pt idx="704">
                  <c:v>2669.7284179160515</c:v>
                </c:pt>
                <c:pt idx="705">
                  <c:v>2666.9486532399355</c:v>
                </c:pt>
                <c:pt idx="706">
                  <c:v>2664.07326980573</c:v>
                </c:pt>
                <c:pt idx="707">
                  <c:v>2661.1024162447629</c:v>
                </c:pt>
                <c:pt idx="708">
                  <c:v>2658.0362458350464</c:v>
                </c:pt>
                <c:pt idx="709">
                  <c:v>2654.8749164952396</c:v>
                </c:pt>
                <c:pt idx="710">
                  <c:v>2651.6185907760992</c:v>
                </c:pt>
                <c:pt idx="711">
                  <c:v>2648.267435849652</c:v>
                </c:pt>
                <c:pt idx="712">
                  <c:v>2644.8216234962974</c:v>
                </c:pt>
                <c:pt idx="713">
                  <c:v>2641.2813300900175</c:v>
                </c:pt>
                <c:pt idx="714">
                  <c:v>2637.6467365818548</c:v>
                </c:pt>
                <c:pt idx="715">
                  <c:v>2633.9180284817908</c:v>
                </c:pt>
                <c:pt idx="716">
                  <c:v>2630.0953958391447</c:v>
                </c:pt>
                <c:pt idx="717">
                  <c:v>2626.1790332216019</c:v>
                </c:pt>
                <c:pt idx="718">
                  <c:v>2622.1691396929573</c:v>
                </c:pt>
                <c:pt idx="719">
                  <c:v>2618.0659187896608</c:v>
                </c:pt>
                <c:pt idx="720">
                  <c:v>2613.8695784962365</c:v>
                </c:pt>
                <c:pt idx="721">
                  <c:v>2609.5803312196344</c:v>
                </c:pt>
                <c:pt idx="722">
                  <c:v>2605.1983937625814</c:v>
                </c:pt>
                <c:pt idx="723">
                  <c:v>2600.723987295974</c:v>
                </c:pt>
                <c:pt idx="724">
                  <c:v>2596.1573373303631</c:v>
                </c:pt>
                <c:pt idx="725">
                  <c:v>2591.4986736865758</c:v>
                </c:pt>
                <c:pt idx="726">
                  <c:v>2586.7482304655032</c:v>
                </c:pt>
                <c:pt idx="727">
                  <c:v>2581.9062460170994</c:v>
                </c:pt>
                <c:pt idx="728">
                  <c:v>2576.972962908615</c:v>
                </c:pt>
                <c:pt idx="729">
                  <c:v>2571.9486278920999</c:v>
                </c:pt>
                <c:pt idx="730">
                  <c:v>2566.833491871198</c:v>
                </c:pt>
                <c:pt idx="731">
                  <c:v>2561.6278098672637</c:v>
                </c:pt>
                <c:pt idx="732">
                  <c:v>2556.331840984818</c:v>
                </c:pt>
                <c:pt idx="733">
                  <c:v>2550.9458483763706</c:v>
                </c:pt>
                <c:pt idx="734">
                  <c:v>2545.4700992066287</c:v>
                </c:pt>
                <c:pt idx="735">
                  <c:v>2539.9048646161064</c:v>
                </c:pt>
                <c:pt idx="736">
                  <c:v>2534.2504196841624</c:v>
                </c:pt>
                <c:pt idx="737">
                  <c:v>2528.5070433914748</c:v>
                </c:pt>
                <c:pt idx="738">
                  <c:v>2522.6750185819765</c:v>
                </c:pt>
                <c:pt idx="739">
                  <c:v>2516.7546319242633</c:v>
                </c:pt>
                <c:pt idx="740">
                  <c:v>2510.7461738724937</c:v>
                </c:pt>
                <c:pt idx="741">
                  <c:v>2504.6499386267942</c:v>
                </c:pt>
                <c:pt idx="742">
                  <c:v>2498.4662240931825</c:v>
                </c:pt>
                <c:pt idx="743">
                  <c:v>2492.1953318430292</c:v>
                </c:pt>
                <c:pt idx="744">
                  <c:v>2485.8375670720648</c:v>
                </c:pt>
                <c:pt idx="745">
                  <c:v>2479.3932385589519</c:v>
                </c:pt>
                <c:pt idx="746">
                  <c:v>2472.8626586234318</c:v>
                </c:pt>
                <c:pt idx="747">
                  <c:v>2466.2461430840617</c:v>
                </c:pt>
                <c:pt idx="748">
                  <c:v>2459.5440112155547</c:v>
                </c:pt>
                <c:pt idx="749">
                  <c:v>2452.7565857057325</c:v>
                </c:pt>
                <c:pt idx="750">
                  <c:v>2445.8841926121099</c:v>
                </c:pt>
                <c:pt idx="751">
                  <c:v>2438.9271613181177</c:v>
                </c:pt>
                <c:pt idx="752">
                  <c:v>2431.8858244889793</c:v>
                </c:pt>
                <c:pt idx="753">
                  <c:v>2424.7605180272526</c:v>
                </c:pt>
                <c:pt idx="754">
                  <c:v>2417.5515810280494</c:v>
                </c:pt>
                <c:pt idx="755">
                  <c:v>2410.259355733946</c:v>
                </c:pt>
                <c:pt idx="756">
                  <c:v>2402.8841874895938</c:v>
                </c:pt>
                <c:pt idx="757">
                  <c:v>2395.4264246960447</c:v>
                </c:pt>
                <c:pt idx="758">
                  <c:v>2387.8864187648028</c:v>
                </c:pt>
                <c:pt idx="759">
                  <c:v>2380.264524071612</c:v>
                </c:pt>
                <c:pt idx="760">
                  <c:v>2372.5610979099938</c:v>
                </c:pt>
                <c:pt idx="761">
                  <c:v>2364.7765004445473</c:v>
                </c:pt>
                <c:pt idx="762">
                  <c:v>2356.9110946640199</c:v>
                </c:pt>
                <c:pt idx="763">
                  <c:v>2348.9652463341627</c:v>
                </c:pt>
                <c:pt idx="764">
                  <c:v>2340.9393239503829</c:v>
                </c:pt>
                <c:pt idx="765">
                  <c:v>2332.8336986902027</c:v>
                </c:pt>
                <c:pt idx="766">
                  <c:v>2324.648744365536</c:v>
                </c:pt>
                <c:pt idx="767">
                  <c:v>2316.3848373747965</c:v>
                </c:pt>
                <c:pt idx="768">
                  <c:v>2308.0423566548466</c:v>
                </c:pt>
                <c:pt idx="769">
                  <c:v>2299.6216836327994</c:v>
                </c:pt>
                <c:pt idx="770">
                  <c:v>2291.123202177685</c:v>
                </c:pt>
                <c:pt idx="771">
                  <c:v>2282.54729855199</c:v>
                </c:pt>
                <c:pt idx="772">
                  <c:v>2273.8943613630854</c:v>
                </c:pt>
                <c:pt idx="773">
                  <c:v>2265.1647815145516</c:v>
                </c:pt>
                <c:pt idx="774">
                  <c:v>2256.3589521574099</c:v>
                </c:pt>
                <c:pt idx="775">
                  <c:v>2247.4772686412762</c:v>
                </c:pt>
                <c:pt idx="776">
                  <c:v>2238.5201284654418</c:v>
                </c:pt>
                <c:pt idx="777">
                  <c:v>2229.4879312298967</c:v>
                </c:pt>
                <c:pt idx="778">
                  <c:v>2220.381078586307</c:v>
                </c:pt>
                <c:pt idx="779">
                  <c:v>2211.1999741889495</c:v>
                </c:pt>
                <c:pt idx="780">
                  <c:v>2201.9450236456246</c:v>
                </c:pt>
                <c:pt idx="781">
                  <c:v>2192.6166344685498</c:v>
                </c:pt>
                <c:pt idx="782">
                  <c:v>2183.2152160252499</c:v>
                </c:pt>
                <c:pt idx="783">
                  <c:v>2173.7411794894492</c:v>
                </c:pt>
                <c:pt idx="784">
                  <c:v>2164.19493779198</c:v>
                </c:pt>
                <c:pt idx="785">
                  <c:v>2154.5769055717174</c:v>
                </c:pt>
                <c:pt idx="786">
                  <c:v>2144.8874991265475</c:v>
                </c:pt>
                <c:pt idx="787">
                  <c:v>2135.1271363643832</c:v>
                </c:pt>
                <c:pt idx="788">
                  <c:v>2125.2962367542341</c:v>
                </c:pt>
                <c:pt idx="789">
                  <c:v>2115.395221277342</c:v>
                </c:pt>
                <c:pt idx="790">
                  <c:v>2105.4245123783944</c:v>
                </c:pt>
                <c:pt idx="791">
                  <c:v>2095.3845339168183</c:v>
                </c:pt>
                <c:pt idx="792">
                  <c:v>2085.2757111181736</c:v>
                </c:pt>
                <c:pt idx="793">
                  <c:v>2075.0984705256483</c:v>
                </c:pt>
                <c:pt idx="794">
                  <c:v>2064.8532399516675</c:v>
                </c:pt>
                <c:pt idx="795">
                  <c:v>2054.5404484296268</c:v>
                </c:pt>
                <c:pt idx="796">
                  <c:v>2044.1605261657567</c:v>
                </c:pt>
                <c:pt idx="797">
                  <c:v>2033.7139044911301</c:v>
                </c:pt>
                <c:pt idx="798">
                  <c:v>2023.2010158138191</c:v>
                </c:pt>
                <c:pt idx="799">
                  <c:v>2012.6222935712124</c:v>
                </c:pt>
                <c:pt idx="800">
                  <c:v>2001.9781721824997</c:v>
                </c:pt>
                <c:pt idx="801">
                  <c:v>1991.269087001335</c:v>
                </c:pt>
                <c:pt idx="802">
                  <c:v>1980.4954742686837</c:v>
                </c:pt>
                <c:pt idx="803">
                  <c:v>1969.6577710658651</c:v>
                </c:pt>
                <c:pt idx="804">
                  <c:v>1958.7564152677969</c:v>
                </c:pt>
                <c:pt idx="805">
                  <c:v>1947.7918454964502</c:v>
                </c:pt>
                <c:pt idx="806">
                  <c:v>1936.7645010745239</c:v>
                </c:pt>
                <c:pt idx="807">
                  <c:v>1925.6748219793449</c:v>
                </c:pt>
                <c:pt idx="808">
                  <c:v>1914.523248797004</c:v>
                </c:pt>
                <c:pt idx="809">
                  <c:v>1903.3102226767335</c:v>
                </c:pt>
                <c:pt idx="810">
                  <c:v>1892.0361852855342</c:v>
                </c:pt>
                <c:pt idx="811">
                  <c:v>1880.7015787630612</c:v>
                </c:pt>
                <c:pt idx="812">
                  <c:v>1869.3068456767733</c:v>
                </c:pt>
                <c:pt idx="813">
                  <c:v>1857.8524289773545</c:v>
                </c:pt>
                <c:pt idx="814">
                  <c:v>1846.3387719544146</c:v>
                </c:pt>
                <c:pt idx="815">
                  <c:v>1834.7663181924754</c:v>
                </c:pt>
                <c:pt idx="816">
                  <c:v>1823.1355115272502</c:v>
                </c:pt>
                <c:pt idx="817">
                  <c:v>1811.4467960022214</c:v>
                </c:pt>
                <c:pt idx="818">
                  <c:v>1799.7006158255251</c:v>
                </c:pt>
                <c:pt idx="819">
                  <c:v>1787.8974153271472</c:v>
                </c:pt>
                <c:pt idx="820">
                  <c:v>1776.0376389164378</c:v>
                </c:pt>
                <c:pt idx="821">
                  <c:v>1764.1217310399502</c:v>
                </c:pt>
                <c:pt idx="822">
                  <c:v>1752.1501361396101</c:v>
                </c:pt>
                <c:pt idx="823">
                  <c:v>1740.1232986112213</c:v>
                </c:pt>
                <c:pt idx="824">
                  <c:v>1728.0416627633128</c:v>
                </c:pt>
                <c:pt idx="825">
                  <c:v>1715.9056727763332</c:v>
                </c:pt>
                <c:pt idx="826">
                  <c:v>1703.7157726621972</c:v>
                </c:pt>
                <c:pt idx="827">
                  <c:v>1691.4724062241917</c:v>
                </c:pt>
                <c:pt idx="828">
                  <c:v>1679.1760170172424</c:v>
                </c:pt>
                <c:pt idx="829">
                  <c:v>1666.8270483085498</c:v>
                </c:pt>
                <c:pt idx="830">
                  <c:v>1654.4259430385973</c:v>
                </c:pt>
                <c:pt idx="831">
                  <c:v>1641.9731437825355</c:v>
                </c:pt>
                <c:pt idx="832">
                  <c:v>1629.4690927119502</c:v>
                </c:pt>
                <c:pt idx="833">
                  <c:v>1616.9142315570139</c:v>
                </c:pt>
                <c:pt idx="834">
                  <c:v>1604.3090015690286</c:v>
                </c:pt>
                <c:pt idx="835">
                  <c:v>1591.6538434833635</c:v>
                </c:pt>
                <c:pt idx="836">
                  <c:v>1578.9491974827886</c:v>
                </c:pt>
                <c:pt idx="837">
                  <c:v>1566.1955031612115</c:v>
                </c:pt>
                <c:pt idx="838">
                  <c:v>1553.3931994878194</c:v>
                </c:pt>
                <c:pt idx="839">
                  <c:v>1540.5427247716289</c:v>
                </c:pt>
                <c:pt idx="840">
                  <c:v>1527.6445166264484</c:v>
                </c:pt>
                <c:pt idx="841">
                  <c:v>1514.6990119362558</c:v>
                </c:pt>
                <c:pt idx="842">
                  <c:v>1501.7066468209935</c:v>
                </c:pt>
                <c:pt idx="843">
                  <c:v>1488.6678566027852</c:v>
                </c:pt>
                <c:pt idx="844">
                  <c:v>1475.5830757725755</c:v>
                </c:pt>
                <c:pt idx="845">
                  <c:v>1462.4527379571969</c:v>
                </c:pt>
                <c:pt idx="846">
                  <c:v>1449.2772758868634</c:v>
                </c:pt>
                <c:pt idx="847">
                  <c:v>1436.0571213630976</c:v>
                </c:pt>
                <c:pt idx="848">
                  <c:v>1422.7927052270882</c:v>
                </c:pt>
                <c:pt idx="849">
                  <c:v>1409.4844573284843</c:v>
                </c:pt>
                <c:pt idx="850">
                  <c:v>1396.1328064946258</c:v>
                </c:pt>
                <c:pt idx="851">
                  <c:v>1382.7381805002126</c:v>
                </c:pt>
                <c:pt idx="852">
                  <c:v>1369.3010060374133</c:v>
                </c:pt>
                <c:pt idx="853">
                  <c:v>1355.8217086864167</c:v>
                </c:pt>
                <c:pt idx="854">
                  <c:v>1342.3007128864249</c:v>
                </c:pt>
                <c:pt idx="855">
                  <c:v>1328.7384419070909</c:v>
                </c:pt>
                <c:pt idx="856">
                  <c:v>1315.1353178204015</c:v>
                </c:pt>
                <c:pt idx="857">
                  <c:v>1301.4917614730061</c:v>
                </c:pt>
                <c:pt idx="858">
                  <c:v>1287.8081924589917</c:v>
                </c:pt>
                <c:pt idx="859">
                  <c:v>1274.085029093106</c:v>
                </c:pt>
                <c:pt idx="860">
                  <c:v>1260.3226883844277</c:v>
                </c:pt>
                <c:pt idx="861">
                  <c:v>1246.5215860104861</c:v>
                </c:pt>
                <c:pt idx="862">
                  <c:v>1232.6821362918274</c:v>
                </c:pt>
                <c:pt idx="863">
                  <c:v>1218.8047521670321</c:v>
                </c:pt>
                <c:pt idx="864">
                  <c:v>1204.8898451681791</c:v>
                </c:pt>
                <c:pt idx="865">
                  <c:v>1190.9378253967591</c:v>
                </c:pt>
                <c:pt idx="866">
                  <c:v>1176.9491015000365</c:v>
                </c:pt>
                <c:pt idx="867">
                  <c:v>1162.9240806478595</c:v>
                </c:pt>
                <c:pt idx="868">
                  <c:v>1148.8631685099169</c:v>
                </c:pt>
                <c:pt idx="869">
                  <c:v>1134.766769233443</c:v>
                </c:pt>
                <c:pt idx="870">
                  <c:v>1120.6352854213678</c:v>
                </c:pt>
                <c:pt idx="871">
                  <c:v>1106.469118110914</c:v>
                </c:pt>
                <c:pt idx="872">
                  <c:v>1092.2686667526366</c:v>
                </c:pt>
                <c:pt idx="873">
                  <c:v>1078.0343291899087</c:v>
                </c:pt>
                <c:pt idx="874">
                  <c:v>1063.7665016388476</c:v>
                </c:pt>
                <c:pt idx="875">
                  <c:v>1049.4655786686831</c:v>
                </c:pt>
                <c:pt idx="876">
                  <c:v>1035.1319531825661</c:v>
                </c:pt>
                <c:pt idx="877">
                  <c:v>1020.7660163988155</c:v>
                </c:pt>
                <c:pt idx="878">
                  <c:v>1006.3681578326011</c:v>
                </c:pt>
                <c:pt idx="879">
                  <c:v>991.9387652780639</c:v>
                </c:pt>
                <c:pt idx="880">
                  <c:v>977.47822479086813</c:v>
                </c:pt>
                <c:pt idx="881">
                  <c:v>962.98692067118679</c:v>
                </c:pt>
                <c:pt idx="882">
                  <c:v>948.46523544711613</c:v>
                </c:pt>
                <c:pt idx="883">
                  <c:v>933.91354985851888</c:v>
                </c:pt>
                <c:pt idx="884">
                  <c:v>919.3322428412929</c:v>
                </c:pt>
                <c:pt idx="885">
                  <c:v>904.72169151206401</c:v>
                </c:pt>
                <c:pt idx="886">
                  <c:v>890.08227115330044</c:v>
                </c:pt>
                <c:pt idx="887">
                  <c:v>875.41435519884647</c:v>
                </c:pt>
                <c:pt idx="888">
                  <c:v>860.71831521987292</c:v>
                </c:pt>
                <c:pt idx="889">
                  <c:v>845.99452091124215</c:v>
                </c:pt>
                <c:pt idx="890">
                  <c:v>831.24334007828497</c:v>
                </c:pt>
                <c:pt idx="891">
                  <c:v>816.46513862398695</c:v>
                </c:pt>
                <c:pt idx="892">
                  <c:v>801.6602805365809</c:v>
                </c:pt>
                <c:pt idx="893">
                  <c:v>786.82912787754367</c:v>
                </c:pt>
                <c:pt idx="894">
                  <c:v>771.97204076999367</c:v>
                </c:pt>
                <c:pt idx="895">
                  <c:v>757.08937738748682</c:v>
                </c:pt>
                <c:pt idx="896">
                  <c:v>742.18149394320722</c:v>
                </c:pt>
                <c:pt idx="897">
                  <c:v>727.24874467955033</c:v>
                </c:pt>
                <c:pt idx="898">
                  <c:v>712.29148185809527</c:v>
                </c:pt>
                <c:pt idx="899">
                  <c:v>697.31005574996288</c:v>
                </c:pt>
                <c:pt idx="900">
                  <c:v>682.30481462655666</c:v>
                </c:pt>
                <c:pt idx="901">
                  <c:v>667.27610475068332</c:v>
                </c:pt>
                <c:pt idx="902">
                  <c:v>652.22427036804947</c:v>
                </c:pt>
                <c:pt idx="903">
                  <c:v>637.1496536991317</c:v>
                </c:pt>
                <c:pt idx="904">
                  <c:v>622.05259493141534</c:v>
                </c:pt>
                <c:pt idx="905">
                  <c:v>606.93343221199996</c:v>
                </c:pt>
                <c:pt idx="906">
                  <c:v>591.79250164056759</c:v>
                </c:pt>
                <c:pt idx="907">
                  <c:v>576.63013726270958</c:v>
                </c:pt>
                <c:pt idx="908">
                  <c:v>561.44667106360953</c:v>
                </c:pt>
                <c:pt idx="909">
                  <c:v>546.24243296207783</c:v>
                </c:pt>
                <c:pt idx="910">
                  <c:v>531.01775080493462</c:v>
                </c:pt>
                <c:pt idx="911">
                  <c:v>515.77295036173746</c:v>
                </c:pt>
                <c:pt idx="912">
                  <c:v>500.50835531985018</c:v>
                </c:pt>
                <c:pt idx="913">
                  <c:v>485.22428727984862</c:v>
                </c:pt>
                <c:pt idx="914">
                  <c:v>469.92106575126002</c:v>
                </c:pt>
                <c:pt idx="915">
                  <c:v>454.59900814863209</c:v>
                </c:pt>
                <c:pt idx="916">
                  <c:v>439.25842978792804</c:v>
                </c:pt>
                <c:pt idx="917">
                  <c:v>423.89964388324353</c:v>
                </c:pt>
                <c:pt idx="918">
                  <c:v>408.52296154384186</c:v>
                </c:pt>
                <c:pt idx="919">
                  <c:v>393.1286917715035</c:v>
                </c:pt>
                <c:pt idx="920">
                  <c:v>377.71714145818578</c:v>
                </c:pt>
                <c:pt idx="921">
                  <c:v>362.28861538398957</c:v>
                </c:pt>
                <c:pt idx="922">
                  <c:v>346.84341621542785</c:v>
                </c:pt>
                <c:pt idx="923">
                  <c:v>331.38184450399336</c:v>
                </c:pt>
                <c:pt idx="924">
                  <c:v>315.90419868502067</c:v>
                </c:pt>
                <c:pt idx="925">
                  <c:v>300.410775076839</c:v>
                </c:pt>
                <c:pt idx="926">
                  <c:v>284.90186788021157</c:v>
                </c:pt>
                <c:pt idx="927">
                  <c:v>269.37776917805775</c:v>
                </c:pt>
                <c:pt idx="928">
                  <c:v>253.83876893545366</c:v>
                </c:pt>
                <c:pt idx="929">
                  <c:v>238.28515499990777</c:v>
                </c:pt>
                <c:pt idx="930">
                  <c:v>222.71721310190696</c:v>
                </c:pt>
                <c:pt idx="931">
                  <c:v>207.13522685572906</c:v>
                </c:pt>
                <c:pt idx="932">
                  <c:v>191.53947776051825</c:v>
                </c:pt>
                <c:pt idx="933">
                  <c:v>175.93024520161896</c:v>
                </c:pt>
                <c:pt idx="934">
                  <c:v>160.30780645216433</c:v>
                </c:pt>
                <c:pt idx="935">
                  <c:v>144.67243667491525</c:v>
                </c:pt>
                <c:pt idx="936">
                  <c:v>129.02440892434592</c:v>
                </c:pt>
                <c:pt idx="937">
                  <c:v>113.36399414897203</c:v>
                </c:pt>
                <c:pt idx="938">
                  <c:v>97.691461193917377</c:v>
                </c:pt>
                <c:pt idx="939">
                  <c:v>82.007076803715151</c:v>
                </c:pt>
                <c:pt idx="940">
                  <c:v>66.311105625339664</c:v>
                </c:pt>
                <c:pt idx="941">
                  <c:v>50.603810211464726</c:v>
                </c:pt>
                <c:pt idx="942">
                  <c:v>34.885451023944647</c:v>
                </c:pt>
                <c:pt idx="943">
                  <c:v>19.15628643751387</c:v>
                </c:pt>
                <c:pt idx="944">
                  <c:v>3.4165727437013285</c:v>
                </c:pt>
                <c:pt idx="945">
                  <c:v>-12.33343584504439</c:v>
                </c:pt>
                <c:pt idx="946">
                  <c:v>-12.349190942745714</c:v>
                </c:pt>
                <c:pt idx="947">
                  <c:v>-12.364946050364122</c:v>
                </c:pt>
                <c:pt idx="948">
                  <c:v>-12.380701167899362</c:v>
                </c:pt>
                <c:pt idx="949">
                  <c:v>-12.396456295351188</c:v>
                </c:pt>
                <c:pt idx="950">
                  <c:v>-12.412211432719349</c:v>
                </c:pt>
                <c:pt idx="951">
                  <c:v>-12.427966580003599</c:v>
                </c:pt>
                <c:pt idx="952">
                  <c:v>-12.443721737203687</c:v>
                </c:pt>
                <c:pt idx="953">
                  <c:v>-12.459476904319365</c:v>
                </c:pt>
                <c:pt idx="954">
                  <c:v>-12.475232081350384</c:v>
                </c:pt>
                <c:pt idx="955">
                  <c:v>-12.490987268296497</c:v>
                </c:pt>
                <c:pt idx="956">
                  <c:v>-12.506742465157453</c:v>
                </c:pt>
                <c:pt idx="957">
                  <c:v>-12.522497671933005</c:v>
                </c:pt>
                <c:pt idx="958">
                  <c:v>-12.538252888622903</c:v>
                </c:pt>
                <c:pt idx="959">
                  <c:v>-12.5540081152269</c:v>
                </c:pt>
                <c:pt idx="960">
                  <c:v>-12.569763351744745</c:v>
                </c:pt>
                <c:pt idx="961">
                  <c:v>-12.585518598176193</c:v>
                </c:pt>
                <c:pt idx="962">
                  <c:v>-12.601273854520993</c:v>
                </c:pt>
                <c:pt idx="963">
                  <c:v>-12.617029120778897</c:v>
                </c:pt>
                <c:pt idx="964">
                  <c:v>-12.632784396949656</c:v>
                </c:pt>
                <c:pt idx="965">
                  <c:v>-12.648539683033022</c:v>
                </c:pt>
                <c:pt idx="966">
                  <c:v>-12.664294979028744</c:v>
                </c:pt>
                <c:pt idx="967">
                  <c:v>-12.680050284936577</c:v>
                </c:pt>
                <c:pt idx="968">
                  <c:v>-12.69580560075627</c:v>
                </c:pt>
                <c:pt idx="969">
                  <c:v>-12.711560926487575</c:v>
                </c:pt>
                <c:pt idx="970">
                  <c:v>-12.727316262130243</c:v>
                </c:pt>
                <c:pt idx="971">
                  <c:v>-12.743071607684026</c:v>
                </c:pt>
                <c:pt idx="972">
                  <c:v>-12.758826963148675</c:v>
                </c:pt>
                <c:pt idx="973">
                  <c:v>-12.774582328523941</c:v>
                </c:pt>
                <c:pt idx="974">
                  <c:v>-12.790337703809577</c:v>
                </c:pt>
                <c:pt idx="975">
                  <c:v>-12.806093089005332</c:v>
                </c:pt>
                <c:pt idx="976">
                  <c:v>-12.821848484110959</c:v>
                </c:pt>
                <c:pt idx="977">
                  <c:v>-12.837603889126209</c:v>
                </c:pt>
                <c:pt idx="978">
                  <c:v>-12.853359304050834</c:v>
                </c:pt>
                <c:pt idx="979">
                  <c:v>-12.869114728884584</c:v>
                </c:pt>
                <c:pt idx="980">
                  <c:v>-12.884870163627212</c:v>
                </c:pt>
                <c:pt idx="981">
                  <c:v>-12.900625608278469</c:v>
                </c:pt>
                <c:pt idx="982">
                  <c:v>-12.916381062838106</c:v>
                </c:pt>
                <c:pt idx="983">
                  <c:v>-12.932136527305873</c:v>
                </c:pt>
                <c:pt idx="984">
                  <c:v>-12.947892001681524</c:v>
                </c:pt>
                <c:pt idx="985">
                  <c:v>-12.963647485964808</c:v>
                </c:pt>
                <c:pt idx="986">
                  <c:v>-12.979402980155479</c:v>
                </c:pt>
                <c:pt idx="987">
                  <c:v>-12.995158484253286</c:v>
                </c:pt>
                <c:pt idx="988">
                  <c:v>-13.010913998257982</c:v>
                </c:pt>
                <c:pt idx="989">
                  <c:v>-13.026669522169318</c:v>
                </c:pt>
                <c:pt idx="990">
                  <c:v>-13.042425055987044</c:v>
                </c:pt>
                <c:pt idx="991">
                  <c:v>-13.058180599710914</c:v>
                </c:pt>
                <c:pt idx="992">
                  <c:v>-13.073936153340679</c:v>
                </c:pt>
                <c:pt idx="993">
                  <c:v>-13.089691716876088</c:v>
                </c:pt>
                <c:pt idx="994">
                  <c:v>-13.105447290316894</c:v>
                </c:pt>
                <c:pt idx="995">
                  <c:v>-13.121202873662849</c:v>
                </c:pt>
                <c:pt idx="996">
                  <c:v>-13.136958466913704</c:v>
                </c:pt>
                <c:pt idx="997">
                  <c:v>-13.15271407006921</c:v>
                </c:pt>
                <c:pt idx="998">
                  <c:v>-13.168469683129119</c:v>
                </c:pt>
                <c:pt idx="999">
                  <c:v>-13.184225306093182</c:v>
                </c:pt>
                <c:pt idx="1000">
                  <c:v>-13.199980938961151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0-FB44-B75E-51812F6EE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4576"/>
        <c:axId val="1"/>
      </c:scatterChart>
      <c:valAx>
        <c:axId val="18059845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Positions [m]</a:t>
                </a:r>
              </a:p>
            </c:rich>
          </c:tx>
          <c:layout>
            <c:manualLayout>
              <c:xMode val="edge"/>
              <c:yMode val="edge"/>
              <c:x val="2.0047169811320754E-2"/>
              <c:y val="0.3006547681539807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59845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02074463926657"/>
          <c:y val="0.49147026534597421"/>
          <c:w val="0.12627396663822255"/>
          <c:h val="0.153851561325696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Propu!$A$2</c:f>
          <c:strCache>
            <c:ptCount val="1"/>
            <c:pt idx="0">
              <c:v>Orignal (Pro75-3G)</c:v>
            </c:pt>
          </c:strCache>
        </c:strRef>
      </c:tx>
      <c:layout>
        <c:manualLayout>
          <c:xMode val="edge"/>
          <c:yMode val="edge"/>
          <c:x val="0.47127077646762683"/>
          <c:y val="3.9178592393174498E-2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96559551677719E-2"/>
          <c:y val="5.5426586068345704E-2"/>
          <c:w val="0.88973722710617953"/>
          <c:h val="0.82390179871348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Propu!$A$4</c:f>
              <c:strCache>
                <c:ptCount val="1"/>
                <c:pt idx="0">
                  <c:v>Poussée (en N)</c:v>
                </c:pt>
              </c:strCache>
            </c:strRef>
          </c:tx>
          <c:spPr>
            <a:ln w="25400">
              <a:solidFill>
                <a:srgbClr val="004586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Propu!$B$3:$X$3</c:f>
              <c:numCache>
                <c:formatCode>General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0.12</c:v>
                </c:pt>
                <c:pt idx="4">
                  <c:v>0.26</c:v>
                </c:pt>
                <c:pt idx="5">
                  <c:v>0.71</c:v>
                </c:pt>
                <c:pt idx="6">
                  <c:v>1.28</c:v>
                </c:pt>
                <c:pt idx="7">
                  <c:v>2.0499999999999998</c:v>
                </c:pt>
                <c:pt idx="8">
                  <c:v>2.41</c:v>
                </c:pt>
                <c:pt idx="9">
                  <c:v>2.83</c:v>
                </c:pt>
                <c:pt idx="10">
                  <c:v>3.25</c:v>
                </c:pt>
                <c:pt idx="11">
                  <c:v>3.65</c:v>
                </c:pt>
                <c:pt idx="12">
                  <c:v>3.8</c:v>
                </c:pt>
                <c:pt idx="13">
                  <c:v>4</c:v>
                </c:pt>
                <c:pt idx="14">
                  <c:v>4.0999999999999996</c:v>
                </c:pt>
                <c:pt idx="15">
                  <c:v>4.1900000000000004</c:v>
                </c:pt>
                <c:pt idx="16">
                  <c:v>4.3099999999999996</c:v>
                </c:pt>
                <c:pt idx="17">
                  <c:v>4.41</c:v>
                </c:pt>
                <c:pt idx="18">
                  <c:v>4.5199999999999996</c:v>
                </c:pt>
                <c:pt idx="19">
                  <c:v>4.5999999999999996</c:v>
                </c:pt>
                <c:pt idx="20">
                  <c:v>4.6500000000000004</c:v>
                </c:pt>
                <c:pt idx="21">
                  <c:v>4.67</c:v>
                </c:pt>
                <c:pt idx="22">
                  <c:v>4.68</c:v>
                </c:pt>
              </c:numCache>
            </c:numRef>
          </c:xVal>
          <c:yVal>
            <c:numRef>
              <c:f>Propu!$B$4:$X$4</c:f>
              <c:numCache>
                <c:formatCode>General</c:formatCode>
                <c:ptCount val="23"/>
                <c:pt idx="0">
                  <c:v>27</c:v>
                </c:pt>
                <c:pt idx="1">
                  <c:v>402.4</c:v>
                </c:pt>
                <c:pt idx="2">
                  <c:v>1286</c:v>
                </c:pt>
                <c:pt idx="3">
                  <c:v>1257</c:v>
                </c:pt>
                <c:pt idx="4">
                  <c:v>1042</c:v>
                </c:pt>
                <c:pt idx="5">
                  <c:v>1027</c:v>
                </c:pt>
                <c:pt idx="6">
                  <c:v>998.4</c:v>
                </c:pt>
                <c:pt idx="7">
                  <c:v>901.4</c:v>
                </c:pt>
                <c:pt idx="8">
                  <c:v>849.6</c:v>
                </c:pt>
                <c:pt idx="9">
                  <c:v>763.5</c:v>
                </c:pt>
                <c:pt idx="10">
                  <c:v>707.1</c:v>
                </c:pt>
                <c:pt idx="11">
                  <c:v>655.1</c:v>
                </c:pt>
                <c:pt idx="12">
                  <c:v>651.70000000000005</c:v>
                </c:pt>
                <c:pt idx="13">
                  <c:v>624.1</c:v>
                </c:pt>
                <c:pt idx="14">
                  <c:v>601.29999999999995</c:v>
                </c:pt>
                <c:pt idx="15">
                  <c:v>536.20000000000005</c:v>
                </c:pt>
                <c:pt idx="16">
                  <c:v>415.7</c:v>
                </c:pt>
                <c:pt idx="17">
                  <c:v>270.2</c:v>
                </c:pt>
                <c:pt idx="18">
                  <c:v>140.19999999999999</c:v>
                </c:pt>
                <c:pt idx="19">
                  <c:v>76.900000000000006</c:v>
                </c:pt>
                <c:pt idx="20">
                  <c:v>54.9</c:v>
                </c:pt>
                <c:pt idx="21">
                  <c:v>40.200000000000003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9-674F-B487-8B8E0AC55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025184"/>
        <c:axId val="1"/>
      </c:scatterChart>
      <c:valAx>
        <c:axId val="1806025184"/>
        <c:scaling>
          <c:orientation val="minMax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Temps / Time [s]</a:t>
                </a:r>
              </a:p>
            </c:rich>
          </c:tx>
          <c:layout>
            <c:manualLayout>
              <c:xMode val="edge"/>
              <c:yMode val="edge"/>
              <c:x val="0.78665554917523417"/>
              <c:y val="0.688681254174847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Poussée / Thrust [N]</a:t>
                </a:r>
              </a:p>
            </c:rich>
          </c:tx>
          <c:layout>
            <c:manualLayout>
              <c:xMode val="edge"/>
              <c:yMode val="edge"/>
              <c:x val="8.5144147191391295E-2"/>
              <c:y val="0.35327652166872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6025184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landscape" horizontalDpi="1200" verticalDpi="1200"/>
  </c:printSettings>
</c:chartSpace>
</file>

<file path=xl/ctrlProps/ctrlProp1.xml><?xml version="1.0" encoding="utf-8"?>
<formControlPr xmlns="http://schemas.microsoft.com/office/spreadsheetml/2009/9/main" objectType="Spin" dx="15" fmlaLink="$C$22" inc="25" max="30000" noThreeD="1" page="10" val="275"/>
</file>

<file path=xl/ctrlProps/ctrlProp10.xml><?xml version="1.0" encoding="utf-8"?>
<formControlPr xmlns="http://schemas.microsoft.com/office/spreadsheetml/2009/9/main" objectType="Spin" dx="15" fmlaLink="$C$32" max="6" min="3" noThreeD="1" page="10" val="4"/>
</file>

<file path=xl/ctrlProps/ctrlProp11.xml><?xml version="1.0" encoding="utf-8"?>
<formControlPr xmlns="http://schemas.microsoft.com/office/spreadsheetml/2009/9/main" objectType="Spin" dx="15" fmlaLink="$C$13" inc="50" max="30000" noThreeD="1" page="10" val="1992"/>
</file>

<file path=xl/ctrlProps/ctrlProp12.xml><?xml version="1.0" encoding="utf-8"?>
<formControlPr xmlns="http://schemas.microsoft.com/office/spreadsheetml/2009/9/main" objectType="Spin" dx="15" fmlaLink="$C$11" inc="100" max="30000" noThreeD="1" page="10" val="7500"/>
</file>

<file path=xl/ctrlProps/ctrlProp13.xml><?xml version="1.0" encoding="utf-8"?>
<formControlPr xmlns="http://schemas.microsoft.com/office/spreadsheetml/2009/9/main" objectType="Spin" dx="15" fmlaLink="$C$11" inc="100" max="30000" noThreeD="1" page="10" val="7500"/>
</file>

<file path=xl/ctrlProps/ctrlProp14.xml><?xml version="1.0" encoding="utf-8"?>
<formControlPr xmlns="http://schemas.microsoft.com/office/spreadsheetml/2009/9/main" objectType="Spin" dx="15" fmlaLink="Stabilito!C11" inc="100" max="30000" noThreeD="1" page="10" val="7500"/>
</file>

<file path=xl/ctrlProps/ctrlProp15.xml><?xml version="1.0" encoding="utf-8"?>
<formControlPr xmlns="http://schemas.microsoft.com/office/spreadsheetml/2009/9/main" objectType="Spin" dx="15" fmlaLink="$B$43" inc="50" max="30000" noThreeD="1" page="10" val="549"/>
</file>

<file path=xl/ctrlProps/ctrlProp16.xml><?xml version="1.0" encoding="utf-8"?>
<formControlPr xmlns="http://schemas.microsoft.com/office/spreadsheetml/2009/9/main" objectType="Spin" dx="15" fmlaLink="$B$45" inc="50" max="30000" noThreeD="1" page="10" val="549"/>
</file>

<file path=xl/ctrlProps/ctrlProp17.xml><?xml version="1.0" encoding="utf-8"?>
<formControlPr xmlns="http://schemas.microsoft.com/office/spreadsheetml/2009/9/main" objectType="Spin" dx="15" fmlaLink="$B$51" inc="50" max="30000" noThreeD="1" page="10" val="299"/>
</file>

<file path=xl/ctrlProps/ctrlProp18.xml><?xml version="1.0" encoding="utf-8"?>
<formControlPr xmlns="http://schemas.microsoft.com/office/spreadsheetml/2009/9/main" objectType="Spin" dx="15" fmlaLink="$B$53" inc="5" max="30000" noThreeD="1" page="10" val="29"/>
</file>

<file path=xl/ctrlProps/ctrlProp19.xml><?xml version="1.0" encoding="utf-8"?>
<formControlPr xmlns="http://schemas.microsoft.com/office/spreadsheetml/2009/9/main" objectType="Spin" dx="15" fmlaLink="Stabilito!C11" inc="100" max="30000" noThreeD="1" page="10" val="7500"/>
</file>

<file path=xl/ctrlProps/ctrlProp2.xml><?xml version="1.0" encoding="utf-8"?>
<formControlPr xmlns="http://schemas.microsoft.com/office/spreadsheetml/2009/9/main" objectType="Spin" dx="15" fmlaLink="$C$11" inc="100" max="30000" noThreeD="1" page="10" val="7500"/>
</file>

<file path=xl/ctrlProps/ctrlProp20.xml><?xml version="1.0" encoding="utf-8"?>
<formControlPr xmlns="http://schemas.microsoft.com/office/spreadsheetml/2009/9/main" objectType="Spin" dx="15" fmlaLink="Stabilito!C11" inc="100" max="30000" noThreeD="1" page="10" val="7500"/>
</file>

<file path=xl/ctrlProps/ctrlProp3.xml><?xml version="1.0" encoding="utf-8"?>
<formControlPr xmlns="http://schemas.microsoft.com/office/spreadsheetml/2009/9/main" objectType="Spin" dx="15" fmlaLink="$C$12" inc="50" max="30000" noThreeD="1" page="10" val="859"/>
</file>

<file path=xl/ctrlProps/ctrlProp4.xml><?xml version="1.0" encoding="utf-8"?>
<formControlPr xmlns="http://schemas.microsoft.com/office/spreadsheetml/2009/9/main" objectType="Spin" dx="15" fmlaLink="$C$23" inc="20" max="30000" noThreeD="1" page="10" val="84"/>
</file>

<file path=xl/ctrlProps/ctrlProp5.xml><?xml version="1.0" encoding="utf-8"?>
<formControlPr xmlns="http://schemas.microsoft.com/office/spreadsheetml/2009/9/main" objectType="Spin" dx="15" fmlaLink="$C$27" inc="10" max="30000" noThreeD="1" page="10" val="190"/>
</file>

<file path=xl/ctrlProps/ctrlProp6.xml><?xml version="1.0" encoding="utf-8"?>
<formControlPr xmlns="http://schemas.microsoft.com/office/spreadsheetml/2009/9/main" objectType="Spin" dx="15" fmlaLink="$C$28" inc="10" max="30000" noThreeD="1" page="10" val="60"/>
</file>

<file path=xl/ctrlProps/ctrlProp7.xml><?xml version="1.0" encoding="utf-8"?>
<formControlPr xmlns="http://schemas.microsoft.com/office/spreadsheetml/2009/9/main" objectType="Spin" dx="15" fmlaLink="$C$29" inc="10" max="30000" noThreeD="1" page="10" val="180"/>
</file>

<file path=xl/ctrlProps/ctrlProp8.xml><?xml version="1.0" encoding="utf-8"?>
<formControlPr xmlns="http://schemas.microsoft.com/office/spreadsheetml/2009/9/main" objectType="Spin" dx="15" fmlaLink="$C$30" inc="10" max="30000" noThreeD="1" page="10" val="130"/>
</file>

<file path=xl/ctrlProps/ctrlProp9.xml><?xml version="1.0" encoding="utf-8"?>
<formControlPr xmlns="http://schemas.microsoft.com/office/spreadsheetml/2009/9/main" objectType="Spin" dx="15" fmlaLink="$C$31" max="30000" noThreeD="1" page="10" val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3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5.png"/><Relationship Id="rId1" Type="http://schemas.openxmlformats.org/officeDocument/2006/relationships/image" Target="../media/image44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9.emf"/><Relationship Id="rId18" Type="http://schemas.openxmlformats.org/officeDocument/2006/relationships/image" Target="../media/image24.emf"/><Relationship Id="rId26" Type="http://schemas.openxmlformats.org/officeDocument/2006/relationships/image" Target="../media/image32.emf"/><Relationship Id="rId3" Type="http://schemas.openxmlformats.org/officeDocument/2006/relationships/image" Target="../media/image9.emf"/><Relationship Id="rId21" Type="http://schemas.openxmlformats.org/officeDocument/2006/relationships/image" Target="../media/image27.emf"/><Relationship Id="rId34" Type="http://schemas.openxmlformats.org/officeDocument/2006/relationships/image" Target="../media/image40.emf"/><Relationship Id="rId7" Type="http://schemas.openxmlformats.org/officeDocument/2006/relationships/image" Target="../media/image13.emf"/><Relationship Id="rId12" Type="http://schemas.openxmlformats.org/officeDocument/2006/relationships/image" Target="../media/image18.emf"/><Relationship Id="rId17" Type="http://schemas.openxmlformats.org/officeDocument/2006/relationships/image" Target="../media/image23.emf"/><Relationship Id="rId25" Type="http://schemas.openxmlformats.org/officeDocument/2006/relationships/image" Target="../media/image31.emf"/><Relationship Id="rId33" Type="http://schemas.openxmlformats.org/officeDocument/2006/relationships/image" Target="../media/image39.emf"/><Relationship Id="rId2" Type="http://schemas.openxmlformats.org/officeDocument/2006/relationships/image" Target="../media/image8.emf"/><Relationship Id="rId16" Type="http://schemas.openxmlformats.org/officeDocument/2006/relationships/image" Target="../media/image22.emf"/><Relationship Id="rId20" Type="http://schemas.openxmlformats.org/officeDocument/2006/relationships/image" Target="../media/image26.emf"/><Relationship Id="rId29" Type="http://schemas.openxmlformats.org/officeDocument/2006/relationships/image" Target="../media/image35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7.emf"/><Relationship Id="rId24" Type="http://schemas.openxmlformats.org/officeDocument/2006/relationships/image" Target="../media/image30.emf"/><Relationship Id="rId32" Type="http://schemas.openxmlformats.org/officeDocument/2006/relationships/image" Target="../media/image38.emf"/><Relationship Id="rId5" Type="http://schemas.openxmlformats.org/officeDocument/2006/relationships/image" Target="../media/image11.emf"/><Relationship Id="rId15" Type="http://schemas.openxmlformats.org/officeDocument/2006/relationships/image" Target="../media/image21.emf"/><Relationship Id="rId23" Type="http://schemas.openxmlformats.org/officeDocument/2006/relationships/image" Target="../media/image29.emf"/><Relationship Id="rId28" Type="http://schemas.openxmlformats.org/officeDocument/2006/relationships/image" Target="../media/image34.emf"/><Relationship Id="rId36" Type="http://schemas.openxmlformats.org/officeDocument/2006/relationships/image" Target="../media/image42.emf"/><Relationship Id="rId10" Type="http://schemas.openxmlformats.org/officeDocument/2006/relationships/image" Target="../media/image16.emf"/><Relationship Id="rId19" Type="http://schemas.openxmlformats.org/officeDocument/2006/relationships/image" Target="../media/image25.emf"/><Relationship Id="rId31" Type="http://schemas.openxmlformats.org/officeDocument/2006/relationships/image" Target="../media/image37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Relationship Id="rId14" Type="http://schemas.openxmlformats.org/officeDocument/2006/relationships/image" Target="../media/image20.emf"/><Relationship Id="rId22" Type="http://schemas.openxmlformats.org/officeDocument/2006/relationships/image" Target="../media/image28.emf"/><Relationship Id="rId27" Type="http://schemas.openxmlformats.org/officeDocument/2006/relationships/image" Target="../media/image33.emf"/><Relationship Id="rId30" Type="http://schemas.openxmlformats.org/officeDocument/2006/relationships/image" Target="../media/image36.emf"/><Relationship Id="rId35" Type="http://schemas.openxmlformats.org/officeDocument/2006/relationships/image" Target="../media/image41.emf"/><Relationship Id="rId8" Type="http://schemas.openxmlformats.org/officeDocument/2006/relationships/image" Target="../media/image1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1</xdr:row>
      <xdr:rowOff>25400</xdr:rowOff>
    </xdr:from>
    <xdr:to>
      <xdr:col>12</xdr:col>
      <xdr:colOff>533400</xdr:colOff>
      <xdr:row>1</xdr:row>
      <xdr:rowOff>139700</xdr:rowOff>
    </xdr:to>
    <xdr:grpSp>
      <xdr:nvGrpSpPr>
        <xdr:cNvPr id="5097044" name="Groupe 1">
          <a:extLst>
            <a:ext uri="{FF2B5EF4-FFF2-40B4-BE49-F238E27FC236}">
              <a16:creationId xmlns:a16="http://schemas.microsoft.com/office/drawing/2014/main" id="{00000000-0008-0000-0000-000054C64D00}"/>
            </a:ext>
          </a:extLst>
        </xdr:cNvPr>
        <xdr:cNvGrpSpPr>
          <a:grpSpLocks/>
        </xdr:cNvGrpSpPr>
      </xdr:nvGrpSpPr>
      <xdr:grpSpPr bwMode="auto">
        <a:xfrm>
          <a:off x="7378700" y="187325"/>
          <a:ext cx="508000" cy="114300"/>
          <a:chOff x="7067550" y="190500"/>
          <a:chExt cx="438150" cy="114300"/>
        </a:xfrm>
      </xdr:grpSpPr>
      <xdr:pic>
        <xdr:nvPicPr>
          <xdr:cNvPr id="5097050" name="Image 1">
            <a:extLst>
              <a:ext uri="{FF2B5EF4-FFF2-40B4-BE49-F238E27FC236}">
                <a16:creationId xmlns:a16="http://schemas.microsoft.com/office/drawing/2014/main" id="{00000000-0008-0000-0000-00005AC64D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067550" y="190500"/>
            <a:ext cx="171450" cy="1143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097051" name="Image 2">
            <a:extLst>
              <a:ext uri="{FF2B5EF4-FFF2-40B4-BE49-F238E27FC236}">
                <a16:creationId xmlns:a16="http://schemas.microsoft.com/office/drawing/2014/main" id="{00000000-0008-0000-0000-00005BC64D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77100" y="190500"/>
            <a:ext cx="228600" cy="1143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4</xdr:col>
      <xdr:colOff>304800</xdr:colOff>
      <xdr:row>1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5097045" name="Graphique 9">
          <a:extLst>
            <a:ext uri="{FF2B5EF4-FFF2-40B4-BE49-F238E27FC236}">
              <a16:creationId xmlns:a16="http://schemas.microsoft.com/office/drawing/2014/main" id="{00000000-0008-0000-0000-000055C6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16</xdr:col>
      <xdr:colOff>0</xdr:colOff>
      <xdr:row>35</xdr:row>
      <xdr:rowOff>0</xdr:rowOff>
    </xdr:to>
    <xdr:graphicFrame macro="">
      <xdr:nvGraphicFramePr>
        <xdr:cNvPr id="5097046" name="Graphique 19">
          <a:extLst>
            <a:ext uri="{FF2B5EF4-FFF2-40B4-BE49-F238E27FC236}">
              <a16:creationId xmlns:a16="http://schemas.microsoft.com/office/drawing/2014/main" id="{00000000-0008-0000-0000-000056C6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1079500</xdr:colOff>
      <xdr:row>5</xdr:row>
      <xdr:rowOff>419</xdr:rowOff>
    </xdr:to>
    <xdr:pic>
      <xdr:nvPicPr>
        <xdr:cNvPr id="5097047" name="Picture 8" descr="logoplasci">
          <a:extLst>
            <a:ext uri="{FF2B5EF4-FFF2-40B4-BE49-F238E27FC236}">
              <a16:creationId xmlns:a16="http://schemas.microsoft.com/office/drawing/2014/main" id="{00000000-0008-0000-0000-000057C64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52400"/>
          <a:ext cx="10795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3</xdr:col>
      <xdr:colOff>3175</xdr:colOff>
      <xdr:row>48</xdr:row>
      <xdr:rowOff>63500</xdr:rowOff>
    </xdr:to>
    <xdr:pic>
      <xdr:nvPicPr>
        <xdr:cNvPr id="5097048" name="Image 1">
          <a:extLst>
            <a:ext uri="{FF2B5EF4-FFF2-40B4-BE49-F238E27FC236}">
              <a16:creationId xmlns:a16="http://schemas.microsoft.com/office/drawing/2014/main" id="{00000000-0008-0000-0000-000058C6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5638800"/>
          <a:ext cx="2171700" cy="187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12700</xdr:rowOff>
    </xdr:from>
    <xdr:to>
      <xdr:col>20</xdr:col>
      <xdr:colOff>609600</xdr:colOff>
      <xdr:row>9</xdr:row>
      <xdr:rowOff>12700</xdr:rowOff>
    </xdr:to>
    <xdr:pic>
      <xdr:nvPicPr>
        <xdr:cNvPr id="5097049" name="Image 2">
          <a:extLst>
            <a:ext uri="{FF2B5EF4-FFF2-40B4-BE49-F238E27FC236}">
              <a16:creationId xmlns:a16="http://schemas.microsoft.com/office/drawing/2014/main" id="{00000000-0008-0000-0000-000059C6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469900"/>
          <a:ext cx="23368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809625</xdr:colOff>
          <xdr:row>21</xdr:row>
          <xdr:rowOff>9525</xdr:rowOff>
        </xdr:from>
        <xdr:to>
          <xdr:col>4</xdr:col>
          <xdr:colOff>0</xdr:colOff>
          <xdr:row>22</xdr:row>
          <xdr:rowOff>0</xdr:rowOff>
        </xdr:to>
        <xdr:sp macro="" textlink="">
          <xdr:nvSpPr>
            <xdr:cNvPr id="36775" name="Spinner 935" hidden="1">
              <a:extLst>
                <a:ext uri="{63B3BB69-23CF-44E3-9099-C40C66FF867C}">
                  <a14:compatExt spid="_x0000_s36775"/>
                </a:ext>
                <a:ext uri="{FF2B5EF4-FFF2-40B4-BE49-F238E27FC236}">
                  <a16:creationId xmlns:a16="http://schemas.microsoft.com/office/drawing/2014/main" id="{00000000-0008-0000-0000-0000A7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10</xdr:row>
          <xdr:rowOff>9525</xdr:rowOff>
        </xdr:from>
        <xdr:to>
          <xdr:col>3</xdr:col>
          <xdr:colOff>0</xdr:colOff>
          <xdr:row>11</xdr:row>
          <xdr:rowOff>0</xdr:rowOff>
        </xdr:to>
        <xdr:sp macro="" textlink="">
          <xdr:nvSpPr>
            <xdr:cNvPr id="36781" name="Spinner 941" hidden="1">
              <a:extLst>
                <a:ext uri="{63B3BB69-23CF-44E3-9099-C40C66FF867C}">
                  <a14:compatExt spid="_x0000_s36781"/>
                </a:ext>
                <a:ext uri="{FF2B5EF4-FFF2-40B4-BE49-F238E27FC236}">
                  <a16:creationId xmlns:a16="http://schemas.microsoft.com/office/drawing/2014/main" id="{00000000-0008-0000-0000-0000AD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11</xdr:row>
          <xdr:rowOff>9525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36782" name="Spinner 942" hidden="1">
              <a:extLst>
                <a:ext uri="{63B3BB69-23CF-44E3-9099-C40C66FF867C}">
                  <a14:compatExt spid="_x0000_s36782"/>
                </a:ext>
                <a:ext uri="{FF2B5EF4-FFF2-40B4-BE49-F238E27FC236}">
                  <a16:creationId xmlns:a16="http://schemas.microsoft.com/office/drawing/2014/main" id="{00000000-0008-0000-0000-0000AE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809625</xdr:colOff>
          <xdr:row>22</xdr:row>
          <xdr:rowOff>9525</xdr:rowOff>
        </xdr:from>
        <xdr:to>
          <xdr:col>4</xdr:col>
          <xdr:colOff>0</xdr:colOff>
          <xdr:row>23</xdr:row>
          <xdr:rowOff>0</xdr:rowOff>
        </xdr:to>
        <xdr:sp macro="" textlink="">
          <xdr:nvSpPr>
            <xdr:cNvPr id="36783" name="Spinner 943" hidden="1">
              <a:extLst>
                <a:ext uri="{63B3BB69-23CF-44E3-9099-C40C66FF867C}">
                  <a14:compatExt spid="_x0000_s36783"/>
                </a:ext>
                <a:ext uri="{FF2B5EF4-FFF2-40B4-BE49-F238E27FC236}">
                  <a16:creationId xmlns:a16="http://schemas.microsoft.com/office/drawing/2014/main" id="{00000000-0008-0000-0000-0000AF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26</xdr:row>
          <xdr:rowOff>9525</xdr:rowOff>
        </xdr:from>
        <xdr:to>
          <xdr:col>3</xdr:col>
          <xdr:colOff>0</xdr:colOff>
          <xdr:row>27</xdr:row>
          <xdr:rowOff>0</xdr:rowOff>
        </xdr:to>
        <xdr:sp macro="" textlink="">
          <xdr:nvSpPr>
            <xdr:cNvPr id="36789" name="Spinner 949" hidden="1">
              <a:extLst>
                <a:ext uri="{63B3BB69-23CF-44E3-9099-C40C66FF867C}">
                  <a14:compatExt spid="_x0000_s36789"/>
                </a:ext>
                <a:ext uri="{FF2B5EF4-FFF2-40B4-BE49-F238E27FC236}">
                  <a16:creationId xmlns:a16="http://schemas.microsoft.com/office/drawing/2014/main" id="{00000000-0008-0000-0000-0000B5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27</xdr:row>
          <xdr:rowOff>9525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36795" name="Spinner 955" hidden="1">
              <a:extLst>
                <a:ext uri="{63B3BB69-23CF-44E3-9099-C40C66FF867C}">
                  <a14:compatExt spid="_x0000_s36795"/>
                </a:ext>
                <a:ext uri="{FF2B5EF4-FFF2-40B4-BE49-F238E27FC236}">
                  <a16:creationId xmlns:a16="http://schemas.microsoft.com/office/drawing/2014/main" id="{00000000-0008-0000-0000-0000BB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28</xdr:row>
          <xdr:rowOff>9525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36796" name="Spinner 956" hidden="1">
              <a:extLst>
                <a:ext uri="{63B3BB69-23CF-44E3-9099-C40C66FF867C}">
                  <a14:compatExt spid="_x0000_s36796"/>
                </a:ext>
                <a:ext uri="{FF2B5EF4-FFF2-40B4-BE49-F238E27FC236}">
                  <a16:creationId xmlns:a16="http://schemas.microsoft.com/office/drawing/2014/main" id="{00000000-0008-0000-0000-0000BC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29</xdr:row>
          <xdr:rowOff>9525</xdr:rowOff>
        </xdr:from>
        <xdr:to>
          <xdr:col>3</xdr:col>
          <xdr:colOff>0</xdr:colOff>
          <xdr:row>30</xdr:row>
          <xdr:rowOff>0</xdr:rowOff>
        </xdr:to>
        <xdr:sp macro="" textlink="">
          <xdr:nvSpPr>
            <xdr:cNvPr id="36797" name="Spinner 957" hidden="1">
              <a:extLst>
                <a:ext uri="{63B3BB69-23CF-44E3-9099-C40C66FF867C}">
                  <a14:compatExt spid="_x0000_s36797"/>
                </a:ext>
                <a:ext uri="{FF2B5EF4-FFF2-40B4-BE49-F238E27FC236}">
                  <a16:creationId xmlns:a16="http://schemas.microsoft.com/office/drawing/2014/main" id="{00000000-0008-0000-0000-0000BD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30</xdr:row>
          <xdr:rowOff>9525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36798" name="Spinner 958" hidden="1">
              <a:extLst>
                <a:ext uri="{63B3BB69-23CF-44E3-9099-C40C66FF867C}">
                  <a14:compatExt spid="_x0000_s36798"/>
                </a:ext>
                <a:ext uri="{FF2B5EF4-FFF2-40B4-BE49-F238E27FC236}">
                  <a16:creationId xmlns:a16="http://schemas.microsoft.com/office/drawing/2014/main" id="{00000000-0008-0000-0000-0000BE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31</xdr:row>
          <xdr:rowOff>9525</xdr:rowOff>
        </xdr:from>
        <xdr:to>
          <xdr:col>3</xdr:col>
          <xdr:colOff>0</xdr:colOff>
          <xdr:row>32</xdr:row>
          <xdr:rowOff>0</xdr:rowOff>
        </xdr:to>
        <xdr:sp macro="" textlink="">
          <xdr:nvSpPr>
            <xdr:cNvPr id="36799" name="Spinner 959" hidden="1">
              <a:extLst>
                <a:ext uri="{63B3BB69-23CF-44E3-9099-C40C66FF867C}">
                  <a14:compatExt spid="_x0000_s36799"/>
                </a:ext>
                <a:ext uri="{FF2B5EF4-FFF2-40B4-BE49-F238E27FC236}">
                  <a16:creationId xmlns:a16="http://schemas.microsoft.com/office/drawing/2014/main" id="{00000000-0008-0000-0000-0000BF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809625</xdr:colOff>
          <xdr:row>12</xdr:row>
          <xdr:rowOff>9525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36801" name="Spinner 961" hidden="1">
              <a:extLst>
                <a:ext uri="{63B3BB69-23CF-44E3-9099-C40C66FF867C}">
                  <a14:compatExt spid="_x0000_s36801"/>
                </a:ext>
                <a:ext uri="{FF2B5EF4-FFF2-40B4-BE49-F238E27FC236}">
                  <a16:creationId xmlns:a16="http://schemas.microsoft.com/office/drawing/2014/main" id="{00000000-0008-0000-0000-0000C1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35</xdr:row>
          <xdr:rowOff>9525</xdr:rowOff>
        </xdr:from>
        <xdr:to>
          <xdr:col>19</xdr:col>
          <xdr:colOff>0</xdr:colOff>
          <xdr:row>36</xdr:row>
          <xdr:rowOff>0</xdr:rowOff>
        </xdr:to>
        <xdr:sp macro="" textlink="">
          <xdr:nvSpPr>
            <xdr:cNvPr id="5096691" name="Spinner 3315" hidden="1">
              <a:extLst>
                <a:ext uri="{63B3BB69-23CF-44E3-9099-C40C66FF867C}">
                  <a14:compatExt spid="_x0000_s5096691"/>
                </a:ext>
                <a:ext uri="{FF2B5EF4-FFF2-40B4-BE49-F238E27FC236}">
                  <a16:creationId xmlns:a16="http://schemas.microsoft.com/office/drawing/2014/main" id="{00000000-0008-0000-0000-0000F3C44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35</xdr:row>
          <xdr:rowOff>9525</xdr:rowOff>
        </xdr:from>
        <xdr:to>
          <xdr:col>19</xdr:col>
          <xdr:colOff>0</xdr:colOff>
          <xdr:row>36</xdr:row>
          <xdr:rowOff>0</xdr:rowOff>
        </xdr:to>
        <xdr:sp macro="" textlink="">
          <xdr:nvSpPr>
            <xdr:cNvPr id="5096692" name="Spinner 3316" hidden="1">
              <a:extLst>
                <a:ext uri="{63B3BB69-23CF-44E3-9099-C40C66FF867C}">
                  <a14:compatExt spid="_x0000_s5096692"/>
                </a:ext>
                <a:ext uri="{FF2B5EF4-FFF2-40B4-BE49-F238E27FC236}">
                  <a16:creationId xmlns:a16="http://schemas.microsoft.com/office/drawing/2014/main" id="{00000000-0008-0000-0000-0000F4C44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0</xdr:colOff>
      <xdr:row>20</xdr:row>
      <xdr:rowOff>0</xdr:rowOff>
    </xdr:to>
    <xdr:graphicFrame macro="">
      <xdr:nvGraphicFramePr>
        <xdr:cNvPr id="5605413" name="Graphique 1">
          <a:extLst>
            <a:ext uri="{FF2B5EF4-FFF2-40B4-BE49-F238E27FC236}">
              <a16:creationId xmlns:a16="http://schemas.microsoft.com/office/drawing/2014/main" id="{00000000-0008-0000-0100-000025885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5605414" name="Graphique 2">
          <a:extLst>
            <a:ext uri="{FF2B5EF4-FFF2-40B4-BE49-F238E27FC236}">
              <a16:creationId xmlns:a16="http://schemas.microsoft.com/office/drawing/2014/main" id="{00000000-0008-0000-0100-000026885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1079500</xdr:colOff>
      <xdr:row>5</xdr:row>
      <xdr:rowOff>0</xdr:rowOff>
    </xdr:to>
    <xdr:pic>
      <xdr:nvPicPr>
        <xdr:cNvPr id="5605415" name="Picture 8" descr="logoplasci">
          <a:extLst>
            <a:ext uri="{FF2B5EF4-FFF2-40B4-BE49-F238E27FC236}">
              <a16:creationId xmlns:a16="http://schemas.microsoft.com/office/drawing/2014/main" id="{00000000-0008-0000-0100-000027885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65100"/>
          <a:ext cx="10795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152400</xdr:colOff>
      <xdr:row>38</xdr:row>
      <xdr:rowOff>114300</xdr:rowOff>
    </xdr:from>
    <xdr:to>
      <xdr:col>3</xdr:col>
      <xdr:colOff>787400</xdr:colOff>
      <xdr:row>46</xdr:row>
      <xdr:rowOff>0</xdr:rowOff>
    </xdr:to>
    <xdr:grpSp>
      <xdr:nvGrpSpPr>
        <xdr:cNvPr id="5605416" name="Groupe 1">
          <a:extLst>
            <a:ext uri="{FF2B5EF4-FFF2-40B4-BE49-F238E27FC236}">
              <a16:creationId xmlns:a16="http://schemas.microsoft.com/office/drawing/2014/main" id="{00000000-0008-0000-0100-000028885500}"/>
            </a:ext>
          </a:extLst>
        </xdr:cNvPr>
        <xdr:cNvGrpSpPr>
          <a:grpSpLocks/>
        </xdr:cNvGrpSpPr>
      </xdr:nvGrpSpPr>
      <xdr:grpSpPr bwMode="auto">
        <a:xfrm>
          <a:off x="1385047" y="6087035"/>
          <a:ext cx="1347694" cy="1140759"/>
          <a:chOff x="1362075" y="6410325"/>
          <a:chExt cx="1319468" cy="1181100"/>
        </a:xfrm>
      </xdr:grpSpPr>
      <xdr:sp macro="" textlink="">
        <xdr:nvSpPr>
          <xdr:cNvPr id="5605421" name="Line 320">
            <a:extLst>
              <a:ext uri="{FF2B5EF4-FFF2-40B4-BE49-F238E27FC236}">
                <a16:creationId xmlns:a16="http://schemas.microsoft.com/office/drawing/2014/main" id="{00000000-0008-0000-0100-00002D8855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462415" y="7296150"/>
            <a:ext cx="35118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5422" name="Rectangle 314">
            <a:extLst>
              <a:ext uri="{FF2B5EF4-FFF2-40B4-BE49-F238E27FC236}">
                <a16:creationId xmlns:a16="http://schemas.microsoft.com/office/drawing/2014/main" id="{00000000-0008-0000-0100-00002E885500}"/>
              </a:ext>
            </a:extLst>
          </xdr:cNvPr>
          <xdr:cNvSpPr>
            <a:spLocks noChangeArrowheads="1"/>
          </xdr:cNvSpPr>
        </xdr:nvSpPr>
        <xdr:spPr bwMode="auto">
          <a:xfrm>
            <a:off x="1833672" y="6410325"/>
            <a:ext cx="481630" cy="1181100"/>
          </a:xfrm>
          <a:prstGeom prst="rect">
            <a:avLst/>
          </a:prstGeom>
          <a:solidFill>
            <a:srgbClr val="F2F2F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605423" name="Rectangle 315">
            <a:extLst>
              <a:ext uri="{FF2B5EF4-FFF2-40B4-BE49-F238E27FC236}">
                <a16:creationId xmlns:a16="http://schemas.microsoft.com/office/drawing/2014/main" id="{00000000-0008-0000-0100-00002F8855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1838363" y="6388995"/>
            <a:ext cx="482283" cy="1204076"/>
          </a:xfrm>
          <a:prstGeom prst="rect">
            <a:avLst/>
          </a:prstGeom>
          <a:solidFill>
            <a:srgbClr val="F2F2F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605424" name="Line 316">
            <a:extLst>
              <a:ext uri="{FF2B5EF4-FFF2-40B4-BE49-F238E27FC236}">
                <a16:creationId xmlns:a16="http://schemas.microsoft.com/office/drawing/2014/main" id="{00000000-0008-0000-0100-000030885500}"/>
              </a:ext>
            </a:extLst>
          </xdr:cNvPr>
          <xdr:cNvSpPr>
            <a:spLocks noChangeShapeType="1"/>
          </xdr:cNvSpPr>
        </xdr:nvSpPr>
        <xdr:spPr bwMode="auto">
          <a:xfrm>
            <a:off x="1833672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5425" name="Line 317">
            <a:extLst>
              <a:ext uri="{FF2B5EF4-FFF2-40B4-BE49-F238E27FC236}">
                <a16:creationId xmlns:a16="http://schemas.microsoft.com/office/drawing/2014/main" id="{00000000-0008-0000-0100-000031885500}"/>
              </a:ext>
            </a:extLst>
          </xdr:cNvPr>
          <xdr:cNvSpPr>
            <a:spLocks noChangeShapeType="1"/>
          </xdr:cNvSpPr>
        </xdr:nvSpPr>
        <xdr:spPr bwMode="auto">
          <a:xfrm>
            <a:off x="2312198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5426" name="Line 319">
            <a:extLst>
              <a:ext uri="{FF2B5EF4-FFF2-40B4-BE49-F238E27FC236}">
                <a16:creationId xmlns:a16="http://schemas.microsoft.com/office/drawing/2014/main" id="{00000000-0008-0000-0100-000032885500}"/>
              </a:ext>
            </a:extLst>
          </xdr:cNvPr>
          <xdr:cNvSpPr>
            <a:spLocks noChangeShapeType="1"/>
          </xdr:cNvSpPr>
        </xdr:nvSpPr>
        <xdr:spPr bwMode="auto">
          <a:xfrm>
            <a:off x="1362075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279400</xdr:colOff>
      <xdr:row>49</xdr:row>
      <xdr:rowOff>25400</xdr:rowOff>
    </xdr:from>
    <xdr:to>
      <xdr:col>3</xdr:col>
      <xdr:colOff>558800</xdr:colOff>
      <xdr:row>54</xdr:row>
      <xdr:rowOff>114300</xdr:rowOff>
    </xdr:to>
    <xdr:sp macro="" textlink="">
      <xdr:nvSpPr>
        <xdr:cNvPr id="5605417" name="Oval 323">
          <a:extLst>
            <a:ext uri="{FF2B5EF4-FFF2-40B4-BE49-F238E27FC236}">
              <a16:creationId xmlns:a16="http://schemas.microsoft.com/office/drawing/2014/main" id="{00000000-0008-0000-0100-000029885500}"/>
            </a:ext>
          </a:extLst>
        </xdr:cNvPr>
        <xdr:cNvSpPr>
          <a:spLocks noChangeArrowheads="1"/>
        </xdr:cNvSpPr>
      </xdr:nvSpPr>
      <xdr:spPr bwMode="auto">
        <a:xfrm>
          <a:off x="1689100" y="7899400"/>
          <a:ext cx="1143000" cy="914400"/>
        </a:xfrm>
        <a:prstGeom prst="ellipse">
          <a:avLst/>
        </a:prstGeom>
        <a:solidFill>
          <a:srgbClr val="F2F2F2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762000</xdr:colOff>
      <xdr:row>51</xdr:row>
      <xdr:rowOff>63500</xdr:rowOff>
    </xdr:from>
    <xdr:to>
      <xdr:col>3</xdr:col>
      <xdr:colOff>101600</xdr:colOff>
      <xdr:row>52</xdr:row>
      <xdr:rowOff>76200</xdr:rowOff>
    </xdr:to>
    <xdr:sp macro="" textlink="">
      <xdr:nvSpPr>
        <xdr:cNvPr id="5605418" name="Oval 323">
          <a:extLst>
            <a:ext uri="{FF2B5EF4-FFF2-40B4-BE49-F238E27FC236}">
              <a16:creationId xmlns:a16="http://schemas.microsoft.com/office/drawing/2014/main" id="{00000000-0008-0000-0100-00002A885500}"/>
            </a:ext>
          </a:extLst>
        </xdr:cNvPr>
        <xdr:cNvSpPr>
          <a:spLocks noChangeArrowheads="1"/>
        </xdr:cNvSpPr>
      </xdr:nvSpPr>
      <xdr:spPr bwMode="auto">
        <a:xfrm>
          <a:off x="2171700" y="8267700"/>
          <a:ext cx="203200" cy="1778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49</xdr:row>
      <xdr:rowOff>25400</xdr:rowOff>
    </xdr:from>
    <xdr:to>
      <xdr:col>3</xdr:col>
      <xdr:colOff>0</xdr:colOff>
      <xdr:row>51</xdr:row>
      <xdr:rowOff>139700</xdr:rowOff>
    </xdr:to>
    <xdr:sp macro="" textlink="">
      <xdr:nvSpPr>
        <xdr:cNvPr id="5605419" name="Line 324">
          <a:extLst>
            <a:ext uri="{FF2B5EF4-FFF2-40B4-BE49-F238E27FC236}">
              <a16:creationId xmlns:a16="http://schemas.microsoft.com/office/drawing/2014/main" id="{00000000-0008-0000-0100-00002B885500}"/>
            </a:ext>
          </a:extLst>
        </xdr:cNvPr>
        <xdr:cNvSpPr>
          <a:spLocks noChangeShapeType="1"/>
        </xdr:cNvSpPr>
      </xdr:nvSpPr>
      <xdr:spPr bwMode="auto">
        <a:xfrm>
          <a:off x="2273300" y="7899400"/>
          <a:ext cx="0" cy="44450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</xdr:row>
      <xdr:rowOff>139700</xdr:rowOff>
    </xdr:from>
    <xdr:to>
      <xdr:col>3</xdr:col>
      <xdr:colOff>0</xdr:colOff>
      <xdr:row>52</xdr:row>
      <xdr:rowOff>88900</xdr:rowOff>
    </xdr:to>
    <xdr:sp macro="" textlink="">
      <xdr:nvSpPr>
        <xdr:cNvPr id="5605420" name="Line 324">
          <a:extLst>
            <a:ext uri="{FF2B5EF4-FFF2-40B4-BE49-F238E27FC236}">
              <a16:creationId xmlns:a16="http://schemas.microsoft.com/office/drawing/2014/main" id="{00000000-0008-0000-0100-00002C885500}"/>
            </a:ext>
          </a:extLst>
        </xdr:cNvPr>
        <xdr:cNvSpPr>
          <a:spLocks noChangeShapeType="1"/>
        </xdr:cNvSpPr>
      </xdr:nvSpPr>
      <xdr:spPr bwMode="auto">
        <a:xfrm flipH="1">
          <a:off x="2273300" y="8343900"/>
          <a:ext cx="0" cy="11430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695325</xdr:colOff>
          <xdr:row>9</xdr:row>
          <xdr:rowOff>9525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1424424" name="Spinner 1064" hidden="1">
              <a:extLst>
                <a:ext uri="{63B3BB69-23CF-44E3-9099-C40C66FF867C}">
                  <a14:compatExt spid="_x0000_s1424424"/>
                </a:ext>
                <a:ext uri="{FF2B5EF4-FFF2-40B4-BE49-F238E27FC236}">
                  <a16:creationId xmlns:a16="http://schemas.microsoft.com/office/drawing/2014/main" id="{00000000-0008-0000-0100-000028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1076325</xdr:colOff>
          <xdr:row>42</xdr:row>
          <xdr:rowOff>9525</xdr:rowOff>
        </xdr:from>
        <xdr:to>
          <xdr:col>2</xdr:col>
          <xdr:colOff>0</xdr:colOff>
          <xdr:row>43</xdr:row>
          <xdr:rowOff>0</xdr:rowOff>
        </xdr:to>
        <xdr:sp macro="" textlink="">
          <xdr:nvSpPr>
            <xdr:cNvPr id="1424589" name="Spinner 1229" hidden="1">
              <a:extLst>
                <a:ext uri="{63B3BB69-23CF-44E3-9099-C40C66FF867C}">
                  <a14:compatExt spid="_x0000_s1424589"/>
                </a:ext>
                <a:ext uri="{FF2B5EF4-FFF2-40B4-BE49-F238E27FC236}">
                  <a16:creationId xmlns:a16="http://schemas.microsoft.com/office/drawing/2014/main" id="{00000000-0008-0000-0100-0000CD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1076325</xdr:colOff>
          <xdr:row>44</xdr:row>
          <xdr:rowOff>9525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424590" name="Spinner 1230" hidden="1">
              <a:extLst>
                <a:ext uri="{63B3BB69-23CF-44E3-9099-C40C66FF867C}">
                  <a14:compatExt spid="_x0000_s1424590"/>
                </a:ext>
                <a:ext uri="{FF2B5EF4-FFF2-40B4-BE49-F238E27FC236}">
                  <a16:creationId xmlns:a16="http://schemas.microsoft.com/office/drawing/2014/main" id="{00000000-0008-0000-0100-0000CE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1076325</xdr:colOff>
          <xdr:row>50</xdr:row>
          <xdr:rowOff>9525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424591" name="Spinner 1231" hidden="1">
              <a:extLst>
                <a:ext uri="{63B3BB69-23CF-44E3-9099-C40C66FF867C}">
                  <a14:compatExt spid="_x0000_s1424591"/>
                </a:ext>
                <a:ext uri="{FF2B5EF4-FFF2-40B4-BE49-F238E27FC236}">
                  <a16:creationId xmlns:a16="http://schemas.microsoft.com/office/drawing/2014/main" id="{00000000-0008-0000-0100-0000CF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93</xdr:row>
          <xdr:rowOff>66675</xdr:rowOff>
        </xdr:from>
        <xdr:to>
          <xdr:col>4</xdr:col>
          <xdr:colOff>66675</xdr:colOff>
          <xdr:row>99</xdr:row>
          <xdr:rowOff>76200</xdr:rowOff>
        </xdr:to>
        <xdr:sp macro="" textlink="">
          <xdr:nvSpPr>
            <xdr:cNvPr id="1425294" name="Object 1934" hidden="1">
              <a:extLst>
                <a:ext uri="{63B3BB69-23CF-44E3-9099-C40C66FF867C}">
                  <a14:compatExt spid="_x0000_s1425294"/>
                </a:ext>
                <a:ext uri="{FF2B5EF4-FFF2-40B4-BE49-F238E27FC236}">
                  <a16:creationId xmlns:a16="http://schemas.microsoft.com/office/drawing/2014/main" id="{00000000-0008-0000-0100-00008EBF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1076325</xdr:colOff>
          <xdr:row>52</xdr:row>
          <xdr:rowOff>9525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4779462" name="Spinner 4550" hidden="1">
              <a:extLst>
                <a:ext uri="{63B3BB69-23CF-44E3-9099-C40C66FF867C}">
                  <a14:compatExt spid="_x0000_s4779462"/>
                </a:ext>
                <a:ext uri="{FF2B5EF4-FFF2-40B4-BE49-F238E27FC236}">
                  <a16:creationId xmlns:a16="http://schemas.microsoft.com/office/drawing/2014/main" id="{00000000-0008-0000-0100-0000C6ED4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</xdr:row>
      <xdr:rowOff>0</xdr:rowOff>
    </xdr:from>
    <xdr:to>
      <xdr:col>10</xdr:col>
      <xdr:colOff>673100</xdr:colOff>
      <xdr:row>19</xdr:row>
      <xdr:rowOff>0</xdr:rowOff>
    </xdr:to>
    <xdr:graphicFrame macro="">
      <xdr:nvGraphicFramePr>
        <xdr:cNvPr id="5105837" name="Graphique 1">
          <a:extLst>
            <a:ext uri="{FF2B5EF4-FFF2-40B4-BE49-F238E27FC236}">
              <a16:creationId xmlns:a16="http://schemas.microsoft.com/office/drawing/2014/main" id="{00000000-0008-0000-0200-0000AD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37</xdr:row>
      <xdr:rowOff>0</xdr:rowOff>
    </xdr:from>
    <xdr:to>
      <xdr:col>10</xdr:col>
      <xdr:colOff>673100</xdr:colOff>
      <xdr:row>55</xdr:row>
      <xdr:rowOff>0</xdr:rowOff>
    </xdr:to>
    <xdr:graphicFrame macro="">
      <xdr:nvGraphicFramePr>
        <xdr:cNvPr id="5105838" name="Graphique 2">
          <a:extLst>
            <a:ext uri="{FF2B5EF4-FFF2-40B4-BE49-F238E27FC236}">
              <a16:creationId xmlns:a16="http://schemas.microsoft.com/office/drawing/2014/main" id="{00000000-0008-0000-0200-0000AE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19</xdr:row>
      <xdr:rowOff>0</xdr:rowOff>
    </xdr:from>
    <xdr:to>
      <xdr:col>10</xdr:col>
      <xdr:colOff>673100</xdr:colOff>
      <xdr:row>37</xdr:row>
      <xdr:rowOff>0</xdr:rowOff>
    </xdr:to>
    <xdr:graphicFrame macro="">
      <xdr:nvGraphicFramePr>
        <xdr:cNvPr id="5105839" name="Graphique 3">
          <a:extLst>
            <a:ext uri="{FF2B5EF4-FFF2-40B4-BE49-F238E27FC236}">
              <a16:creationId xmlns:a16="http://schemas.microsoft.com/office/drawing/2014/main" id="{00000000-0008-0000-0200-0000AF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177800</xdr:colOff>
      <xdr:row>55</xdr:row>
      <xdr:rowOff>0</xdr:rowOff>
    </xdr:from>
    <xdr:to>
      <xdr:col>10</xdr:col>
      <xdr:colOff>673100</xdr:colOff>
      <xdr:row>73</xdr:row>
      <xdr:rowOff>0</xdr:rowOff>
    </xdr:to>
    <xdr:graphicFrame macro="">
      <xdr:nvGraphicFramePr>
        <xdr:cNvPr id="5105840" name="Graphique 4">
          <a:extLst>
            <a:ext uri="{FF2B5EF4-FFF2-40B4-BE49-F238E27FC236}">
              <a16:creationId xmlns:a16="http://schemas.microsoft.com/office/drawing/2014/main" id="{00000000-0008-0000-0200-0000B0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50800</xdr:rowOff>
    </xdr:from>
    <xdr:to>
      <xdr:col>7</xdr:col>
      <xdr:colOff>228600</xdr:colOff>
      <xdr:row>19</xdr:row>
      <xdr:rowOff>139700</xdr:rowOff>
    </xdr:to>
    <xdr:graphicFrame macro="">
      <xdr:nvGraphicFramePr>
        <xdr:cNvPr id="5110828" name="Graphique 1">
          <a:extLst>
            <a:ext uri="{FF2B5EF4-FFF2-40B4-BE49-F238E27FC236}">
              <a16:creationId xmlns:a16="http://schemas.microsoft.com/office/drawing/2014/main" id="{00000000-0008-0000-0300-00002CFC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292100</xdr:colOff>
      <xdr:row>1008</xdr:row>
      <xdr:rowOff>152400</xdr:rowOff>
    </xdr:from>
    <xdr:to>
      <xdr:col>16</xdr:col>
      <xdr:colOff>165100</xdr:colOff>
      <xdr:row>1010</xdr:row>
      <xdr:rowOff>88900</xdr:rowOff>
    </xdr:to>
    <xdr:sp macro="" textlink="">
      <xdr:nvSpPr>
        <xdr:cNvPr id="3411" name="Line 60">
          <a:extLst>
            <a:ext uri="{FF2B5EF4-FFF2-40B4-BE49-F238E27FC236}">
              <a16:creationId xmlns:a16="http://schemas.microsoft.com/office/drawing/2014/main" id="{00000000-0008-0000-0400-0000530D0000}"/>
            </a:ext>
          </a:extLst>
        </xdr:cNvPr>
        <xdr:cNvSpPr>
          <a:spLocks noChangeShapeType="1"/>
        </xdr:cNvSpPr>
      </xdr:nvSpPr>
      <xdr:spPr bwMode="auto">
        <a:xfrm flipH="1">
          <a:off x="6273800" y="166585900"/>
          <a:ext cx="1193800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304800</xdr:colOff>
      <xdr:row>1011</xdr:row>
      <xdr:rowOff>101600</xdr:rowOff>
    </xdr:from>
    <xdr:to>
      <xdr:col>17</xdr:col>
      <xdr:colOff>381000</xdr:colOff>
      <xdr:row>1013</xdr:row>
      <xdr:rowOff>139700</xdr:rowOff>
    </xdr:to>
    <xdr:sp macro="" textlink="">
      <xdr:nvSpPr>
        <xdr:cNvPr id="3412" name="Line 71">
          <a:extLst>
            <a:ext uri="{FF2B5EF4-FFF2-40B4-BE49-F238E27FC236}">
              <a16:creationId xmlns:a16="http://schemas.microsoft.com/office/drawing/2014/main" id="{00000000-0008-0000-0400-0000540D0000}"/>
            </a:ext>
          </a:extLst>
        </xdr:cNvPr>
        <xdr:cNvSpPr>
          <a:spLocks noChangeShapeType="1"/>
        </xdr:cNvSpPr>
      </xdr:nvSpPr>
      <xdr:spPr bwMode="auto">
        <a:xfrm flipH="1" flipV="1">
          <a:off x="6286500" y="167030400"/>
          <a:ext cx="2057400" cy="368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304800</xdr:colOff>
      <xdr:row>1012</xdr:row>
      <xdr:rowOff>139700</xdr:rowOff>
    </xdr:from>
    <xdr:to>
      <xdr:col>17</xdr:col>
      <xdr:colOff>381000</xdr:colOff>
      <xdr:row>1015</xdr:row>
      <xdr:rowOff>25400</xdr:rowOff>
    </xdr:to>
    <xdr:sp macro="" textlink="">
      <xdr:nvSpPr>
        <xdr:cNvPr id="3413" name="Line 71">
          <a:extLst>
            <a:ext uri="{FF2B5EF4-FFF2-40B4-BE49-F238E27FC236}">
              <a16:creationId xmlns:a16="http://schemas.microsoft.com/office/drawing/2014/main" id="{00000000-0008-0000-0400-0000550D0000}"/>
            </a:ext>
          </a:extLst>
        </xdr:cNvPr>
        <xdr:cNvSpPr>
          <a:spLocks noChangeShapeType="1"/>
        </xdr:cNvSpPr>
      </xdr:nvSpPr>
      <xdr:spPr bwMode="auto">
        <a:xfrm flipH="1" flipV="1">
          <a:off x="6286500" y="167233600"/>
          <a:ext cx="205740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1010</xdr:row>
          <xdr:rowOff>85725</xdr:rowOff>
        </xdr:from>
        <xdr:to>
          <xdr:col>20</xdr:col>
          <xdr:colOff>266700</xdr:colOff>
          <xdr:row>1013</xdr:row>
          <xdr:rowOff>28575</xdr:rowOff>
        </xdr:to>
        <xdr:sp macro="" textlink="">
          <xdr:nvSpPr>
            <xdr:cNvPr id="3091" name="Object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4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1024</xdr:row>
          <xdr:rowOff>142875</xdr:rowOff>
        </xdr:from>
        <xdr:to>
          <xdr:col>25</xdr:col>
          <xdr:colOff>409575</xdr:colOff>
          <xdr:row>1026</xdr:row>
          <xdr:rowOff>66675</xdr:rowOff>
        </xdr:to>
        <xdr:sp macro="" textlink="">
          <xdr:nvSpPr>
            <xdr:cNvPr id="3092" name="Object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4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228600</xdr:colOff>
          <xdr:row>1006</xdr:row>
          <xdr:rowOff>28575</xdr:rowOff>
        </xdr:from>
        <xdr:to>
          <xdr:col>24</xdr:col>
          <xdr:colOff>142875</xdr:colOff>
          <xdr:row>1007</xdr:row>
          <xdr:rowOff>85725</xdr:rowOff>
        </xdr:to>
        <xdr:sp macro="" textlink="">
          <xdr:nvSpPr>
            <xdr:cNvPr id="3096" name="Object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4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1017</xdr:row>
          <xdr:rowOff>142875</xdr:rowOff>
        </xdr:from>
        <xdr:to>
          <xdr:col>10</xdr:col>
          <xdr:colOff>533400</xdr:colOff>
          <xdr:row>1019</xdr:row>
          <xdr:rowOff>114300</xdr:rowOff>
        </xdr:to>
        <xdr:sp macro="" textlink="">
          <xdr:nvSpPr>
            <xdr:cNvPr id="3112" name="Object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4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1014</xdr:row>
          <xdr:rowOff>152400</xdr:rowOff>
        </xdr:from>
        <xdr:to>
          <xdr:col>11</xdr:col>
          <xdr:colOff>238125</xdr:colOff>
          <xdr:row>1016</xdr:row>
          <xdr:rowOff>66675</xdr:rowOff>
        </xdr:to>
        <xdr:sp macro="" textlink="">
          <xdr:nvSpPr>
            <xdr:cNvPr id="3114" name="Object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4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1016</xdr:row>
          <xdr:rowOff>66675</xdr:rowOff>
        </xdr:from>
        <xdr:to>
          <xdr:col>11</xdr:col>
          <xdr:colOff>219075</xdr:colOff>
          <xdr:row>1017</xdr:row>
          <xdr:rowOff>142875</xdr:rowOff>
        </xdr:to>
        <xdr:sp macro="" textlink="">
          <xdr:nvSpPr>
            <xdr:cNvPr id="3115" name="Object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4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1022</xdr:row>
          <xdr:rowOff>66675</xdr:rowOff>
        </xdr:from>
        <xdr:to>
          <xdr:col>17</xdr:col>
          <xdr:colOff>238125</xdr:colOff>
          <xdr:row>1024</xdr:row>
          <xdr:rowOff>142875</xdr:rowOff>
        </xdr:to>
        <xdr:sp macro="" textlink="">
          <xdr:nvSpPr>
            <xdr:cNvPr id="3119" name="Object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4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1008</xdr:row>
          <xdr:rowOff>0</xdr:rowOff>
        </xdr:from>
        <xdr:to>
          <xdr:col>11</xdr:col>
          <xdr:colOff>219075</xdr:colOff>
          <xdr:row>1010</xdr:row>
          <xdr:rowOff>76200</xdr:rowOff>
        </xdr:to>
        <xdr:sp macro="" textlink="">
          <xdr:nvSpPr>
            <xdr:cNvPr id="3120" name="Object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4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1010</xdr:row>
          <xdr:rowOff>85725</xdr:rowOff>
        </xdr:from>
        <xdr:to>
          <xdr:col>12</xdr:col>
          <xdr:colOff>219075</xdr:colOff>
          <xdr:row>1013</xdr:row>
          <xdr:rowOff>0</xdr:rowOff>
        </xdr:to>
        <xdr:sp macro="" textlink="">
          <xdr:nvSpPr>
            <xdr:cNvPr id="3121" name="Object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4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1006</xdr:row>
          <xdr:rowOff>85725</xdr:rowOff>
        </xdr:from>
        <xdr:to>
          <xdr:col>3</xdr:col>
          <xdr:colOff>495300</xdr:colOff>
          <xdr:row>1007</xdr:row>
          <xdr:rowOff>152400</xdr:rowOff>
        </xdr:to>
        <xdr:sp macro="" textlink="">
          <xdr:nvSpPr>
            <xdr:cNvPr id="3122" name="Object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4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1024</xdr:row>
          <xdr:rowOff>152400</xdr:rowOff>
        </xdr:from>
        <xdr:to>
          <xdr:col>16</xdr:col>
          <xdr:colOff>0</xdr:colOff>
          <xdr:row>1026</xdr:row>
          <xdr:rowOff>123825</xdr:rowOff>
        </xdr:to>
        <xdr:sp macro="" textlink="">
          <xdr:nvSpPr>
            <xdr:cNvPr id="3124" name="Object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4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1013</xdr:row>
          <xdr:rowOff>28575</xdr:rowOff>
        </xdr:from>
        <xdr:to>
          <xdr:col>21</xdr:col>
          <xdr:colOff>28575</xdr:colOff>
          <xdr:row>1014</xdr:row>
          <xdr:rowOff>104775</xdr:rowOff>
        </xdr:to>
        <xdr:sp macro="" textlink="">
          <xdr:nvSpPr>
            <xdr:cNvPr id="3125" name="Object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4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1005</xdr:row>
          <xdr:rowOff>9525</xdr:rowOff>
        </xdr:from>
        <xdr:to>
          <xdr:col>10</xdr:col>
          <xdr:colOff>371475</xdr:colOff>
          <xdr:row>1006</xdr:row>
          <xdr:rowOff>76200</xdr:rowOff>
        </xdr:to>
        <xdr:sp macro="" textlink="">
          <xdr:nvSpPr>
            <xdr:cNvPr id="3127" name="Object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4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1013</xdr:row>
          <xdr:rowOff>9525</xdr:rowOff>
        </xdr:from>
        <xdr:to>
          <xdr:col>8</xdr:col>
          <xdr:colOff>180975</xdr:colOff>
          <xdr:row>1014</xdr:row>
          <xdr:rowOff>142875</xdr:rowOff>
        </xdr:to>
        <xdr:sp macro="" textlink="">
          <xdr:nvSpPr>
            <xdr:cNvPr id="3129" name="Object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4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1018</xdr:row>
          <xdr:rowOff>47625</xdr:rowOff>
        </xdr:from>
        <xdr:to>
          <xdr:col>24</xdr:col>
          <xdr:colOff>981075</xdr:colOff>
          <xdr:row>1019</xdr:row>
          <xdr:rowOff>114300</xdr:rowOff>
        </xdr:to>
        <xdr:sp macro="" textlink="">
          <xdr:nvSpPr>
            <xdr:cNvPr id="3131" name="Object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4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1019</xdr:row>
          <xdr:rowOff>123825</xdr:rowOff>
        </xdr:from>
        <xdr:to>
          <xdr:col>20</xdr:col>
          <xdr:colOff>523875</xdr:colOff>
          <xdr:row>1022</xdr:row>
          <xdr:rowOff>47625</xdr:rowOff>
        </xdr:to>
        <xdr:sp macro="" textlink="">
          <xdr:nvSpPr>
            <xdr:cNvPr id="3134" name="Object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4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1018</xdr:row>
          <xdr:rowOff>47625</xdr:rowOff>
        </xdr:from>
        <xdr:to>
          <xdr:col>19</xdr:col>
          <xdr:colOff>161925</xdr:colOff>
          <xdr:row>1019</xdr:row>
          <xdr:rowOff>114300</xdr:rowOff>
        </xdr:to>
        <xdr:sp macro="" textlink="">
          <xdr:nvSpPr>
            <xdr:cNvPr id="3135" name="Object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4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1007</xdr:row>
          <xdr:rowOff>104775</xdr:rowOff>
        </xdr:from>
        <xdr:to>
          <xdr:col>37</xdr:col>
          <xdr:colOff>257175</xdr:colOff>
          <xdr:row>1010</xdr:row>
          <xdr:rowOff>66675</xdr:rowOff>
        </xdr:to>
        <xdr:sp macro="" textlink="">
          <xdr:nvSpPr>
            <xdr:cNvPr id="3141" name="Object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4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1010</xdr:row>
          <xdr:rowOff>76200</xdr:rowOff>
        </xdr:from>
        <xdr:to>
          <xdr:col>35</xdr:col>
          <xdr:colOff>657225</xdr:colOff>
          <xdr:row>1013</xdr:row>
          <xdr:rowOff>38100</xdr:rowOff>
        </xdr:to>
        <xdr:sp macro="" textlink="">
          <xdr:nvSpPr>
            <xdr:cNvPr id="3142" name="Object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4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1035</xdr:row>
          <xdr:rowOff>28575</xdr:rowOff>
        </xdr:from>
        <xdr:to>
          <xdr:col>11</xdr:col>
          <xdr:colOff>504825</xdr:colOff>
          <xdr:row>1038</xdr:row>
          <xdr:rowOff>28575</xdr:rowOff>
        </xdr:to>
        <xdr:sp macro="" textlink="">
          <xdr:nvSpPr>
            <xdr:cNvPr id="3157" name="Object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4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1040</xdr:row>
          <xdr:rowOff>28575</xdr:rowOff>
        </xdr:from>
        <xdr:to>
          <xdr:col>12</xdr:col>
          <xdr:colOff>28575</xdr:colOff>
          <xdr:row>1043</xdr:row>
          <xdr:rowOff>28575</xdr:rowOff>
        </xdr:to>
        <xdr:sp macro="" textlink="">
          <xdr:nvSpPr>
            <xdr:cNvPr id="3158" name="Object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4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1014</xdr:row>
          <xdr:rowOff>104775</xdr:rowOff>
        </xdr:from>
        <xdr:to>
          <xdr:col>20</xdr:col>
          <xdr:colOff>304800</xdr:colOff>
          <xdr:row>1016</xdr:row>
          <xdr:rowOff>9525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4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228600</xdr:colOff>
          <xdr:row>1007</xdr:row>
          <xdr:rowOff>104775</xdr:rowOff>
        </xdr:from>
        <xdr:to>
          <xdr:col>32</xdr:col>
          <xdr:colOff>152400</xdr:colOff>
          <xdr:row>1010</xdr:row>
          <xdr:rowOff>76200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4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1055</xdr:row>
          <xdr:rowOff>28575</xdr:rowOff>
        </xdr:from>
        <xdr:to>
          <xdr:col>12</xdr:col>
          <xdr:colOff>304800</xdr:colOff>
          <xdr:row>1058</xdr:row>
          <xdr:rowOff>47625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4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1060</xdr:row>
          <xdr:rowOff>28575</xdr:rowOff>
        </xdr:from>
        <xdr:to>
          <xdr:col>15</xdr:col>
          <xdr:colOff>47625</xdr:colOff>
          <xdr:row>1063</xdr:row>
          <xdr:rowOff>47625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4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1065</xdr:row>
          <xdr:rowOff>28575</xdr:rowOff>
        </xdr:from>
        <xdr:to>
          <xdr:col>16</xdr:col>
          <xdr:colOff>609600</xdr:colOff>
          <xdr:row>1068</xdr:row>
          <xdr:rowOff>47625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4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1045</xdr:row>
          <xdr:rowOff>28575</xdr:rowOff>
        </xdr:from>
        <xdr:to>
          <xdr:col>16</xdr:col>
          <xdr:colOff>104775</xdr:colOff>
          <xdr:row>1048</xdr:row>
          <xdr:rowOff>28575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4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1050</xdr:row>
          <xdr:rowOff>28575</xdr:rowOff>
        </xdr:from>
        <xdr:to>
          <xdr:col>16</xdr:col>
          <xdr:colOff>352425</xdr:colOff>
          <xdr:row>1053</xdr:row>
          <xdr:rowOff>47625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4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1070</xdr:row>
          <xdr:rowOff>28575</xdr:rowOff>
        </xdr:from>
        <xdr:to>
          <xdr:col>12</xdr:col>
          <xdr:colOff>371475</xdr:colOff>
          <xdr:row>1073</xdr:row>
          <xdr:rowOff>47625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4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1053</xdr:row>
          <xdr:rowOff>28575</xdr:rowOff>
        </xdr:from>
        <xdr:to>
          <xdr:col>32</xdr:col>
          <xdr:colOff>381000</xdr:colOff>
          <xdr:row>1056</xdr:row>
          <xdr:rowOff>28575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4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1022</xdr:row>
          <xdr:rowOff>47625</xdr:rowOff>
        </xdr:from>
        <xdr:to>
          <xdr:col>32</xdr:col>
          <xdr:colOff>238125</xdr:colOff>
          <xdr:row>1024</xdr:row>
          <xdr:rowOff>114300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4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1017</xdr:row>
          <xdr:rowOff>28575</xdr:rowOff>
        </xdr:from>
        <xdr:to>
          <xdr:col>36</xdr:col>
          <xdr:colOff>152400</xdr:colOff>
          <xdr:row>1020</xdr:row>
          <xdr:rowOff>28575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4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1014</xdr:row>
          <xdr:rowOff>0</xdr:rowOff>
        </xdr:from>
        <xdr:to>
          <xdr:col>36</xdr:col>
          <xdr:colOff>638175</xdr:colOff>
          <xdr:row>1017</xdr:row>
          <xdr:rowOff>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4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1020</xdr:row>
          <xdr:rowOff>38100</xdr:rowOff>
        </xdr:from>
        <xdr:to>
          <xdr:col>35</xdr:col>
          <xdr:colOff>123825</xdr:colOff>
          <xdr:row>1023</xdr:row>
          <xdr:rowOff>38100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4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1023</xdr:row>
          <xdr:rowOff>66675</xdr:rowOff>
        </xdr:from>
        <xdr:to>
          <xdr:col>36</xdr:col>
          <xdr:colOff>47625</xdr:colOff>
          <xdr:row>1026</xdr:row>
          <xdr:rowOff>66675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4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1048</xdr:row>
          <xdr:rowOff>28575</xdr:rowOff>
        </xdr:from>
        <xdr:to>
          <xdr:col>34</xdr:col>
          <xdr:colOff>314325</xdr:colOff>
          <xdr:row>1051</xdr:row>
          <xdr:rowOff>76200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4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1079500</xdr:colOff>
      <xdr:row>4</xdr:row>
      <xdr:rowOff>152400</xdr:rowOff>
    </xdr:to>
    <xdr:pic>
      <xdr:nvPicPr>
        <xdr:cNvPr id="2604376" name="Picture 8" descr="logoplasci">
          <a:extLst>
            <a:ext uri="{FF2B5EF4-FFF2-40B4-BE49-F238E27FC236}">
              <a16:creationId xmlns:a16="http://schemas.microsoft.com/office/drawing/2014/main" id="{00000000-0008-0000-0500-000058BD2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65100"/>
          <a:ext cx="107950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482600</xdr:colOff>
      <xdr:row>0</xdr:row>
      <xdr:rowOff>114300</xdr:rowOff>
    </xdr:from>
    <xdr:to>
      <xdr:col>12</xdr:col>
      <xdr:colOff>482600</xdr:colOff>
      <xdr:row>17</xdr:row>
      <xdr:rowOff>25400</xdr:rowOff>
    </xdr:to>
    <xdr:graphicFrame macro="">
      <xdr:nvGraphicFramePr>
        <xdr:cNvPr id="2604377" name="Graphique 2">
          <a:extLst>
            <a:ext uri="{FF2B5EF4-FFF2-40B4-BE49-F238E27FC236}">
              <a16:creationId xmlns:a16="http://schemas.microsoft.com/office/drawing/2014/main" id="{00000000-0008-0000-0500-000059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17</xdr:row>
      <xdr:rowOff>25400</xdr:rowOff>
    </xdr:from>
    <xdr:to>
      <xdr:col>12</xdr:col>
      <xdr:colOff>482600</xdr:colOff>
      <xdr:row>34</xdr:row>
      <xdr:rowOff>25400</xdr:rowOff>
    </xdr:to>
    <xdr:graphicFrame macro="">
      <xdr:nvGraphicFramePr>
        <xdr:cNvPr id="2604378" name="Graphique 2">
          <a:extLst>
            <a:ext uri="{FF2B5EF4-FFF2-40B4-BE49-F238E27FC236}">
              <a16:creationId xmlns:a16="http://schemas.microsoft.com/office/drawing/2014/main" id="{00000000-0008-0000-0500-00005A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17</xdr:row>
      <xdr:rowOff>25400</xdr:rowOff>
    </xdr:from>
    <xdr:to>
      <xdr:col>6</xdr:col>
      <xdr:colOff>482600</xdr:colOff>
      <xdr:row>34</xdr:row>
      <xdr:rowOff>25400</xdr:rowOff>
    </xdr:to>
    <xdr:graphicFrame macro="">
      <xdr:nvGraphicFramePr>
        <xdr:cNvPr id="2604379" name="Graphique 2">
          <a:extLst>
            <a:ext uri="{FF2B5EF4-FFF2-40B4-BE49-F238E27FC236}">
              <a16:creationId xmlns:a16="http://schemas.microsoft.com/office/drawing/2014/main" id="{00000000-0008-0000-0500-00005B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695325</xdr:colOff>
          <xdr:row>9</xdr:row>
          <xdr:rowOff>9525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2604063" name="Spinner 31" hidden="1">
              <a:extLst>
                <a:ext uri="{63B3BB69-23CF-44E3-9099-C40C66FF867C}">
                  <a14:compatExt spid="_x0000_s2604063"/>
                </a:ext>
                <a:ext uri="{FF2B5EF4-FFF2-40B4-BE49-F238E27FC236}">
                  <a16:creationId xmlns:a16="http://schemas.microsoft.com/office/drawing/2014/main" id="{00000000-0008-0000-0500-00001FBC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68</xdr:row>
          <xdr:rowOff>28575</xdr:rowOff>
        </xdr:from>
        <xdr:to>
          <xdr:col>12</xdr:col>
          <xdr:colOff>809625</xdr:colOff>
          <xdr:row>85</xdr:row>
          <xdr:rowOff>9525</xdr:rowOff>
        </xdr:to>
        <xdr:sp macro="" textlink="">
          <xdr:nvSpPr>
            <xdr:cNvPr id="2604101" name="Object 69" hidden="1">
              <a:extLst>
                <a:ext uri="{63B3BB69-23CF-44E3-9099-C40C66FF867C}">
                  <a14:compatExt spid="_x0000_s2604101"/>
                </a:ext>
                <a:ext uri="{FF2B5EF4-FFF2-40B4-BE49-F238E27FC236}">
                  <a16:creationId xmlns:a16="http://schemas.microsoft.com/office/drawing/2014/main" id="{00000000-0008-0000-0500-000045BC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695325</xdr:colOff>
          <xdr:row>10</xdr:row>
          <xdr:rowOff>9525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2604202" name="Spinner 170" hidden="1">
              <a:extLst>
                <a:ext uri="{63B3BB69-23CF-44E3-9099-C40C66FF867C}">
                  <a14:compatExt spid="_x0000_s2604202"/>
                </a:ext>
                <a:ext uri="{FF2B5EF4-FFF2-40B4-BE49-F238E27FC236}">
                  <a16:creationId xmlns:a16="http://schemas.microsoft.com/office/drawing/2014/main" id="{00000000-0008-0000-0500-0000AABC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33</xdr:row>
      <xdr:rowOff>25400</xdr:rowOff>
    </xdr:from>
    <xdr:to>
      <xdr:col>2</xdr:col>
      <xdr:colOff>12700</xdr:colOff>
      <xdr:row>44</xdr:row>
      <xdr:rowOff>25400</xdr:rowOff>
    </xdr:to>
    <xdr:pic>
      <xdr:nvPicPr>
        <xdr:cNvPr id="5956" name="Image 1">
          <a:extLst>
            <a:ext uri="{FF2B5EF4-FFF2-40B4-BE49-F238E27FC236}">
              <a16:creationId xmlns:a16="http://schemas.microsoft.com/office/drawing/2014/main" id="{00000000-0008-0000-0600-000044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473700"/>
          <a:ext cx="1346200" cy="181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1231900</xdr:colOff>
      <xdr:row>52</xdr:row>
      <xdr:rowOff>50800</xdr:rowOff>
    </xdr:from>
    <xdr:to>
      <xdr:col>10</xdr:col>
      <xdr:colOff>660400</xdr:colOff>
      <xdr:row>80</xdr:row>
      <xdr:rowOff>25400</xdr:rowOff>
    </xdr:to>
    <xdr:pic>
      <xdr:nvPicPr>
        <xdr:cNvPr id="5957" name="Image 2">
          <a:extLst>
            <a:ext uri="{FF2B5EF4-FFF2-40B4-BE49-F238E27FC236}">
              <a16:creationId xmlns:a16="http://schemas.microsoft.com/office/drawing/2014/main" id="{00000000-0008-0000-0600-000045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0" y="8636000"/>
          <a:ext cx="7708900" cy="459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1079500</xdr:colOff>
      <xdr:row>4</xdr:row>
      <xdr:rowOff>152400</xdr:rowOff>
    </xdr:to>
    <xdr:pic>
      <xdr:nvPicPr>
        <xdr:cNvPr id="5958" name="Picture 8" descr="logoplasci">
          <a:extLst>
            <a:ext uri="{FF2B5EF4-FFF2-40B4-BE49-F238E27FC236}">
              <a16:creationId xmlns:a16="http://schemas.microsoft.com/office/drawing/2014/main" id="{00000000-0008-0000-0600-000046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65100"/>
          <a:ext cx="1079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80</xdr:row>
      <xdr:rowOff>12700</xdr:rowOff>
    </xdr:from>
    <xdr:to>
      <xdr:col>8</xdr:col>
      <xdr:colOff>0</xdr:colOff>
      <xdr:row>102</xdr:row>
      <xdr:rowOff>101600</xdr:rowOff>
    </xdr:to>
    <xdr:grpSp>
      <xdr:nvGrpSpPr>
        <xdr:cNvPr id="5600684" name="Group 232">
          <a:extLst>
            <a:ext uri="{FF2B5EF4-FFF2-40B4-BE49-F238E27FC236}">
              <a16:creationId xmlns:a16="http://schemas.microsoft.com/office/drawing/2014/main" id="{00000000-0008-0000-0700-0000AC755500}"/>
            </a:ext>
          </a:extLst>
        </xdr:cNvPr>
        <xdr:cNvGrpSpPr>
          <a:grpSpLocks/>
        </xdr:cNvGrpSpPr>
      </xdr:nvGrpSpPr>
      <xdr:grpSpPr bwMode="auto">
        <a:xfrm>
          <a:off x="4171950" y="13214350"/>
          <a:ext cx="2152650" cy="3746500"/>
          <a:chOff x="3421" y="5379"/>
          <a:chExt cx="2289" cy="5759"/>
        </a:xfrm>
      </xdr:grpSpPr>
      <xdr:grpSp>
        <xdr:nvGrpSpPr>
          <xdr:cNvPr id="5600788" name="Group 233">
            <a:extLst>
              <a:ext uri="{FF2B5EF4-FFF2-40B4-BE49-F238E27FC236}">
                <a16:creationId xmlns:a16="http://schemas.microsoft.com/office/drawing/2014/main" id="{00000000-0008-0000-0700-000014765500}"/>
              </a:ext>
            </a:extLst>
          </xdr:cNvPr>
          <xdr:cNvGrpSpPr>
            <a:grpSpLocks/>
          </xdr:cNvGrpSpPr>
        </xdr:nvGrpSpPr>
        <xdr:grpSpPr bwMode="auto">
          <a:xfrm>
            <a:off x="4047" y="5379"/>
            <a:ext cx="515" cy="4096"/>
            <a:chOff x="4047" y="5379"/>
            <a:chExt cx="515" cy="4096"/>
          </a:xfrm>
        </xdr:grpSpPr>
        <xdr:sp macro="" textlink="">
          <xdr:nvSpPr>
            <xdr:cNvPr id="5600806" name="Arc 234">
              <a:extLst>
                <a:ext uri="{FF2B5EF4-FFF2-40B4-BE49-F238E27FC236}">
                  <a16:creationId xmlns:a16="http://schemas.microsoft.com/office/drawing/2014/main" id="{00000000-0008-0000-0700-0000267655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5600807" name="Group 235">
              <a:extLst>
                <a:ext uri="{FF2B5EF4-FFF2-40B4-BE49-F238E27FC236}">
                  <a16:creationId xmlns:a16="http://schemas.microsoft.com/office/drawing/2014/main" id="{00000000-0008-0000-0700-0000277655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600808" name="Line 236">
                <a:extLst>
                  <a:ext uri="{FF2B5EF4-FFF2-40B4-BE49-F238E27FC236}">
                    <a16:creationId xmlns:a16="http://schemas.microsoft.com/office/drawing/2014/main" id="{00000000-0008-0000-0700-000028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09" name="Line 237">
                <a:extLst>
                  <a:ext uri="{FF2B5EF4-FFF2-40B4-BE49-F238E27FC236}">
                    <a16:creationId xmlns:a16="http://schemas.microsoft.com/office/drawing/2014/main" id="{00000000-0008-0000-0700-000029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10" name="Line 238">
                <a:extLst>
                  <a:ext uri="{FF2B5EF4-FFF2-40B4-BE49-F238E27FC236}">
                    <a16:creationId xmlns:a16="http://schemas.microsoft.com/office/drawing/2014/main" id="{00000000-0008-0000-0700-00002A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11" name="Line 239">
                <a:extLst>
                  <a:ext uri="{FF2B5EF4-FFF2-40B4-BE49-F238E27FC236}">
                    <a16:creationId xmlns:a16="http://schemas.microsoft.com/office/drawing/2014/main" id="{00000000-0008-0000-0700-00002B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12" name="Line 240">
                <a:extLst>
                  <a:ext uri="{FF2B5EF4-FFF2-40B4-BE49-F238E27FC236}">
                    <a16:creationId xmlns:a16="http://schemas.microsoft.com/office/drawing/2014/main" id="{00000000-0008-0000-0700-00002C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grpSp>
        <xdr:nvGrpSpPr>
          <xdr:cNvPr id="5600789" name="Group 241">
            <a:extLst>
              <a:ext uri="{FF2B5EF4-FFF2-40B4-BE49-F238E27FC236}">
                <a16:creationId xmlns:a16="http://schemas.microsoft.com/office/drawing/2014/main" id="{00000000-0008-0000-0700-000015765500}"/>
              </a:ext>
            </a:extLst>
          </xdr:cNvPr>
          <xdr:cNvGrpSpPr>
            <a:grpSpLocks/>
          </xdr:cNvGrpSpPr>
        </xdr:nvGrpSpPr>
        <xdr:grpSpPr bwMode="auto">
          <a:xfrm flipH="1">
            <a:off x="4560" y="5379"/>
            <a:ext cx="515" cy="4096"/>
            <a:chOff x="4047" y="5379"/>
            <a:chExt cx="515" cy="4096"/>
          </a:xfrm>
        </xdr:grpSpPr>
        <xdr:sp macro="" textlink="">
          <xdr:nvSpPr>
            <xdr:cNvPr id="5600799" name="Arc 242">
              <a:extLst>
                <a:ext uri="{FF2B5EF4-FFF2-40B4-BE49-F238E27FC236}">
                  <a16:creationId xmlns:a16="http://schemas.microsoft.com/office/drawing/2014/main" id="{00000000-0008-0000-0700-00001F7655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5600800" name="Group 243">
              <a:extLst>
                <a:ext uri="{FF2B5EF4-FFF2-40B4-BE49-F238E27FC236}">
                  <a16:creationId xmlns:a16="http://schemas.microsoft.com/office/drawing/2014/main" id="{00000000-0008-0000-0700-0000207655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600801" name="Line 244">
                <a:extLst>
                  <a:ext uri="{FF2B5EF4-FFF2-40B4-BE49-F238E27FC236}">
                    <a16:creationId xmlns:a16="http://schemas.microsoft.com/office/drawing/2014/main" id="{00000000-0008-0000-0700-000021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02" name="Line 245">
                <a:extLst>
                  <a:ext uri="{FF2B5EF4-FFF2-40B4-BE49-F238E27FC236}">
                    <a16:creationId xmlns:a16="http://schemas.microsoft.com/office/drawing/2014/main" id="{00000000-0008-0000-0700-000022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03" name="Line 246">
                <a:extLst>
                  <a:ext uri="{FF2B5EF4-FFF2-40B4-BE49-F238E27FC236}">
                    <a16:creationId xmlns:a16="http://schemas.microsoft.com/office/drawing/2014/main" id="{00000000-0008-0000-0700-000023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04" name="Line 247">
                <a:extLst>
                  <a:ext uri="{FF2B5EF4-FFF2-40B4-BE49-F238E27FC236}">
                    <a16:creationId xmlns:a16="http://schemas.microsoft.com/office/drawing/2014/main" id="{00000000-0008-0000-0700-000024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05" name="Line 248">
                <a:extLst>
                  <a:ext uri="{FF2B5EF4-FFF2-40B4-BE49-F238E27FC236}">
                    <a16:creationId xmlns:a16="http://schemas.microsoft.com/office/drawing/2014/main" id="{00000000-0008-0000-0700-000025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5600790" name="Line 249">
            <a:extLst>
              <a:ext uri="{FF2B5EF4-FFF2-40B4-BE49-F238E27FC236}">
                <a16:creationId xmlns:a16="http://schemas.microsoft.com/office/drawing/2014/main" id="{00000000-0008-0000-0700-000016765500}"/>
              </a:ext>
            </a:extLst>
          </xdr:cNvPr>
          <xdr:cNvSpPr>
            <a:spLocks noChangeShapeType="1"/>
          </xdr:cNvSpPr>
        </xdr:nvSpPr>
        <xdr:spPr bwMode="auto">
          <a:xfrm>
            <a:off x="4332" y="9310"/>
            <a:ext cx="2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1" name="Line 250">
            <a:extLst>
              <a:ext uri="{FF2B5EF4-FFF2-40B4-BE49-F238E27FC236}">
                <a16:creationId xmlns:a16="http://schemas.microsoft.com/office/drawing/2014/main" id="{00000000-0008-0000-0700-000017765500}"/>
              </a:ext>
            </a:extLst>
          </xdr:cNvPr>
          <xdr:cNvSpPr>
            <a:spLocks noChangeShapeType="1"/>
          </xdr:cNvSpPr>
        </xdr:nvSpPr>
        <xdr:spPr bwMode="auto">
          <a:xfrm>
            <a:off x="4790" y="9310"/>
            <a:ext cx="0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2" name="Line 251">
            <a:extLst>
              <a:ext uri="{FF2B5EF4-FFF2-40B4-BE49-F238E27FC236}">
                <a16:creationId xmlns:a16="http://schemas.microsoft.com/office/drawing/2014/main" id="{00000000-0008-0000-0700-000018765500}"/>
              </a:ext>
            </a:extLst>
          </xdr:cNvPr>
          <xdr:cNvSpPr>
            <a:spLocks noChangeShapeType="1"/>
          </xdr:cNvSpPr>
        </xdr:nvSpPr>
        <xdr:spPr bwMode="auto">
          <a:xfrm>
            <a:off x="4330" y="10629"/>
            <a:ext cx="458" cy="0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3" name="Line 252">
            <a:extLst>
              <a:ext uri="{FF2B5EF4-FFF2-40B4-BE49-F238E27FC236}">
                <a16:creationId xmlns:a16="http://schemas.microsoft.com/office/drawing/2014/main" id="{00000000-0008-0000-0700-0000197655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709" y="10163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4" name="Line 253">
            <a:extLst>
              <a:ext uri="{FF2B5EF4-FFF2-40B4-BE49-F238E27FC236}">
                <a16:creationId xmlns:a16="http://schemas.microsoft.com/office/drawing/2014/main" id="{00000000-0008-0000-0700-00001A765500}"/>
              </a:ext>
            </a:extLst>
          </xdr:cNvPr>
          <xdr:cNvSpPr>
            <a:spLocks noChangeShapeType="1"/>
          </xdr:cNvSpPr>
        </xdr:nvSpPr>
        <xdr:spPr bwMode="auto">
          <a:xfrm>
            <a:off x="4796" y="10419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5" name="Line 254">
            <a:extLst>
              <a:ext uri="{FF2B5EF4-FFF2-40B4-BE49-F238E27FC236}">
                <a16:creationId xmlns:a16="http://schemas.microsoft.com/office/drawing/2014/main" id="{00000000-0008-0000-0700-00001B7655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804" y="8797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6" name="Line 255">
            <a:extLst>
              <a:ext uri="{FF2B5EF4-FFF2-40B4-BE49-F238E27FC236}">
                <a16:creationId xmlns:a16="http://schemas.microsoft.com/office/drawing/2014/main" id="{00000000-0008-0000-0700-00001C7655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421" y="10178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7" name="Line 256">
            <a:extLst>
              <a:ext uri="{FF2B5EF4-FFF2-40B4-BE49-F238E27FC236}">
                <a16:creationId xmlns:a16="http://schemas.microsoft.com/office/drawing/2014/main" id="{00000000-0008-0000-0700-00001D7655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421" y="10426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8" name="Line 257">
            <a:extLst>
              <a:ext uri="{FF2B5EF4-FFF2-40B4-BE49-F238E27FC236}">
                <a16:creationId xmlns:a16="http://schemas.microsoft.com/office/drawing/2014/main" id="{00000000-0008-0000-0700-00001E7655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429" y="8804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901700</xdr:colOff>
      <xdr:row>84</xdr:row>
      <xdr:rowOff>101600</xdr:rowOff>
    </xdr:from>
    <xdr:to>
      <xdr:col>6</xdr:col>
      <xdr:colOff>1689100</xdr:colOff>
      <xdr:row>84</xdr:row>
      <xdr:rowOff>101600</xdr:rowOff>
    </xdr:to>
    <xdr:sp macro="" textlink="">
      <xdr:nvSpPr>
        <xdr:cNvPr id="5600685" name="Line 268">
          <a:extLst>
            <a:ext uri="{FF2B5EF4-FFF2-40B4-BE49-F238E27FC236}">
              <a16:creationId xmlns:a16="http://schemas.microsoft.com/office/drawing/2014/main" id="{00000000-0008-0000-0700-0000AD755500}"/>
            </a:ext>
          </a:extLst>
        </xdr:cNvPr>
        <xdr:cNvSpPr>
          <a:spLocks noChangeShapeType="1"/>
        </xdr:cNvSpPr>
      </xdr:nvSpPr>
      <xdr:spPr bwMode="auto">
        <a:xfrm flipV="1">
          <a:off x="5575300" y="14249400"/>
          <a:ext cx="78740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165100</xdr:colOff>
      <xdr:row>80</xdr:row>
      <xdr:rowOff>0</xdr:rowOff>
    </xdr:from>
    <xdr:to>
      <xdr:col>8</xdr:col>
      <xdr:colOff>711200</xdr:colOff>
      <xdr:row>80</xdr:row>
      <xdr:rowOff>0</xdr:rowOff>
    </xdr:to>
    <xdr:sp macro="" textlink="">
      <xdr:nvSpPr>
        <xdr:cNvPr id="5600686" name="Line 269">
          <a:extLst>
            <a:ext uri="{FF2B5EF4-FFF2-40B4-BE49-F238E27FC236}">
              <a16:creationId xmlns:a16="http://schemas.microsoft.com/office/drawing/2014/main" id="{00000000-0008-0000-0700-0000AE755500}"/>
            </a:ext>
          </a:extLst>
        </xdr:cNvPr>
        <xdr:cNvSpPr>
          <a:spLocks noChangeShapeType="1"/>
        </xdr:cNvSpPr>
      </xdr:nvSpPr>
      <xdr:spPr bwMode="auto">
        <a:xfrm flipV="1">
          <a:off x="4838700" y="13449300"/>
          <a:ext cx="28829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241300</xdr:colOff>
      <xdr:row>80</xdr:row>
      <xdr:rowOff>12700</xdr:rowOff>
    </xdr:from>
    <xdr:to>
      <xdr:col>8</xdr:col>
      <xdr:colOff>241300</xdr:colOff>
      <xdr:row>93</xdr:row>
      <xdr:rowOff>88900</xdr:rowOff>
    </xdr:to>
    <xdr:sp macro="" textlink="">
      <xdr:nvSpPr>
        <xdr:cNvPr id="5600687" name="Line 270">
          <a:extLst>
            <a:ext uri="{FF2B5EF4-FFF2-40B4-BE49-F238E27FC236}">
              <a16:creationId xmlns:a16="http://schemas.microsoft.com/office/drawing/2014/main" id="{00000000-0008-0000-0700-0000AF755500}"/>
            </a:ext>
          </a:extLst>
        </xdr:cNvPr>
        <xdr:cNvSpPr>
          <a:spLocks noChangeShapeType="1"/>
        </xdr:cNvSpPr>
      </xdr:nvSpPr>
      <xdr:spPr bwMode="auto">
        <a:xfrm>
          <a:off x="7454900" y="13462000"/>
          <a:ext cx="0" cy="22987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152400</xdr:colOff>
      <xdr:row>83</xdr:row>
      <xdr:rowOff>50800</xdr:rowOff>
    </xdr:from>
    <xdr:to>
      <xdr:col>6</xdr:col>
      <xdr:colOff>914400</xdr:colOff>
      <xdr:row>83</xdr:row>
      <xdr:rowOff>50800</xdr:rowOff>
    </xdr:to>
    <xdr:sp macro="" textlink="">
      <xdr:nvSpPr>
        <xdr:cNvPr id="5600688" name="Line 271">
          <a:extLst>
            <a:ext uri="{FF2B5EF4-FFF2-40B4-BE49-F238E27FC236}">
              <a16:creationId xmlns:a16="http://schemas.microsoft.com/office/drawing/2014/main" id="{00000000-0008-0000-0700-0000B0755500}"/>
            </a:ext>
          </a:extLst>
        </xdr:cNvPr>
        <xdr:cNvSpPr>
          <a:spLocks noChangeShapeType="1"/>
        </xdr:cNvSpPr>
      </xdr:nvSpPr>
      <xdr:spPr bwMode="auto">
        <a:xfrm>
          <a:off x="4826000" y="14020800"/>
          <a:ext cx="762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165100</xdr:colOff>
      <xdr:row>80</xdr:row>
      <xdr:rowOff>0</xdr:rowOff>
    </xdr:from>
    <xdr:to>
      <xdr:col>6</xdr:col>
      <xdr:colOff>165100</xdr:colOff>
      <xdr:row>83</xdr:row>
      <xdr:rowOff>50800</xdr:rowOff>
    </xdr:to>
    <xdr:sp macro="" textlink="">
      <xdr:nvSpPr>
        <xdr:cNvPr id="5600689" name="Line 272">
          <a:extLst>
            <a:ext uri="{FF2B5EF4-FFF2-40B4-BE49-F238E27FC236}">
              <a16:creationId xmlns:a16="http://schemas.microsoft.com/office/drawing/2014/main" id="{00000000-0008-0000-0700-0000B1755500}"/>
            </a:ext>
          </a:extLst>
        </xdr:cNvPr>
        <xdr:cNvSpPr>
          <a:spLocks noChangeShapeType="1"/>
        </xdr:cNvSpPr>
      </xdr:nvSpPr>
      <xdr:spPr bwMode="auto">
        <a:xfrm>
          <a:off x="4838700" y="13449300"/>
          <a:ext cx="0" cy="5715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850900</xdr:colOff>
      <xdr:row>102</xdr:row>
      <xdr:rowOff>101600</xdr:rowOff>
    </xdr:from>
    <xdr:to>
      <xdr:col>8</xdr:col>
      <xdr:colOff>596900</xdr:colOff>
      <xdr:row>102</xdr:row>
      <xdr:rowOff>101600</xdr:rowOff>
    </xdr:to>
    <xdr:sp macro="" textlink="">
      <xdr:nvSpPr>
        <xdr:cNvPr id="5600690" name="Line 277">
          <a:extLst>
            <a:ext uri="{FF2B5EF4-FFF2-40B4-BE49-F238E27FC236}">
              <a16:creationId xmlns:a16="http://schemas.microsoft.com/office/drawing/2014/main" id="{00000000-0008-0000-0700-0000B2755500}"/>
            </a:ext>
          </a:extLst>
        </xdr:cNvPr>
        <xdr:cNvSpPr>
          <a:spLocks noChangeShapeType="1"/>
        </xdr:cNvSpPr>
      </xdr:nvSpPr>
      <xdr:spPr bwMode="auto">
        <a:xfrm>
          <a:off x="7213600" y="17310100"/>
          <a:ext cx="508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98</xdr:row>
      <xdr:rowOff>139700</xdr:rowOff>
    </xdr:from>
    <xdr:to>
      <xdr:col>8</xdr:col>
      <xdr:colOff>508000</xdr:colOff>
      <xdr:row>98</xdr:row>
      <xdr:rowOff>139700</xdr:rowOff>
    </xdr:to>
    <xdr:sp macro="" textlink="">
      <xdr:nvSpPr>
        <xdr:cNvPr id="5600691" name="Line 278">
          <a:extLst>
            <a:ext uri="{FF2B5EF4-FFF2-40B4-BE49-F238E27FC236}">
              <a16:creationId xmlns:a16="http://schemas.microsoft.com/office/drawing/2014/main" id="{00000000-0008-0000-0700-0000B3755500}"/>
            </a:ext>
          </a:extLst>
        </xdr:cNvPr>
        <xdr:cNvSpPr>
          <a:spLocks noChangeShapeType="1"/>
        </xdr:cNvSpPr>
      </xdr:nvSpPr>
      <xdr:spPr bwMode="auto">
        <a:xfrm>
          <a:off x="7226300" y="16662400"/>
          <a:ext cx="4953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520700</xdr:colOff>
      <xdr:row>93</xdr:row>
      <xdr:rowOff>76200</xdr:rowOff>
    </xdr:from>
    <xdr:to>
      <xdr:col>8</xdr:col>
      <xdr:colOff>596900</xdr:colOff>
      <xdr:row>93</xdr:row>
      <xdr:rowOff>76200</xdr:rowOff>
    </xdr:to>
    <xdr:sp macro="" textlink="">
      <xdr:nvSpPr>
        <xdr:cNvPr id="5600692" name="Line 279">
          <a:extLst>
            <a:ext uri="{FF2B5EF4-FFF2-40B4-BE49-F238E27FC236}">
              <a16:creationId xmlns:a16="http://schemas.microsoft.com/office/drawing/2014/main" id="{00000000-0008-0000-0700-0000B4755500}"/>
            </a:ext>
          </a:extLst>
        </xdr:cNvPr>
        <xdr:cNvSpPr>
          <a:spLocks noChangeShapeType="1"/>
        </xdr:cNvSpPr>
      </xdr:nvSpPr>
      <xdr:spPr bwMode="auto">
        <a:xfrm flipV="1">
          <a:off x="5194300" y="15748000"/>
          <a:ext cx="25273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520700</xdr:colOff>
      <xdr:row>99</xdr:row>
      <xdr:rowOff>152400</xdr:rowOff>
    </xdr:from>
    <xdr:to>
      <xdr:col>6</xdr:col>
      <xdr:colOff>1562100</xdr:colOff>
      <xdr:row>99</xdr:row>
      <xdr:rowOff>152400</xdr:rowOff>
    </xdr:to>
    <xdr:sp macro="" textlink="">
      <xdr:nvSpPr>
        <xdr:cNvPr id="5600693" name="Line 280">
          <a:extLst>
            <a:ext uri="{FF2B5EF4-FFF2-40B4-BE49-F238E27FC236}">
              <a16:creationId xmlns:a16="http://schemas.microsoft.com/office/drawing/2014/main" id="{00000000-0008-0000-0700-0000B5755500}"/>
            </a:ext>
          </a:extLst>
        </xdr:cNvPr>
        <xdr:cNvSpPr>
          <a:spLocks noChangeShapeType="1"/>
        </xdr:cNvSpPr>
      </xdr:nvSpPr>
      <xdr:spPr bwMode="auto">
        <a:xfrm flipV="1">
          <a:off x="5194300" y="16840200"/>
          <a:ext cx="10414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520700</xdr:colOff>
      <xdr:row>93</xdr:row>
      <xdr:rowOff>76200</xdr:rowOff>
    </xdr:from>
    <xdr:to>
      <xdr:col>6</xdr:col>
      <xdr:colOff>520700</xdr:colOff>
      <xdr:row>100</xdr:row>
      <xdr:rowOff>0</xdr:rowOff>
    </xdr:to>
    <xdr:sp macro="" textlink="">
      <xdr:nvSpPr>
        <xdr:cNvPr id="5600694" name="Line 281">
          <a:extLst>
            <a:ext uri="{FF2B5EF4-FFF2-40B4-BE49-F238E27FC236}">
              <a16:creationId xmlns:a16="http://schemas.microsoft.com/office/drawing/2014/main" id="{00000000-0008-0000-0700-0000B6755500}"/>
            </a:ext>
          </a:extLst>
        </xdr:cNvPr>
        <xdr:cNvSpPr>
          <a:spLocks noChangeShapeType="1"/>
        </xdr:cNvSpPr>
      </xdr:nvSpPr>
      <xdr:spPr bwMode="auto">
        <a:xfrm>
          <a:off x="5194300" y="15748000"/>
          <a:ext cx="0" cy="11176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98</xdr:row>
      <xdr:rowOff>139700</xdr:rowOff>
    </xdr:from>
    <xdr:to>
      <xdr:col>8</xdr:col>
      <xdr:colOff>533400</xdr:colOff>
      <xdr:row>102</xdr:row>
      <xdr:rowOff>101600</xdr:rowOff>
    </xdr:to>
    <xdr:sp macro="" textlink="">
      <xdr:nvSpPr>
        <xdr:cNvPr id="5600695" name="Line 282">
          <a:extLst>
            <a:ext uri="{FF2B5EF4-FFF2-40B4-BE49-F238E27FC236}">
              <a16:creationId xmlns:a16="http://schemas.microsoft.com/office/drawing/2014/main" id="{00000000-0008-0000-0700-0000B7755500}"/>
            </a:ext>
          </a:extLst>
        </xdr:cNvPr>
        <xdr:cNvSpPr>
          <a:spLocks noChangeShapeType="1"/>
        </xdr:cNvSpPr>
      </xdr:nvSpPr>
      <xdr:spPr bwMode="auto">
        <a:xfrm>
          <a:off x="7721600" y="16662400"/>
          <a:ext cx="0" cy="6477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93</xdr:row>
      <xdr:rowOff>63500</xdr:rowOff>
    </xdr:from>
    <xdr:to>
      <xdr:col>8</xdr:col>
      <xdr:colOff>533400</xdr:colOff>
      <xdr:row>98</xdr:row>
      <xdr:rowOff>139700</xdr:rowOff>
    </xdr:to>
    <xdr:sp macro="" textlink="">
      <xdr:nvSpPr>
        <xdr:cNvPr id="5600696" name="Line 283">
          <a:extLst>
            <a:ext uri="{FF2B5EF4-FFF2-40B4-BE49-F238E27FC236}">
              <a16:creationId xmlns:a16="http://schemas.microsoft.com/office/drawing/2014/main" id="{00000000-0008-0000-0700-0000B8755500}"/>
            </a:ext>
          </a:extLst>
        </xdr:cNvPr>
        <xdr:cNvSpPr>
          <a:spLocks noChangeShapeType="1"/>
        </xdr:cNvSpPr>
      </xdr:nvSpPr>
      <xdr:spPr bwMode="auto">
        <a:xfrm>
          <a:off x="7721600" y="15735300"/>
          <a:ext cx="0" cy="9271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102</xdr:row>
      <xdr:rowOff>101600</xdr:rowOff>
    </xdr:from>
    <xdr:to>
      <xdr:col>8</xdr:col>
      <xdr:colOff>0</xdr:colOff>
      <xdr:row>103</xdr:row>
      <xdr:rowOff>0</xdr:rowOff>
    </xdr:to>
    <xdr:sp macro="" textlink="">
      <xdr:nvSpPr>
        <xdr:cNvPr id="5600697" name="Line 284">
          <a:extLst>
            <a:ext uri="{FF2B5EF4-FFF2-40B4-BE49-F238E27FC236}">
              <a16:creationId xmlns:a16="http://schemas.microsoft.com/office/drawing/2014/main" id="{00000000-0008-0000-0700-0000B9755500}"/>
            </a:ext>
          </a:extLst>
        </xdr:cNvPr>
        <xdr:cNvSpPr>
          <a:spLocks noChangeShapeType="1"/>
        </xdr:cNvSpPr>
      </xdr:nvSpPr>
      <xdr:spPr bwMode="auto">
        <a:xfrm flipV="1">
          <a:off x="7213600" y="17310100"/>
          <a:ext cx="0" cy="635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1562100</xdr:colOff>
      <xdr:row>99</xdr:row>
      <xdr:rowOff>139700</xdr:rowOff>
    </xdr:from>
    <xdr:to>
      <xdr:col>6</xdr:col>
      <xdr:colOff>1562100</xdr:colOff>
      <xdr:row>103</xdr:row>
      <xdr:rowOff>0</xdr:rowOff>
    </xdr:to>
    <xdr:sp macro="" textlink="">
      <xdr:nvSpPr>
        <xdr:cNvPr id="5600698" name="Line 285">
          <a:extLst>
            <a:ext uri="{FF2B5EF4-FFF2-40B4-BE49-F238E27FC236}">
              <a16:creationId xmlns:a16="http://schemas.microsoft.com/office/drawing/2014/main" id="{00000000-0008-0000-0700-0000BA755500}"/>
            </a:ext>
          </a:extLst>
        </xdr:cNvPr>
        <xdr:cNvSpPr>
          <a:spLocks noChangeShapeType="1"/>
        </xdr:cNvSpPr>
      </xdr:nvSpPr>
      <xdr:spPr bwMode="auto">
        <a:xfrm flipH="1" flipV="1">
          <a:off x="6235700" y="16827500"/>
          <a:ext cx="0" cy="5461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1549400</xdr:colOff>
      <xdr:row>103</xdr:row>
      <xdr:rowOff>0</xdr:rowOff>
    </xdr:from>
    <xdr:to>
      <xdr:col>8</xdr:col>
      <xdr:colOff>0</xdr:colOff>
      <xdr:row>103</xdr:row>
      <xdr:rowOff>0</xdr:rowOff>
    </xdr:to>
    <xdr:sp macro="" textlink="">
      <xdr:nvSpPr>
        <xdr:cNvPr id="5600699" name="Line 286">
          <a:extLst>
            <a:ext uri="{FF2B5EF4-FFF2-40B4-BE49-F238E27FC236}">
              <a16:creationId xmlns:a16="http://schemas.microsoft.com/office/drawing/2014/main" id="{00000000-0008-0000-0700-0000BB755500}"/>
            </a:ext>
          </a:extLst>
        </xdr:cNvPr>
        <xdr:cNvSpPr>
          <a:spLocks noChangeShapeType="1"/>
        </xdr:cNvSpPr>
      </xdr:nvSpPr>
      <xdr:spPr bwMode="auto">
        <a:xfrm>
          <a:off x="6223000" y="17373600"/>
          <a:ext cx="99060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749300</xdr:colOff>
      <xdr:row>89</xdr:row>
      <xdr:rowOff>76200</xdr:rowOff>
    </xdr:from>
    <xdr:to>
      <xdr:col>6</xdr:col>
      <xdr:colOff>1854200</xdr:colOff>
      <xdr:row>89</xdr:row>
      <xdr:rowOff>76200</xdr:rowOff>
    </xdr:to>
    <xdr:sp macro="" textlink="">
      <xdr:nvSpPr>
        <xdr:cNvPr id="5600700" name="Line 287">
          <a:extLst>
            <a:ext uri="{FF2B5EF4-FFF2-40B4-BE49-F238E27FC236}">
              <a16:creationId xmlns:a16="http://schemas.microsoft.com/office/drawing/2014/main" id="{00000000-0008-0000-0700-0000BC755500}"/>
            </a:ext>
          </a:extLst>
        </xdr:cNvPr>
        <xdr:cNvSpPr>
          <a:spLocks noChangeShapeType="1"/>
        </xdr:cNvSpPr>
      </xdr:nvSpPr>
      <xdr:spPr bwMode="auto">
        <a:xfrm>
          <a:off x="5422900" y="15074900"/>
          <a:ext cx="110490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1079500</xdr:colOff>
      <xdr:row>93</xdr:row>
      <xdr:rowOff>25400</xdr:rowOff>
    </xdr:from>
    <xdr:to>
      <xdr:col>6</xdr:col>
      <xdr:colOff>1524000</xdr:colOff>
      <xdr:row>93</xdr:row>
      <xdr:rowOff>25400</xdr:rowOff>
    </xdr:to>
    <xdr:sp macro="" textlink="">
      <xdr:nvSpPr>
        <xdr:cNvPr id="5600701" name="Line 288">
          <a:extLst>
            <a:ext uri="{FF2B5EF4-FFF2-40B4-BE49-F238E27FC236}">
              <a16:creationId xmlns:a16="http://schemas.microsoft.com/office/drawing/2014/main" id="{00000000-0008-0000-0700-0000BD755500}"/>
            </a:ext>
          </a:extLst>
        </xdr:cNvPr>
        <xdr:cNvSpPr>
          <a:spLocks noChangeShapeType="1"/>
        </xdr:cNvSpPr>
      </xdr:nvSpPr>
      <xdr:spPr bwMode="auto">
        <a:xfrm>
          <a:off x="5753100" y="15697200"/>
          <a:ext cx="44450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927100</xdr:colOff>
      <xdr:row>87</xdr:row>
      <xdr:rowOff>63500</xdr:rowOff>
    </xdr:from>
    <xdr:to>
      <xdr:col>8</xdr:col>
      <xdr:colOff>50800</xdr:colOff>
      <xdr:row>87</xdr:row>
      <xdr:rowOff>63500</xdr:rowOff>
    </xdr:to>
    <xdr:sp macro="" textlink="">
      <xdr:nvSpPr>
        <xdr:cNvPr id="5600702" name="Line 289">
          <a:extLst>
            <a:ext uri="{FF2B5EF4-FFF2-40B4-BE49-F238E27FC236}">
              <a16:creationId xmlns:a16="http://schemas.microsoft.com/office/drawing/2014/main" id="{00000000-0008-0000-0700-0000BE755500}"/>
            </a:ext>
          </a:extLst>
        </xdr:cNvPr>
        <xdr:cNvSpPr>
          <a:spLocks noChangeShapeType="1"/>
        </xdr:cNvSpPr>
      </xdr:nvSpPr>
      <xdr:spPr bwMode="auto">
        <a:xfrm>
          <a:off x="5600700" y="14719300"/>
          <a:ext cx="16637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762000</xdr:colOff>
      <xdr:row>88</xdr:row>
      <xdr:rowOff>63500</xdr:rowOff>
    </xdr:from>
    <xdr:to>
      <xdr:col>8</xdr:col>
      <xdr:colOff>63500</xdr:colOff>
      <xdr:row>88</xdr:row>
      <xdr:rowOff>63500</xdr:rowOff>
    </xdr:to>
    <xdr:sp macro="" textlink="">
      <xdr:nvSpPr>
        <xdr:cNvPr id="5600703" name="Line 290">
          <a:extLst>
            <a:ext uri="{FF2B5EF4-FFF2-40B4-BE49-F238E27FC236}">
              <a16:creationId xmlns:a16="http://schemas.microsoft.com/office/drawing/2014/main" id="{00000000-0008-0000-0700-0000BF755500}"/>
            </a:ext>
          </a:extLst>
        </xdr:cNvPr>
        <xdr:cNvSpPr>
          <a:spLocks noChangeShapeType="1"/>
        </xdr:cNvSpPr>
      </xdr:nvSpPr>
      <xdr:spPr bwMode="auto">
        <a:xfrm>
          <a:off x="5435600" y="14884400"/>
          <a:ext cx="18415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762000</xdr:colOff>
      <xdr:row>90</xdr:row>
      <xdr:rowOff>139700</xdr:rowOff>
    </xdr:from>
    <xdr:to>
      <xdr:col>8</xdr:col>
      <xdr:colOff>76200</xdr:colOff>
      <xdr:row>90</xdr:row>
      <xdr:rowOff>139700</xdr:rowOff>
    </xdr:to>
    <xdr:sp macro="" textlink="">
      <xdr:nvSpPr>
        <xdr:cNvPr id="5600704" name="Line 291">
          <a:extLst>
            <a:ext uri="{FF2B5EF4-FFF2-40B4-BE49-F238E27FC236}">
              <a16:creationId xmlns:a16="http://schemas.microsoft.com/office/drawing/2014/main" id="{00000000-0008-0000-0700-0000C0755500}"/>
            </a:ext>
          </a:extLst>
        </xdr:cNvPr>
        <xdr:cNvSpPr>
          <a:spLocks noChangeShapeType="1"/>
        </xdr:cNvSpPr>
      </xdr:nvSpPr>
      <xdr:spPr bwMode="auto">
        <a:xfrm>
          <a:off x="5435600" y="15316200"/>
          <a:ext cx="18542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1066800</xdr:colOff>
      <xdr:row>92</xdr:row>
      <xdr:rowOff>50800</xdr:rowOff>
    </xdr:from>
    <xdr:to>
      <xdr:col>8</xdr:col>
      <xdr:colOff>50800</xdr:colOff>
      <xdr:row>92</xdr:row>
      <xdr:rowOff>50800</xdr:rowOff>
    </xdr:to>
    <xdr:sp macro="" textlink="">
      <xdr:nvSpPr>
        <xdr:cNvPr id="5600705" name="Line 292">
          <a:extLst>
            <a:ext uri="{FF2B5EF4-FFF2-40B4-BE49-F238E27FC236}">
              <a16:creationId xmlns:a16="http://schemas.microsoft.com/office/drawing/2014/main" id="{00000000-0008-0000-0700-0000C1755500}"/>
            </a:ext>
          </a:extLst>
        </xdr:cNvPr>
        <xdr:cNvSpPr>
          <a:spLocks noChangeShapeType="1"/>
        </xdr:cNvSpPr>
      </xdr:nvSpPr>
      <xdr:spPr bwMode="auto">
        <a:xfrm>
          <a:off x="5740400" y="15557500"/>
          <a:ext cx="15240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1955800</xdr:colOff>
      <xdr:row>80</xdr:row>
      <xdr:rowOff>0</xdr:rowOff>
    </xdr:from>
    <xdr:to>
      <xdr:col>6</xdr:col>
      <xdr:colOff>1955800</xdr:colOff>
      <xdr:row>87</xdr:row>
      <xdr:rowOff>63500</xdr:rowOff>
    </xdr:to>
    <xdr:sp macro="" textlink="">
      <xdr:nvSpPr>
        <xdr:cNvPr id="5600706" name="Line 293">
          <a:extLst>
            <a:ext uri="{FF2B5EF4-FFF2-40B4-BE49-F238E27FC236}">
              <a16:creationId xmlns:a16="http://schemas.microsoft.com/office/drawing/2014/main" id="{00000000-0008-0000-0700-0000C2755500}"/>
            </a:ext>
          </a:extLst>
        </xdr:cNvPr>
        <xdr:cNvSpPr>
          <a:spLocks noChangeShapeType="1"/>
        </xdr:cNvSpPr>
      </xdr:nvSpPr>
      <xdr:spPr bwMode="auto">
        <a:xfrm>
          <a:off x="6629400" y="13449300"/>
          <a:ext cx="0" cy="12700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203200</xdr:colOff>
      <xdr:row>80</xdr:row>
      <xdr:rowOff>0</xdr:rowOff>
    </xdr:from>
    <xdr:to>
      <xdr:col>7</xdr:col>
      <xdr:colOff>203200</xdr:colOff>
      <xdr:row>90</xdr:row>
      <xdr:rowOff>139700</xdr:rowOff>
    </xdr:to>
    <xdr:sp macro="" textlink="">
      <xdr:nvSpPr>
        <xdr:cNvPr id="5600707" name="Line 294">
          <a:extLst>
            <a:ext uri="{FF2B5EF4-FFF2-40B4-BE49-F238E27FC236}">
              <a16:creationId xmlns:a16="http://schemas.microsoft.com/office/drawing/2014/main" id="{00000000-0008-0000-0700-0000C3755500}"/>
            </a:ext>
          </a:extLst>
        </xdr:cNvPr>
        <xdr:cNvSpPr>
          <a:spLocks noChangeShapeType="1"/>
        </xdr:cNvSpPr>
      </xdr:nvSpPr>
      <xdr:spPr bwMode="auto">
        <a:xfrm>
          <a:off x="6908800" y="13449300"/>
          <a:ext cx="0" cy="18669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50800</xdr:colOff>
      <xdr:row>87</xdr:row>
      <xdr:rowOff>63500</xdr:rowOff>
    </xdr:from>
    <xdr:to>
      <xdr:col>8</xdr:col>
      <xdr:colOff>50800</xdr:colOff>
      <xdr:row>88</xdr:row>
      <xdr:rowOff>63500</xdr:rowOff>
    </xdr:to>
    <xdr:sp macro="" textlink="">
      <xdr:nvSpPr>
        <xdr:cNvPr id="5600708" name="Line 295">
          <a:extLst>
            <a:ext uri="{FF2B5EF4-FFF2-40B4-BE49-F238E27FC236}">
              <a16:creationId xmlns:a16="http://schemas.microsoft.com/office/drawing/2014/main" id="{00000000-0008-0000-0700-0000C4755500}"/>
            </a:ext>
          </a:extLst>
        </xdr:cNvPr>
        <xdr:cNvSpPr>
          <a:spLocks noChangeShapeType="1"/>
        </xdr:cNvSpPr>
      </xdr:nvSpPr>
      <xdr:spPr bwMode="auto">
        <a:xfrm>
          <a:off x="7264400" y="14719300"/>
          <a:ext cx="0" cy="16510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50800</xdr:colOff>
      <xdr:row>90</xdr:row>
      <xdr:rowOff>139700</xdr:rowOff>
    </xdr:from>
    <xdr:to>
      <xdr:col>8</xdr:col>
      <xdr:colOff>50800</xdr:colOff>
      <xdr:row>92</xdr:row>
      <xdr:rowOff>50800</xdr:rowOff>
    </xdr:to>
    <xdr:sp macro="" textlink="">
      <xdr:nvSpPr>
        <xdr:cNvPr id="5600709" name="Line 296">
          <a:extLst>
            <a:ext uri="{FF2B5EF4-FFF2-40B4-BE49-F238E27FC236}">
              <a16:creationId xmlns:a16="http://schemas.microsoft.com/office/drawing/2014/main" id="{00000000-0008-0000-0700-0000C5755500}"/>
            </a:ext>
          </a:extLst>
        </xdr:cNvPr>
        <xdr:cNvSpPr>
          <a:spLocks noChangeShapeType="1"/>
        </xdr:cNvSpPr>
      </xdr:nvSpPr>
      <xdr:spPr bwMode="auto">
        <a:xfrm>
          <a:off x="7264400" y="15316200"/>
          <a:ext cx="0" cy="2413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84</xdr:row>
      <xdr:rowOff>101600</xdr:rowOff>
    </xdr:from>
    <xdr:to>
      <xdr:col>6</xdr:col>
      <xdr:colOff>914400</xdr:colOff>
      <xdr:row>84</xdr:row>
      <xdr:rowOff>101600</xdr:rowOff>
    </xdr:to>
    <xdr:sp macro="" textlink="">
      <xdr:nvSpPr>
        <xdr:cNvPr id="5600710" name="Line 297">
          <a:extLst>
            <a:ext uri="{FF2B5EF4-FFF2-40B4-BE49-F238E27FC236}">
              <a16:creationId xmlns:a16="http://schemas.microsoft.com/office/drawing/2014/main" id="{00000000-0008-0000-0700-0000C6755500}"/>
            </a:ext>
          </a:extLst>
        </xdr:cNvPr>
        <xdr:cNvSpPr>
          <a:spLocks noChangeShapeType="1"/>
        </xdr:cNvSpPr>
      </xdr:nvSpPr>
      <xdr:spPr bwMode="auto">
        <a:xfrm>
          <a:off x="4673600" y="142494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89</xdr:row>
      <xdr:rowOff>76200</xdr:rowOff>
    </xdr:from>
    <xdr:to>
      <xdr:col>6</xdr:col>
      <xdr:colOff>749300</xdr:colOff>
      <xdr:row>89</xdr:row>
      <xdr:rowOff>76200</xdr:rowOff>
    </xdr:to>
    <xdr:sp macro="" textlink="">
      <xdr:nvSpPr>
        <xdr:cNvPr id="5600711" name="Line 298">
          <a:extLst>
            <a:ext uri="{FF2B5EF4-FFF2-40B4-BE49-F238E27FC236}">
              <a16:creationId xmlns:a16="http://schemas.microsoft.com/office/drawing/2014/main" id="{00000000-0008-0000-0700-0000C7755500}"/>
            </a:ext>
          </a:extLst>
        </xdr:cNvPr>
        <xdr:cNvSpPr>
          <a:spLocks noChangeShapeType="1"/>
        </xdr:cNvSpPr>
      </xdr:nvSpPr>
      <xdr:spPr bwMode="auto">
        <a:xfrm>
          <a:off x="4673600" y="15074900"/>
          <a:ext cx="74930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93</xdr:row>
      <xdr:rowOff>25400</xdr:rowOff>
    </xdr:from>
    <xdr:to>
      <xdr:col>6</xdr:col>
      <xdr:colOff>1066800</xdr:colOff>
      <xdr:row>93</xdr:row>
      <xdr:rowOff>25400</xdr:rowOff>
    </xdr:to>
    <xdr:sp macro="" textlink="">
      <xdr:nvSpPr>
        <xdr:cNvPr id="5600712" name="Line 299">
          <a:extLst>
            <a:ext uri="{FF2B5EF4-FFF2-40B4-BE49-F238E27FC236}">
              <a16:creationId xmlns:a16="http://schemas.microsoft.com/office/drawing/2014/main" id="{00000000-0008-0000-0700-0000C8755500}"/>
            </a:ext>
          </a:extLst>
        </xdr:cNvPr>
        <xdr:cNvSpPr>
          <a:spLocks noChangeShapeType="1"/>
        </xdr:cNvSpPr>
      </xdr:nvSpPr>
      <xdr:spPr bwMode="auto">
        <a:xfrm>
          <a:off x="4673600" y="15697200"/>
          <a:ext cx="106680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96</xdr:row>
      <xdr:rowOff>76200</xdr:rowOff>
    </xdr:from>
    <xdr:to>
      <xdr:col>6</xdr:col>
      <xdr:colOff>520700</xdr:colOff>
      <xdr:row>96</xdr:row>
      <xdr:rowOff>76200</xdr:rowOff>
    </xdr:to>
    <xdr:sp macro="" textlink="">
      <xdr:nvSpPr>
        <xdr:cNvPr id="5600713" name="Line 300">
          <a:extLst>
            <a:ext uri="{FF2B5EF4-FFF2-40B4-BE49-F238E27FC236}">
              <a16:creationId xmlns:a16="http://schemas.microsoft.com/office/drawing/2014/main" id="{00000000-0008-0000-0700-0000C9755500}"/>
            </a:ext>
          </a:extLst>
        </xdr:cNvPr>
        <xdr:cNvSpPr>
          <a:spLocks noChangeShapeType="1"/>
        </xdr:cNvSpPr>
      </xdr:nvSpPr>
      <xdr:spPr bwMode="auto">
        <a:xfrm>
          <a:off x="4673600" y="16256000"/>
          <a:ext cx="520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165100</xdr:colOff>
      <xdr:row>103</xdr:row>
      <xdr:rowOff>0</xdr:rowOff>
    </xdr:from>
    <xdr:to>
      <xdr:col>7</xdr:col>
      <xdr:colOff>165100</xdr:colOff>
      <xdr:row>104</xdr:row>
      <xdr:rowOff>12700</xdr:rowOff>
    </xdr:to>
    <xdr:sp macro="" textlink="">
      <xdr:nvSpPr>
        <xdr:cNvPr id="5600714" name="Line 301">
          <a:extLst>
            <a:ext uri="{FF2B5EF4-FFF2-40B4-BE49-F238E27FC236}">
              <a16:creationId xmlns:a16="http://schemas.microsoft.com/office/drawing/2014/main" id="{00000000-0008-0000-0700-0000CA755500}"/>
            </a:ext>
          </a:extLst>
        </xdr:cNvPr>
        <xdr:cNvSpPr>
          <a:spLocks noChangeShapeType="1"/>
        </xdr:cNvSpPr>
      </xdr:nvSpPr>
      <xdr:spPr bwMode="auto">
        <a:xfrm>
          <a:off x="6870700" y="17373600"/>
          <a:ext cx="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81</xdr:row>
      <xdr:rowOff>76200</xdr:rowOff>
    </xdr:from>
    <xdr:to>
      <xdr:col>6</xdr:col>
      <xdr:colOff>165100</xdr:colOff>
      <xdr:row>81</xdr:row>
      <xdr:rowOff>76200</xdr:rowOff>
    </xdr:to>
    <xdr:sp macro="" textlink="">
      <xdr:nvSpPr>
        <xdr:cNvPr id="5600715" name="Line 302">
          <a:extLst>
            <a:ext uri="{FF2B5EF4-FFF2-40B4-BE49-F238E27FC236}">
              <a16:creationId xmlns:a16="http://schemas.microsoft.com/office/drawing/2014/main" id="{00000000-0008-0000-0700-0000CB755500}"/>
            </a:ext>
          </a:extLst>
        </xdr:cNvPr>
        <xdr:cNvSpPr>
          <a:spLocks noChangeShapeType="1"/>
        </xdr:cNvSpPr>
      </xdr:nvSpPr>
      <xdr:spPr bwMode="auto">
        <a:xfrm>
          <a:off x="4673600" y="13703300"/>
          <a:ext cx="165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1943100</xdr:colOff>
      <xdr:row>83</xdr:row>
      <xdr:rowOff>88900</xdr:rowOff>
    </xdr:from>
    <xdr:to>
      <xdr:col>9</xdr:col>
      <xdr:colOff>0</xdr:colOff>
      <xdr:row>83</xdr:row>
      <xdr:rowOff>88900</xdr:rowOff>
    </xdr:to>
    <xdr:sp macro="" textlink="">
      <xdr:nvSpPr>
        <xdr:cNvPr id="5600716" name="Line 303">
          <a:extLst>
            <a:ext uri="{FF2B5EF4-FFF2-40B4-BE49-F238E27FC236}">
              <a16:creationId xmlns:a16="http://schemas.microsoft.com/office/drawing/2014/main" id="{00000000-0008-0000-0700-0000CC755500}"/>
            </a:ext>
          </a:extLst>
        </xdr:cNvPr>
        <xdr:cNvSpPr>
          <a:spLocks noChangeShapeType="1"/>
        </xdr:cNvSpPr>
      </xdr:nvSpPr>
      <xdr:spPr bwMode="auto">
        <a:xfrm flipV="1">
          <a:off x="6616700" y="14058900"/>
          <a:ext cx="11049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203200</xdr:colOff>
      <xdr:row>85</xdr:row>
      <xdr:rowOff>76200</xdr:rowOff>
    </xdr:from>
    <xdr:to>
      <xdr:col>9</xdr:col>
      <xdr:colOff>0</xdr:colOff>
      <xdr:row>85</xdr:row>
      <xdr:rowOff>76200</xdr:rowOff>
    </xdr:to>
    <xdr:sp macro="" textlink="">
      <xdr:nvSpPr>
        <xdr:cNvPr id="5600717" name="Line 304">
          <a:extLst>
            <a:ext uri="{FF2B5EF4-FFF2-40B4-BE49-F238E27FC236}">
              <a16:creationId xmlns:a16="http://schemas.microsoft.com/office/drawing/2014/main" id="{00000000-0008-0000-0700-0000CD755500}"/>
            </a:ext>
          </a:extLst>
        </xdr:cNvPr>
        <xdr:cNvSpPr>
          <a:spLocks noChangeShapeType="1"/>
        </xdr:cNvSpPr>
      </xdr:nvSpPr>
      <xdr:spPr bwMode="auto">
        <a:xfrm flipV="1">
          <a:off x="6908800" y="14401800"/>
          <a:ext cx="8128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50800</xdr:colOff>
      <xdr:row>87</xdr:row>
      <xdr:rowOff>139700</xdr:rowOff>
    </xdr:from>
    <xdr:to>
      <xdr:col>9</xdr:col>
      <xdr:colOff>0</xdr:colOff>
      <xdr:row>87</xdr:row>
      <xdr:rowOff>139700</xdr:rowOff>
    </xdr:to>
    <xdr:sp macro="" textlink="">
      <xdr:nvSpPr>
        <xdr:cNvPr id="5600718" name="Line 305">
          <a:extLst>
            <a:ext uri="{FF2B5EF4-FFF2-40B4-BE49-F238E27FC236}">
              <a16:creationId xmlns:a16="http://schemas.microsoft.com/office/drawing/2014/main" id="{00000000-0008-0000-0700-0000CE755500}"/>
            </a:ext>
          </a:extLst>
        </xdr:cNvPr>
        <xdr:cNvSpPr>
          <a:spLocks noChangeShapeType="1"/>
        </xdr:cNvSpPr>
      </xdr:nvSpPr>
      <xdr:spPr bwMode="auto">
        <a:xfrm flipV="1">
          <a:off x="7264400" y="14795500"/>
          <a:ext cx="4572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89</xdr:row>
      <xdr:rowOff>88900</xdr:rowOff>
    </xdr:from>
    <xdr:to>
      <xdr:col>9</xdr:col>
      <xdr:colOff>0</xdr:colOff>
      <xdr:row>89</xdr:row>
      <xdr:rowOff>88900</xdr:rowOff>
    </xdr:to>
    <xdr:sp macro="" textlink="">
      <xdr:nvSpPr>
        <xdr:cNvPr id="5600719" name="Line 307">
          <a:extLst>
            <a:ext uri="{FF2B5EF4-FFF2-40B4-BE49-F238E27FC236}">
              <a16:creationId xmlns:a16="http://schemas.microsoft.com/office/drawing/2014/main" id="{00000000-0008-0000-0700-0000CF755500}"/>
            </a:ext>
          </a:extLst>
        </xdr:cNvPr>
        <xdr:cNvSpPr>
          <a:spLocks noChangeShapeType="1"/>
        </xdr:cNvSpPr>
      </xdr:nvSpPr>
      <xdr:spPr bwMode="auto">
        <a:xfrm flipV="1">
          <a:off x="7721600" y="15087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50800</xdr:colOff>
      <xdr:row>91</xdr:row>
      <xdr:rowOff>76200</xdr:rowOff>
    </xdr:from>
    <xdr:to>
      <xdr:col>9</xdr:col>
      <xdr:colOff>12700</xdr:colOff>
      <xdr:row>91</xdr:row>
      <xdr:rowOff>76200</xdr:rowOff>
    </xdr:to>
    <xdr:sp macro="" textlink="">
      <xdr:nvSpPr>
        <xdr:cNvPr id="5600720" name="Line 308">
          <a:extLst>
            <a:ext uri="{FF2B5EF4-FFF2-40B4-BE49-F238E27FC236}">
              <a16:creationId xmlns:a16="http://schemas.microsoft.com/office/drawing/2014/main" id="{00000000-0008-0000-0700-0000D0755500}"/>
            </a:ext>
          </a:extLst>
        </xdr:cNvPr>
        <xdr:cNvSpPr>
          <a:spLocks noChangeShapeType="1"/>
        </xdr:cNvSpPr>
      </xdr:nvSpPr>
      <xdr:spPr bwMode="auto">
        <a:xfrm flipH="1" flipV="1">
          <a:off x="7264400" y="15417800"/>
          <a:ext cx="4699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none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96</xdr:row>
      <xdr:rowOff>76200</xdr:rowOff>
    </xdr:from>
    <xdr:to>
      <xdr:col>9</xdr:col>
      <xdr:colOff>0</xdr:colOff>
      <xdr:row>96</xdr:row>
      <xdr:rowOff>76200</xdr:rowOff>
    </xdr:to>
    <xdr:sp macro="" textlink="">
      <xdr:nvSpPr>
        <xdr:cNvPr id="5600721" name="Line 309">
          <a:extLst>
            <a:ext uri="{FF2B5EF4-FFF2-40B4-BE49-F238E27FC236}">
              <a16:creationId xmlns:a16="http://schemas.microsoft.com/office/drawing/2014/main" id="{00000000-0008-0000-0700-0000D1755500}"/>
            </a:ext>
          </a:extLst>
        </xdr:cNvPr>
        <xdr:cNvSpPr>
          <a:spLocks noChangeShapeType="1"/>
        </xdr:cNvSpPr>
      </xdr:nvSpPr>
      <xdr:spPr bwMode="auto">
        <a:xfrm>
          <a:off x="7721600" y="16256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100</xdr:row>
      <xdr:rowOff>88900</xdr:rowOff>
    </xdr:from>
    <xdr:to>
      <xdr:col>9</xdr:col>
      <xdr:colOff>0</xdr:colOff>
      <xdr:row>100</xdr:row>
      <xdr:rowOff>88900</xdr:rowOff>
    </xdr:to>
    <xdr:sp macro="" textlink="">
      <xdr:nvSpPr>
        <xdr:cNvPr id="5600722" name="Line 310">
          <a:extLst>
            <a:ext uri="{FF2B5EF4-FFF2-40B4-BE49-F238E27FC236}">
              <a16:creationId xmlns:a16="http://schemas.microsoft.com/office/drawing/2014/main" id="{00000000-0008-0000-0700-0000D2755500}"/>
            </a:ext>
          </a:extLst>
        </xdr:cNvPr>
        <xdr:cNvSpPr>
          <a:spLocks noChangeShapeType="1"/>
        </xdr:cNvSpPr>
      </xdr:nvSpPr>
      <xdr:spPr bwMode="auto">
        <a:xfrm>
          <a:off x="7721600" y="16954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241300</xdr:colOff>
      <xdr:row>89</xdr:row>
      <xdr:rowOff>88900</xdr:rowOff>
    </xdr:from>
    <xdr:to>
      <xdr:col>8</xdr:col>
      <xdr:colOff>508000</xdr:colOff>
      <xdr:row>89</xdr:row>
      <xdr:rowOff>88900</xdr:rowOff>
    </xdr:to>
    <xdr:sp macro="" textlink="">
      <xdr:nvSpPr>
        <xdr:cNvPr id="5600723" name="Line 278">
          <a:extLst>
            <a:ext uri="{FF2B5EF4-FFF2-40B4-BE49-F238E27FC236}">
              <a16:creationId xmlns:a16="http://schemas.microsoft.com/office/drawing/2014/main" id="{00000000-0008-0000-0700-0000D3755500}"/>
            </a:ext>
          </a:extLst>
        </xdr:cNvPr>
        <xdr:cNvSpPr>
          <a:spLocks noChangeShapeType="1"/>
        </xdr:cNvSpPr>
      </xdr:nvSpPr>
      <xdr:spPr bwMode="auto">
        <a:xfrm>
          <a:off x="7454900" y="15087600"/>
          <a:ext cx="2667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76200</xdr:colOff>
      <xdr:row>1</xdr:row>
      <xdr:rowOff>12700</xdr:rowOff>
    </xdr:from>
    <xdr:to>
      <xdr:col>19</xdr:col>
      <xdr:colOff>0</xdr:colOff>
      <xdr:row>31</xdr:row>
      <xdr:rowOff>101600</xdr:rowOff>
    </xdr:to>
    <xdr:grpSp>
      <xdr:nvGrpSpPr>
        <xdr:cNvPr id="5600724" name="Group 232">
          <a:extLst>
            <a:ext uri="{FF2B5EF4-FFF2-40B4-BE49-F238E27FC236}">
              <a16:creationId xmlns:a16="http://schemas.microsoft.com/office/drawing/2014/main" id="{00000000-0008-0000-0700-0000D4755500}"/>
            </a:ext>
          </a:extLst>
        </xdr:cNvPr>
        <xdr:cNvGrpSpPr>
          <a:grpSpLocks/>
        </xdr:cNvGrpSpPr>
      </xdr:nvGrpSpPr>
      <xdr:grpSpPr bwMode="auto">
        <a:xfrm>
          <a:off x="13068300" y="184150"/>
          <a:ext cx="2095500" cy="5127625"/>
          <a:chOff x="3421" y="5379"/>
          <a:chExt cx="2289" cy="5759"/>
        </a:xfrm>
      </xdr:grpSpPr>
      <xdr:grpSp>
        <xdr:nvGrpSpPr>
          <xdr:cNvPr id="5600763" name="Group 233">
            <a:extLst>
              <a:ext uri="{FF2B5EF4-FFF2-40B4-BE49-F238E27FC236}">
                <a16:creationId xmlns:a16="http://schemas.microsoft.com/office/drawing/2014/main" id="{00000000-0008-0000-0700-0000FB755500}"/>
              </a:ext>
            </a:extLst>
          </xdr:cNvPr>
          <xdr:cNvGrpSpPr>
            <a:grpSpLocks/>
          </xdr:cNvGrpSpPr>
        </xdr:nvGrpSpPr>
        <xdr:grpSpPr bwMode="auto">
          <a:xfrm>
            <a:off x="4047" y="5379"/>
            <a:ext cx="515" cy="4096"/>
            <a:chOff x="4047" y="5379"/>
            <a:chExt cx="515" cy="4096"/>
          </a:xfrm>
        </xdr:grpSpPr>
        <xdr:sp macro="" textlink="">
          <xdr:nvSpPr>
            <xdr:cNvPr id="5600781" name="Arc 234">
              <a:extLst>
                <a:ext uri="{FF2B5EF4-FFF2-40B4-BE49-F238E27FC236}">
                  <a16:creationId xmlns:a16="http://schemas.microsoft.com/office/drawing/2014/main" id="{00000000-0008-0000-0700-00000D7655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5600782" name="Group 235">
              <a:extLst>
                <a:ext uri="{FF2B5EF4-FFF2-40B4-BE49-F238E27FC236}">
                  <a16:creationId xmlns:a16="http://schemas.microsoft.com/office/drawing/2014/main" id="{00000000-0008-0000-0700-00000E7655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600783" name="Line 236">
                <a:extLst>
                  <a:ext uri="{FF2B5EF4-FFF2-40B4-BE49-F238E27FC236}">
                    <a16:creationId xmlns:a16="http://schemas.microsoft.com/office/drawing/2014/main" id="{00000000-0008-0000-0700-00000F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84" name="Line 237">
                <a:extLst>
                  <a:ext uri="{FF2B5EF4-FFF2-40B4-BE49-F238E27FC236}">
                    <a16:creationId xmlns:a16="http://schemas.microsoft.com/office/drawing/2014/main" id="{00000000-0008-0000-0700-000010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85" name="Line 238">
                <a:extLst>
                  <a:ext uri="{FF2B5EF4-FFF2-40B4-BE49-F238E27FC236}">
                    <a16:creationId xmlns:a16="http://schemas.microsoft.com/office/drawing/2014/main" id="{00000000-0008-0000-0700-000011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86" name="Line 239">
                <a:extLst>
                  <a:ext uri="{FF2B5EF4-FFF2-40B4-BE49-F238E27FC236}">
                    <a16:creationId xmlns:a16="http://schemas.microsoft.com/office/drawing/2014/main" id="{00000000-0008-0000-0700-000012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87" name="Line 240">
                <a:extLst>
                  <a:ext uri="{FF2B5EF4-FFF2-40B4-BE49-F238E27FC236}">
                    <a16:creationId xmlns:a16="http://schemas.microsoft.com/office/drawing/2014/main" id="{00000000-0008-0000-0700-000013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grpSp>
        <xdr:nvGrpSpPr>
          <xdr:cNvPr id="5600764" name="Group 241">
            <a:extLst>
              <a:ext uri="{FF2B5EF4-FFF2-40B4-BE49-F238E27FC236}">
                <a16:creationId xmlns:a16="http://schemas.microsoft.com/office/drawing/2014/main" id="{00000000-0008-0000-0700-0000FC755500}"/>
              </a:ext>
            </a:extLst>
          </xdr:cNvPr>
          <xdr:cNvGrpSpPr>
            <a:grpSpLocks/>
          </xdr:cNvGrpSpPr>
        </xdr:nvGrpSpPr>
        <xdr:grpSpPr bwMode="auto">
          <a:xfrm flipH="1">
            <a:off x="4560" y="5379"/>
            <a:ext cx="515" cy="4096"/>
            <a:chOff x="4047" y="5379"/>
            <a:chExt cx="515" cy="4096"/>
          </a:xfrm>
        </xdr:grpSpPr>
        <xdr:sp macro="" textlink="">
          <xdr:nvSpPr>
            <xdr:cNvPr id="5600774" name="Arc 242">
              <a:extLst>
                <a:ext uri="{FF2B5EF4-FFF2-40B4-BE49-F238E27FC236}">
                  <a16:creationId xmlns:a16="http://schemas.microsoft.com/office/drawing/2014/main" id="{00000000-0008-0000-0700-0000067655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5600775" name="Group 243">
              <a:extLst>
                <a:ext uri="{FF2B5EF4-FFF2-40B4-BE49-F238E27FC236}">
                  <a16:creationId xmlns:a16="http://schemas.microsoft.com/office/drawing/2014/main" id="{00000000-0008-0000-0700-0000077655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600776" name="Line 244">
                <a:extLst>
                  <a:ext uri="{FF2B5EF4-FFF2-40B4-BE49-F238E27FC236}">
                    <a16:creationId xmlns:a16="http://schemas.microsoft.com/office/drawing/2014/main" id="{00000000-0008-0000-0700-000008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77" name="Line 245">
                <a:extLst>
                  <a:ext uri="{FF2B5EF4-FFF2-40B4-BE49-F238E27FC236}">
                    <a16:creationId xmlns:a16="http://schemas.microsoft.com/office/drawing/2014/main" id="{00000000-0008-0000-0700-000009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78" name="Line 246">
                <a:extLst>
                  <a:ext uri="{FF2B5EF4-FFF2-40B4-BE49-F238E27FC236}">
                    <a16:creationId xmlns:a16="http://schemas.microsoft.com/office/drawing/2014/main" id="{00000000-0008-0000-0700-00000A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79" name="Line 247">
                <a:extLst>
                  <a:ext uri="{FF2B5EF4-FFF2-40B4-BE49-F238E27FC236}">
                    <a16:creationId xmlns:a16="http://schemas.microsoft.com/office/drawing/2014/main" id="{00000000-0008-0000-0700-00000B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80" name="Line 248">
                <a:extLst>
                  <a:ext uri="{FF2B5EF4-FFF2-40B4-BE49-F238E27FC236}">
                    <a16:creationId xmlns:a16="http://schemas.microsoft.com/office/drawing/2014/main" id="{00000000-0008-0000-0700-00000C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5600765" name="Line 249">
            <a:extLst>
              <a:ext uri="{FF2B5EF4-FFF2-40B4-BE49-F238E27FC236}">
                <a16:creationId xmlns:a16="http://schemas.microsoft.com/office/drawing/2014/main" id="{00000000-0008-0000-0700-0000FD755500}"/>
              </a:ext>
            </a:extLst>
          </xdr:cNvPr>
          <xdr:cNvSpPr>
            <a:spLocks noChangeShapeType="1"/>
          </xdr:cNvSpPr>
        </xdr:nvSpPr>
        <xdr:spPr bwMode="auto">
          <a:xfrm>
            <a:off x="4332" y="9310"/>
            <a:ext cx="2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66" name="Line 250">
            <a:extLst>
              <a:ext uri="{FF2B5EF4-FFF2-40B4-BE49-F238E27FC236}">
                <a16:creationId xmlns:a16="http://schemas.microsoft.com/office/drawing/2014/main" id="{00000000-0008-0000-0700-0000FE755500}"/>
              </a:ext>
            </a:extLst>
          </xdr:cNvPr>
          <xdr:cNvSpPr>
            <a:spLocks noChangeShapeType="1"/>
          </xdr:cNvSpPr>
        </xdr:nvSpPr>
        <xdr:spPr bwMode="auto">
          <a:xfrm>
            <a:off x="4790" y="9310"/>
            <a:ext cx="0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67" name="Line 251">
            <a:extLst>
              <a:ext uri="{FF2B5EF4-FFF2-40B4-BE49-F238E27FC236}">
                <a16:creationId xmlns:a16="http://schemas.microsoft.com/office/drawing/2014/main" id="{00000000-0008-0000-0700-0000FF755500}"/>
              </a:ext>
            </a:extLst>
          </xdr:cNvPr>
          <xdr:cNvSpPr>
            <a:spLocks noChangeShapeType="1"/>
          </xdr:cNvSpPr>
        </xdr:nvSpPr>
        <xdr:spPr bwMode="auto">
          <a:xfrm>
            <a:off x="4330" y="10629"/>
            <a:ext cx="458" cy="0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68" name="Line 252">
            <a:extLst>
              <a:ext uri="{FF2B5EF4-FFF2-40B4-BE49-F238E27FC236}">
                <a16:creationId xmlns:a16="http://schemas.microsoft.com/office/drawing/2014/main" id="{00000000-0008-0000-0700-0000007655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709" y="10163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69" name="Line 253">
            <a:extLst>
              <a:ext uri="{FF2B5EF4-FFF2-40B4-BE49-F238E27FC236}">
                <a16:creationId xmlns:a16="http://schemas.microsoft.com/office/drawing/2014/main" id="{00000000-0008-0000-0700-000001765500}"/>
              </a:ext>
            </a:extLst>
          </xdr:cNvPr>
          <xdr:cNvSpPr>
            <a:spLocks noChangeShapeType="1"/>
          </xdr:cNvSpPr>
        </xdr:nvSpPr>
        <xdr:spPr bwMode="auto">
          <a:xfrm>
            <a:off x="4796" y="10419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70" name="Line 254">
            <a:extLst>
              <a:ext uri="{FF2B5EF4-FFF2-40B4-BE49-F238E27FC236}">
                <a16:creationId xmlns:a16="http://schemas.microsoft.com/office/drawing/2014/main" id="{00000000-0008-0000-0700-0000027655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804" y="8797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71" name="Line 255">
            <a:extLst>
              <a:ext uri="{FF2B5EF4-FFF2-40B4-BE49-F238E27FC236}">
                <a16:creationId xmlns:a16="http://schemas.microsoft.com/office/drawing/2014/main" id="{00000000-0008-0000-0700-0000037655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421" y="10178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72" name="Line 256">
            <a:extLst>
              <a:ext uri="{FF2B5EF4-FFF2-40B4-BE49-F238E27FC236}">
                <a16:creationId xmlns:a16="http://schemas.microsoft.com/office/drawing/2014/main" id="{00000000-0008-0000-0700-0000047655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421" y="10426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73" name="Line 257">
            <a:extLst>
              <a:ext uri="{FF2B5EF4-FFF2-40B4-BE49-F238E27FC236}">
                <a16:creationId xmlns:a16="http://schemas.microsoft.com/office/drawing/2014/main" id="{00000000-0008-0000-0700-0000057655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429" y="8804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17</xdr:col>
      <xdr:colOff>914400</xdr:colOff>
      <xdr:row>11</xdr:row>
      <xdr:rowOff>101600</xdr:rowOff>
    </xdr:from>
    <xdr:to>
      <xdr:col>18</xdr:col>
      <xdr:colOff>406400</xdr:colOff>
      <xdr:row>11</xdr:row>
      <xdr:rowOff>101600</xdr:rowOff>
    </xdr:to>
    <xdr:sp macro="" textlink="">
      <xdr:nvSpPr>
        <xdr:cNvPr id="5600725" name="Line 268">
          <a:extLst>
            <a:ext uri="{FF2B5EF4-FFF2-40B4-BE49-F238E27FC236}">
              <a16:creationId xmlns:a16="http://schemas.microsoft.com/office/drawing/2014/main" id="{00000000-0008-0000-0700-0000D5755500}"/>
            </a:ext>
          </a:extLst>
        </xdr:cNvPr>
        <xdr:cNvSpPr>
          <a:spLocks noChangeShapeType="1"/>
        </xdr:cNvSpPr>
      </xdr:nvSpPr>
      <xdr:spPr bwMode="auto">
        <a:xfrm flipV="1">
          <a:off x="15735300" y="2032000"/>
          <a:ext cx="73660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101600</xdr:colOff>
      <xdr:row>1</xdr:row>
      <xdr:rowOff>12700</xdr:rowOff>
    </xdr:from>
    <xdr:to>
      <xdr:col>19</xdr:col>
      <xdr:colOff>368300</xdr:colOff>
      <xdr:row>1</xdr:row>
      <xdr:rowOff>12700</xdr:rowOff>
    </xdr:to>
    <xdr:sp macro="" textlink="">
      <xdr:nvSpPr>
        <xdr:cNvPr id="5600726" name="Line 269">
          <a:extLst>
            <a:ext uri="{FF2B5EF4-FFF2-40B4-BE49-F238E27FC236}">
              <a16:creationId xmlns:a16="http://schemas.microsoft.com/office/drawing/2014/main" id="{00000000-0008-0000-0700-0000D6755500}"/>
            </a:ext>
          </a:extLst>
        </xdr:cNvPr>
        <xdr:cNvSpPr>
          <a:spLocks noChangeShapeType="1"/>
        </xdr:cNvSpPr>
      </xdr:nvSpPr>
      <xdr:spPr bwMode="auto">
        <a:xfrm flipV="1">
          <a:off x="14922500" y="190500"/>
          <a:ext cx="27559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1155700</xdr:colOff>
      <xdr:row>1</xdr:row>
      <xdr:rowOff>12700</xdr:rowOff>
    </xdr:from>
    <xdr:to>
      <xdr:col>18</xdr:col>
      <xdr:colOff>1155700</xdr:colOff>
      <xdr:row>28</xdr:row>
      <xdr:rowOff>139700</xdr:rowOff>
    </xdr:to>
    <xdr:sp macro="" textlink="">
      <xdr:nvSpPr>
        <xdr:cNvPr id="5600727" name="Line 270">
          <a:extLst>
            <a:ext uri="{FF2B5EF4-FFF2-40B4-BE49-F238E27FC236}">
              <a16:creationId xmlns:a16="http://schemas.microsoft.com/office/drawing/2014/main" id="{00000000-0008-0000-0700-0000D7755500}"/>
            </a:ext>
          </a:extLst>
        </xdr:cNvPr>
        <xdr:cNvSpPr>
          <a:spLocks noChangeShapeType="1"/>
        </xdr:cNvSpPr>
      </xdr:nvSpPr>
      <xdr:spPr bwMode="auto">
        <a:xfrm>
          <a:off x="17221200" y="190500"/>
          <a:ext cx="0" cy="47117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127000</xdr:colOff>
      <xdr:row>10</xdr:row>
      <xdr:rowOff>152400</xdr:rowOff>
    </xdr:from>
    <xdr:to>
      <xdr:col>18</xdr:col>
      <xdr:colOff>457200</xdr:colOff>
      <xdr:row>10</xdr:row>
      <xdr:rowOff>152400</xdr:rowOff>
    </xdr:to>
    <xdr:sp macro="" textlink="">
      <xdr:nvSpPr>
        <xdr:cNvPr id="5600728" name="Line 271">
          <a:extLst>
            <a:ext uri="{FF2B5EF4-FFF2-40B4-BE49-F238E27FC236}">
              <a16:creationId xmlns:a16="http://schemas.microsoft.com/office/drawing/2014/main" id="{00000000-0008-0000-0700-0000D8755500}"/>
            </a:ext>
          </a:extLst>
        </xdr:cNvPr>
        <xdr:cNvSpPr>
          <a:spLocks noChangeShapeType="1"/>
        </xdr:cNvSpPr>
      </xdr:nvSpPr>
      <xdr:spPr bwMode="auto">
        <a:xfrm>
          <a:off x="14947900" y="1905000"/>
          <a:ext cx="15748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165100</xdr:colOff>
      <xdr:row>0</xdr:row>
      <xdr:rowOff>165100</xdr:rowOff>
    </xdr:from>
    <xdr:to>
      <xdr:col>17</xdr:col>
      <xdr:colOff>165100</xdr:colOff>
      <xdr:row>10</xdr:row>
      <xdr:rowOff>139700</xdr:rowOff>
    </xdr:to>
    <xdr:sp macro="" textlink="">
      <xdr:nvSpPr>
        <xdr:cNvPr id="5600729" name="Line 272">
          <a:extLst>
            <a:ext uri="{FF2B5EF4-FFF2-40B4-BE49-F238E27FC236}">
              <a16:creationId xmlns:a16="http://schemas.microsoft.com/office/drawing/2014/main" id="{00000000-0008-0000-0700-0000D9755500}"/>
            </a:ext>
          </a:extLst>
        </xdr:cNvPr>
        <xdr:cNvSpPr>
          <a:spLocks noChangeShapeType="1"/>
        </xdr:cNvSpPr>
      </xdr:nvSpPr>
      <xdr:spPr bwMode="auto">
        <a:xfrm flipH="1">
          <a:off x="14986000" y="165100"/>
          <a:ext cx="0" cy="17272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254000</xdr:colOff>
      <xdr:row>31</xdr:row>
      <xdr:rowOff>101600</xdr:rowOff>
    </xdr:from>
    <xdr:to>
      <xdr:col>17</xdr:col>
      <xdr:colOff>88900</xdr:colOff>
      <xdr:row>31</xdr:row>
      <xdr:rowOff>101600</xdr:rowOff>
    </xdr:to>
    <xdr:sp macro="" textlink="">
      <xdr:nvSpPr>
        <xdr:cNvPr id="5600730" name="Line 277">
          <a:extLst>
            <a:ext uri="{FF2B5EF4-FFF2-40B4-BE49-F238E27FC236}">
              <a16:creationId xmlns:a16="http://schemas.microsoft.com/office/drawing/2014/main" id="{00000000-0008-0000-0700-0000DA755500}"/>
            </a:ext>
          </a:extLst>
        </xdr:cNvPr>
        <xdr:cNvSpPr>
          <a:spLocks noChangeShapeType="1"/>
        </xdr:cNvSpPr>
      </xdr:nvSpPr>
      <xdr:spPr bwMode="auto">
        <a:xfrm>
          <a:off x="14185900" y="5397500"/>
          <a:ext cx="7239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215900</xdr:colOff>
      <xdr:row>29</xdr:row>
      <xdr:rowOff>88900</xdr:rowOff>
    </xdr:from>
    <xdr:to>
      <xdr:col>18</xdr:col>
      <xdr:colOff>1130300</xdr:colOff>
      <xdr:row>29</xdr:row>
      <xdr:rowOff>88900</xdr:rowOff>
    </xdr:to>
    <xdr:sp macro="" textlink="">
      <xdr:nvSpPr>
        <xdr:cNvPr id="5600731" name="Line 280">
          <a:extLst>
            <a:ext uri="{FF2B5EF4-FFF2-40B4-BE49-F238E27FC236}">
              <a16:creationId xmlns:a16="http://schemas.microsoft.com/office/drawing/2014/main" id="{00000000-0008-0000-0700-0000DB755500}"/>
            </a:ext>
          </a:extLst>
        </xdr:cNvPr>
        <xdr:cNvSpPr>
          <a:spLocks noChangeShapeType="1"/>
        </xdr:cNvSpPr>
      </xdr:nvSpPr>
      <xdr:spPr bwMode="auto">
        <a:xfrm>
          <a:off x="16281400" y="5029200"/>
          <a:ext cx="9144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558800</xdr:colOff>
      <xdr:row>20</xdr:row>
      <xdr:rowOff>0</xdr:rowOff>
    </xdr:from>
    <xdr:to>
      <xdr:col>17</xdr:col>
      <xdr:colOff>558800</xdr:colOff>
      <xdr:row>28</xdr:row>
      <xdr:rowOff>127000</xdr:rowOff>
    </xdr:to>
    <xdr:sp macro="" textlink="">
      <xdr:nvSpPr>
        <xdr:cNvPr id="5600732" name="Line 281">
          <a:extLst>
            <a:ext uri="{FF2B5EF4-FFF2-40B4-BE49-F238E27FC236}">
              <a16:creationId xmlns:a16="http://schemas.microsoft.com/office/drawing/2014/main" id="{00000000-0008-0000-0700-0000DC755500}"/>
            </a:ext>
          </a:extLst>
        </xdr:cNvPr>
        <xdr:cNvSpPr>
          <a:spLocks noChangeShapeType="1"/>
        </xdr:cNvSpPr>
      </xdr:nvSpPr>
      <xdr:spPr bwMode="auto">
        <a:xfrm flipH="1">
          <a:off x="15379700" y="3429000"/>
          <a:ext cx="0" cy="14605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342900</xdr:colOff>
      <xdr:row>27</xdr:row>
      <xdr:rowOff>139700</xdr:rowOff>
    </xdr:from>
    <xdr:to>
      <xdr:col>16</xdr:col>
      <xdr:colOff>355600</xdr:colOff>
      <xdr:row>31</xdr:row>
      <xdr:rowOff>101600</xdr:rowOff>
    </xdr:to>
    <xdr:sp macro="" textlink="">
      <xdr:nvSpPr>
        <xdr:cNvPr id="5600733" name="Line 282">
          <a:extLst>
            <a:ext uri="{FF2B5EF4-FFF2-40B4-BE49-F238E27FC236}">
              <a16:creationId xmlns:a16="http://schemas.microsoft.com/office/drawing/2014/main" id="{00000000-0008-0000-0700-0000DD755500}"/>
            </a:ext>
          </a:extLst>
        </xdr:cNvPr>
        <xdr:cNvSpPr>
          <a:spLocks noChangeShapeType="1"/>
        </xdr:cNvSpPr>
      </xdr:nvSpPr>
      <xdr:spPr bwMode="auto">
        <a:xfrm flipH="1">
          <a:off x="14274800" y="4724400"/>
          <a:ext cx="12700" cy="6731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800100</xdr:colOff>
      <xdr:row>20</xdr:row>
      <xdr:rowOff>0</xdr:rowOff>
    </xdr:from>
    <xdr:to>
      <xdr:col>16</xdr:col>
      <xdr:colOff>800100</xdr:colOff>
      <xdr:row>27</xdr:row>
      <xdr:rowOff>139700</xdr:rowOff>
    </xdr:to>
    <xdr:sp macro="" textlink="">
      <xdr:nvSpPr>
        <xdr:cNvPr id="5600734" name="Line 283">
          <a:extLst>
            <a:ext uri="{FF2B5EF4-FFF2-40B4-BE49-F238E27FC236}">
              <a16:creationId xmlns:a16="http://schemas.microsoft.com/office/drawing/2014/main" id="{00000000-0008-0000-0700-0000DE755500}"/>
            </a:ext>
          </a:extLst>
        </xdr:cNvPr>
        <xdr:cNvSpPr>
          <a:spLocks noChangeShapeType="1"/>
        </xdr:cNvSpPr>
      </xdr:nvSpPr>
      <xdr:spPr bwMode="auto">
        <a:xfrm>
          <a:off x="14732000" y="3429000"/>
          <a:ext cx="0" cy="12954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76200</xdr:colOff>
      <xdr:row>31</xdr:row>
      <xdr:rowOff>101600</xdr:rowOff>
    </xdr:from>
    <xdr:to>
      <xdr:col>17</xdr:col>
      <xdr:colOff>76200</xdr:colOff>
      <xdr:row>32</xdr:row>
      <xdr:rowOff>0</xdr:rowOff>
    </xdr:to>
    <xdr:sp macro="" textlink="">
      <xdr:nvSpPr>
        <xdr:cNvPr id="5600735" name="Line 284">
          <a:extLst>
            <a:ext uri="{FF2B5EF4-FFF2-40B4-BE49-F238E27FC236}">
              <a16:creationId xmlns:a16="http://schemas.microsoft.com/office/drawing/2014/main" id="{00000000-0008-0000-0700-0000DF755500}"/>
            </a:ext>
          </a:extLst>
        </xdr:cNvPr>
        <xdr:cNvSpPr>
          <a:spLocks noChangeShapeType="1"/>
        </xdr:cNvSpPr>
      </xdr:nvSpPr>
      <xdr:spPr bwMode="auto">
        <a:xfrm flipV="1">
          <a:off x="14897100" y="5397500"/>
          <a:ext cx="0" cy="762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1041400</xdr:colOff>
      <xdr:row>29</xdr:row>
      <xdr:rowOff>88900</xdr:rowOff>
    </xdr:from>
    <xdr:to>
      <xdr:col>17</xdr:col>
      <xdr:colOff>1041400</xdr:colOff>
      <xdr:row>31</xdr:row>
      <xdr:rowOff>165100</xdr:rowOff>
    </xdr:to>
    <xdr:sp macro="" textlink="">
      <xdr:nvSpPr>
        <xdr:cNvPr id="5600736" name="Line 285">
          <a:extLst>
            <a:ext uri="{FF2B5EF4-FFF2-40B4-BE49-F238E27FC236}">
              <a16:creationId xmlns:a16="http://schemas.microsoft.com/office/drawing/2014/main" id="{00000000-0008-0000-0700-0000E0755500}"/>
            </a:ext>
          </a:extLst>
        </xdr:cNvPr>
        <xdr:cNvSpPr>
          <a:spLocks noChangeShapeType="1"/>
        </xdr:cNvSpPr>
      </xdr:nvSpPr>
      <xdr:spPr bwMode="auto">
        <a:xfrm flipH="1" flipV="1">
          <a:off x="15862300" y="5029200"/>
          <a:ext cx="0" cy="4318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101600</xdr:colOff>
      <xdr:row>31</xdr:row>
      <xdr:rowOff>127000</xdr:rowOff>
    </xdr:from>
    <xdr:to>
      <xdr:col>17</xdr:col>
      <xdr:colOff>1054100</xdr:colOff>
      <xdr:row>31</xdr:row>
      <xdr:rowOff>127000</xdr:rowOff>
    </xdr:to>
    <xdr:sp macro="" textlink="">
      <xdr:nvSpPr>
        <xdr:cNvPr id="5600737" name="Line 286">
          <a:extLst>
            <a:ext uri="{FF2B5EF4-FFF2-40B4-BE49-F238E27FC236}">
              <a16:creationId xmlns:a16="http://schemas.microsoft.com/office/drawing/2014/main" id="{00000000-0008-0000-0700-0000E1755500}"/>
            </a:ext>
          </a:extLst>
        </xdr:cNvPr>
        <xdr:cNvSpPr>
          <a:spLocks noChangeShapeType="1"/>
        </xdr:cNvSpPr>
      </xdr:nvSpPr>
      <xdr:spPr bwMode="auto">
        <a:xfrm flipV="1">
          <a:off x="14922500" y="5422900"/>
          <a:ext cx="95250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736600</xdr:colOff>
      <xdr:row>16</xdr:row>
      <xdr:rowOff>63500</xdr:rowOff>
    </xdr:from>
    <xdr:to>
      <xdr:col>18</xdr:col>
      <xdr:colOff>558800</xdr:colOff>
      <xdr:row>16</xdr:row>
      <xdr:rowOff>63500</xdr:rowOff>
    </xdr:to>
    <xdr:sp macro="" textlink="">
      <xdr:nvSpPr>
        <xdr:cNvPr id="5600738" name="Line 287">
          <a:extLst>
            <a:ext uri="{FF2B5EF4-FFF2-40B4-BE49-F238E27FC236}">
              <a16:creationId xmlns:a16="http://schemas.microsoft.com/office/drawing/2014/main" id="{00000000-0008-0000-0700-0000E2755500}"/>
            </a:ext>
          </a:extLst>
        </xdr:cNvPr>
        <xdr:cNvSpPr>
          <a:spLocks noChangeShapeType="1"/>
        </xdr:cNvSpPr>
      </xdr:nvSpPr>
      <xdr:spPr bwMode="auto">
        <a:xfrm flipV="1">
          <a:off x="15557500" y="2832100"/>
          <a:ext cx="106680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914400</xdr:colOff>
      <xdr:row>14</xdr:row>
      <xdr:rowOff>127000</xdr:rowOff>
    </xdr:from>
    <xdr:to>
      <xdr:col>19</xdr:col>
      <xdr:colOff>25400</xdr:colOff>
      <xdr:row>14</xdr:row>
      <xdr:rowOff>127000</xdr:rowOff>
    </xdr:to>
    <xdr:sp macro="" textlink="">
      <xdr:nvSpPr>
        <xdr:cNvPr id="5600739" name="Line 289">
          <a:extLst>
            <a:ext uri="{FF2B5EF4-FFF2-40B4-BE49-F238E27FC236}">
              <a16:creationId xmlns:a16="http://schemas.microsoft.com/office/drawing/2014/main" id="{00000000-0008-0000-0700-0000E3755500}"/>
            </a:ext>
          </a:extLst>
        </xdr:cNvPr>
        <xdr:cNvSpPr>
          <a:spLocks noChangeShapeType="1"/>
        </xdr:cNvSpPr>
      </xdr:nvSpPr>
      <xdr:spPr bwMode="auto">
        <a:xfrm>
          <a:off x="15735300" y="2565400"/>
          <a:ext cx="16002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749300</xdr:colOff>
      <xdr:row>15</xdr:row>
      <xdr:rowOff>127000</xdr:rowOff>
    </xdr:from>
    <xdr:to>
      <xdr:col>19</xdr:col>
      <xdr:colOff>50800</xdr:colOff>
      <xdr:row>15</xdr:row>
      <xdr:rowOff>127000</xdr:rowOff>
    </xdr:to>
    <xdr:sp macro="" textlink="">
      <xdr:nvSpPr>
        <xdr:cNvPr id="5600740" name="Line 290">
          <a:extLst>
            <a:ext uri="{FF2B5EF4-FFF2-40B4-BE49-F238E27FC236}">
              <a16:creationId xmlns:a16="http://schemas.microsoft.com/office/drawing/2014/main" id="{00000000-0008-0000-0700-0000E4755500}"/>
            </a:ext>
          </a:extLst>
        </xdr:cNvPr>
        <xdr:cNvSpPr>
          <a:spLocks noChangeShapeType="1"/>
        </xdr:cNvSpPr>
      </xdr:nvSpPr>
      <xdr:spPr bwMode="auto">
        <a:xfrm>
          <a:off x="15570200" y="2730500"/>
          <a:ext cx="17907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736600</xdr:colOff>
      <xdr:row>18</xdr:row>
      <xdr:rowOff>63500</xdr:rowOff>
    </xdr:from>
    <xdr:to>
      <xdr:col>19</xdr:col>
      <xdr:colOff>50800</xdr:colOff>
      <xdr:row>18</xdr:row>
      <xdr:rowOff>63500</xdr:rowOff>
    </xdr:to>
    <xdr:sp macro="" textlink="">
      <xdr:nvSpPr>
        <xdr:cNvPr id="5600741" name="Line 291">
          <a:extLst>
            <a:ext uri="{FF2B5EF4-FFF2-40B4-BE49-F238E27FC236}">
              <a16:creationId xmlns:a16="http://schemas.microsoft.com/office/drawing/2014/main" id="{00000000-0008-0000-0700-0000E5755500}"/>
            </a:ext>
          </a:extLst>
        </xdr:cNvPr>
        <xdr:cNvSpPr>
          <a:spLocks noChangeShapeType="1"/>
        </xdr:cNvSpPr>
      </xdr:nvSpPr>
      <xdr:spPr bwMode="auto">
        <a:xfrm>
          <a:off x="15557500" y="3162300"/>
          <a:ext cx="18034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1041400</xdr:colOff>
      <xdr:row>19</xdr:row>
      <xdr:rowOff>139700</xdr:rowOff>
    </xdr:from>
    <xdr:to>
      <xdr:col>19</xdr:col>
      <xdr:colOff>12700</xdr:colOff>
      <xdr:row>19</xdr:row>
      <xdr:rowOff>139700</xdr:rowOff>
    </xdr:to>
    <xdr:sp macro="" textlink="">
      <xdr:nvSpPr>
        <xdr:cNvPr id="5600742" name="Line 292">
          <a:extLst>
            <a:ext uri="{FF2B5EF4-FFF2-40B4-BE49-F238E27FC236}">
              <a16:creationId xmlns:a16="http://schemas.microsoft.com/office/drawing/2014/main" id="{00000000-0008-0000-0700-0000E6755500}"/>
            </a:ext>
          </a:extLst>
        </xdr:cNvPr>
        <xdr:cNvSpPr>
          <a:spLocks noChangeShapeType="1"/>
        </xdr:cNvSpPr>
      </xdr:nvSpPr>
      <xdr:spPr bwMode="auto">
        <a:xfrm>
          <a:off x="15862300" y="3403600"/>
          <a:ext cx="14605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1244600</xdr:colOff>
      <xdr:row>1</xdr:row>
      <xdr:rowOff>0</xdr:rowOff>
    </xdr:from>
    <xdr:to>
      <xdr:col>18</xdr:col>
      <xdr:colOff>0</xdr:colOff>
      <xdr:row>14</xdr:row>
      <xdr:rowOff>127000</xdr:rowOff>
    </xdr:to>
    <xdr:sp macro="" textlink="">
      <xdr:nvSpPr>
        <xdr:cNvPr id="5600743" name="Line 293">
          <a:extLst>
            <a:ext uri="{FF2B5EF4-FFF2-40B4-BE49-F238E27FC236}">
              <a16:creationId xmlns:a16="http://schemas.microsoft.com/office/drawing/2014/main" id="{00000000-0008-0000-0700-0000E7755500}"/>
            </a:ext>
          </a:extLst>
        </xdr:cNvPr>
        <xdr:cNvSpPr>
          <a:spLocks noChangeShapeType="1"/>
        </xdr:cNvSpPr>
      </xdr:nvSpPr>
      <xdr:spPr bwMode="auto">
        <a:xfrm flipH="1">
          <a:off x="16065500" y="177800"/>
          <a:ext cx="0" cy="23876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203200</xdr:colOff>
      <xdr:row>1</xdr:row>
      <xdr:rowOff>0</xdr:rowOff>
    </xdr:from>
    <xdr:to>
      <xdr:col>18</xdr:col>
      <xdr:colOff>203200</xdr:colOff>
      <xdr:row>18</xdr:row>
      <xdr:rowOff>63500</xdr:rowOff>
    </xdr:to>
    <xdr:sp macro="" textlink="">
      <xdr:nvSpPr>
        <xdr:cNvPr id="5600744" name="Line 294">
          <a:extLst>
            <a:ext uri="{FF2B5EF4-FFF2-40B4-BE49-F238E27FC236}">
              <a16:creationId xmlns:a16="http://schemas.microsoft.com/office/drawing/2014/main" id="{00000000-0008-0000-0700-0000E8755500}"/>
            </a:ext>
          </a:extLst>
        </xdr:cNvPr>
        <xdr:cNvSpPr>
          <a:spLocks noChangeShapeType="1"/>
        </xdr:cNvSpPr>
      </xdr:nvSpPr>
      <xdr:spPr bwMode="auto">
        <a:xfrm>
          <a:off x="16268700" y="177800"/>
          <a:ext cx="0" cy="29845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25400</xdr:colOff>
      <xdr:row>14</xdr:row>
      <xdr:rowOff>127000</xdr:rowOff>
    </xdr:from>
    <xdr:to>
      <xdr:col>19</xdr:col>
      <xdr:colOff>25400</xdr:colOff>
      <xdr:row>15</xdr:row>
      <xdr:rowOff>127000</xdr:rowOff>
    </xdr:to>
    <xdr:sp macro="" textlink="">
      <xdr:nvSpPr>
        <xdr:cNvPr id="5600745" name="Line 295">
          <a:extLst>
            <a:ext uri="{FF2B5EF4-FFF2-40B4-BE49-F238E27FC236}">
              <a16:creationId xmlns:a16="http://schemas.microsoft.com/office/drawing/2014/main" id="{00000000-0008-0000-0700-0000E9755500}"/>
            </a:ext>
          </a:extLst>
        </xdr:cNvPr>
        <xdr:cNvSpPr>
          <a:spLocks noChangeShapeType="1"/>
        </xdr:cNvSpPr>
      </xdr:nvSpPr>
      <xdr:spPr bwMode="auto">
        <a:xfrm>
          <a:off x="17335500" y="2565400"/>
          <a:ext cx="0" cy="16510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12700</xdr:colOff>
      <xdr:row>18</xdr:row>
      <xdr:rowOff>63500</xdr:rowOff>
    </xdr:from>
    <xdr:to>
      <xdr:col>19</xdr:col>
      <xdr:colOff>12700</xdr:colOff>
      <xdr:row>19</xdr:row>
      <xdr:rowOff>139700</xdr:rowOff>
    </xdr:to>
    <xdr:sp macro="" textlink="">
      <xdr:nvSpPr>
        <xdr:cNvPr id="5600746" name="Line 296">
          <a:extLst>
            <a:ext uri="{FF2B5EF4-FFF2-40B4-BE49-F238E27FC236}">
              <a16:creationId xmlns:a16="http://schemas.microsoft.com/office/drawing/2014/main" id="{00000000-0008-0000-0700-0000EA755500}"/>
            </a:ext>
          </a:extLst>
        </xdr:cNvPr>
        <xdr:cNvSpPr>
          <a:spLocks noChangeShapeType="1"/>
        </xdr:cNvSpPr>
      </xdr:nvSpPr>
      <xdr:spPr bwMode="auto">
        <a:xfrm>
          <a:off x="17322800" y="3162300"/>
          <a:ext cx="0" cy="2413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11</xdr:row>
      <xdr:rowOff>101600</xdr:rowOff>
    </xdr:from>
    <xdr:to>
      <xdr:col>17</xdr:col>
      <xdr:colOff>914400</xdr:colOff>
      <xdr:row>11</xdr:row>
      <xdr:rowOff>101600</xdr:rowOff>
    </xdr:to>
    <xdr:sp macro="" textlink="">
      <xdr:nvSpPr>
        <xdr:cNvPr id="5600747" name="Line 297">
          <a:extLst>
            <a:ext uri="{FF2B5EF4-FFF2-40B4-BE49-F238E27FC236}">
              <a16:creationId xmlns:a16="http://schemas.microsoft.com/office/drawing/2014/main" id="{00000000-0008-0000-0700-0000EB755500}"/>
            </a:ext>
          </a:extLst>
        </xdr:cNvPr>
        <xdr:cNvSpPr>
          <a:spLocks noChangeShapeType="1"/>
        </xdr:cNvSpPr>
      </xdr:nvSpPr>
      <xdr:spPr bwMode="auto">
        <a:xfrm>
          <a:off x="14820900" y="20320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16</xdr:row>
      <xdr:rowOff>63500</xdr:rowOff>
    </xdr:from>
    <xdr:to>
      <xdr:col>17</xdr:col>
      <xdr:colOff>749300</xdr:colOff>
      <xdr:row>16</xdr:row>
      <xdr:rowOff>63500</xdr:rowOff>
    </xdr:to>
    <xdr:sp macro="" textlink="">
      <xdr:nvSpPr>
        <xdr:cNvPr id="5600748" name="Line 298">
          <a:extLst>
            <a:ext uri="{FF2B5EF4-FFF2-40B4-BE49-F238E27FC236}">
              <a16:creationId xmlns:a16="http://schemas.microsoft.com/office/drawing/2014/main" id="{00000000-0008-0000-0700-0000EC755500}"/>
            </a:ext>
          </a:extLst>
        </xdr:cNvPr>
        <xdr:cNvSpPr>
          <a:spLocks noChangeShapeType="1"/>
        </xdr:cNvSpPr>
      </xdr:nvSpPr>
      <xdr:spPr bwMode="auto">
        <a:xfrm>
          <a:off x="14820900" y="2832100"/>
          <a:ext cx="74930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558800</xdr:colOff>
      <xdr:row>31</xdr:row>
      <xdr:rowOff>127000</xdr:rowOff>
    </xdr:from>
    <xdr:to>
      <xdr:col>17</xdr:col>
      <xdr:colOff>558800</xdr:colOff>
      <xdr:row>33</xdr:row>
      <xdr:rowOff>101600</xdr:rowOff>
    </xdr:to>
    <xdr:sp macro="" textlink="">
      <xdr:nvSpPr>
        <xdr:cNvPr id="5600749" name="Line 301">
          <a:extLst>
            <a:ext uri="{FF2B5EF4-FFF2-40B4-BE49-F238E27FC236}">
              <a16:creationId xmlns:a16="http://schemas.microsoft.com/office/drawing/2014/main" id="{00000000-0008-0000-0700-0000ED755500}"/>
            </a:ext>
          </a:extLst>
        </xdr:cNvPr>
        <xdr:cNvSpPr>
          <a:spLocks noChangeShapeType="1"/>
        </xdr:cNvSpPr>
      </xdr:nvSpPr>
      <xdr:spPr bwMode="auto">
        <a:xfrm flipH="1">
          <a:off x="15379700" y="5422900"/>
          <a:ext cx="0" cy="330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2</xdr:row>
      <xdr:rowOff>76200</xdr:rowOff>
    </xdr:from>
    <xdr:to>
      <xdr:col>17</xdr:col>
      <xdr:colOff>165100</xdr:colOff>
      <xdr:row>2</xdr:row>
      <xdr:rowOff>76200</xdr:rowOff>
    </xdr:to>
    <xdr:sp macro="" textlink="">
      <xdr:nvSpPr>
        <xdr:cNvPr id="5600750" name="Line 302">
          <a:extLst>
            <a:ext uri="{FF2B5EF4-FFF2-40B4-BE49-F238E27FC236}">
              <a16:creationId xmlns:a16="http://schemas.microsoft.com/office/drawing/2014/main" id="{00000000-0008-0000-0700-0000EE755500}"/>
            </a:ext>
          </a:extLst>
        </xdr:cNvPr>
        <xdr:cNvSpPr>
          <a:spLocks noChangeShapeType="1"/>
        </xdr:cNvSpPr>
      </xdr:nvSpPr>
      <xdr:spPr bwMode="auto">
        <a:xfrm>
          <a:off x="14820900" y="431800"/>
          <a:ext cx="165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1943100</xdr:colOff>
      <xdr:row>10</xdr:row>
      <xdr:rowOff>88900</xdr:rowOff>
    </xdr:from>
    <xdr:to>
      <xdr:col>20</xdr:col>
      <xdr:colOff>0</xdr:colOff>
      <xdr:row>10</xdr:row>
      <xdr:rowOff>88900</xdr:rowOff>
    </xdr:to>
    <xdr:sp macro="" textlink="">
      <xdr:nvSpPr>
        <xdr:cNvPr id="5600751" name="Line 303">
          <a:extLst>
            <a:ext uri="{FF2B5EF4-FFF2-40B4-BE49-F238E27FC236}">
              <a16:creationId xmlns:a16="http://schemas.microsoft.com/office/drawing/2014/main" id="{00000000-0008-0000-0700-0000EF755500}"/>
            </a:ext>
          </a:extLst>
        </xdr:cNvPr>
        <xdr:cNvSpPr>
          <a:spLocks noChangeShapeType="1"/>
        </xdr:cNvSpPr>
      </xdr:nvSpPr>
      <xdr:spPr bwMode="auto">
        <a:xfrm flipV="1">
          <a:off x="16065500" y="1841500"/>
          <a:ext cx="21336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203200</xdr:colOff>
      <xdr:row>12</xdr:row>
      <xdr:rowOff>76200</xdr:rowOff>
    </xdr:from>
    <xdr:to>
      <xdr:col>20</xdr:col>
      <xdr:colOff>0</xdr:colOff>
      <xdr:row>12</xdr:row>
      <xdr:rowOff>76200</xdr:rowOff>
    </xdr:to>
    <xdr:sp macro="" textlink="">
      <xdr:nvSpPr>
        <xdr:cNvPr id="5600752" name="Line 304">
          <a:extLst>
            <a:ext uri="{FF2B5EF4-FFF2-40B4-BE49-F238E27FC236}">
              <a16:creationId xmlns:a16="http://schemas.microsoft.com/office/drawing/2014/main" id="{00000000-0008-0000-0700-0000F0755500}"/>
            </a:ext>
          </a:extLst>
        </xdr:cNvPr>
        <xdr:cNvSpPr>
          <a:spLocks noChangeShapeType="1"/>
        </xdr:cNvSpPr>
      </xdr:nvSpPr>
      <xdr:spPr bwMode="auto">
        <a:xfrm flipV="1">
          <a:off x="16268700" y="2184400"/>
          <a:ext cx="19304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25400</xdr:colOff>
      <xdr:row>15</xdr:row>
      <xdr:rowOff>50800</xdr:rowOff>
    </xdr:from>
    <xdr:to>
      <xdr:col>19</xdr:col>
      <xdr:colOff>863600</xdr:colOff>
      <xdr:row>15</xdr:row>
      <xdr:rowOff>50800</xdr:rowOff>
    </xdr:to>
    <xdr:sp macro="" textlink="">
      <xdr:nvSpPr>
        <xdr:cNvPr id="5600753" name="Line 305">
          <a:extLst>
            <a:ext uri="{FF2B5EF4-FFF2-40B4-BE49-F238E27FC236}">
              <a16:creationId xmlns:a16="http://schemas.microsoft.com/office/drawing/2014/main" id="{00000000-0008-0000-0700-0000F1755500}"/>
            </a:ext>
          </a:extLst>
        </xdr:cNvPr>
        <xdr:cNvSpPr>
          <a:spLocks noChangeShapeType="1"/>
        </xdr:cNvSpPr>
      </xdr:nvSpPr>
      <xdr:spPr bwMode="auto">
        <a:xfrm flipV="1">
          <a:off x="17335500" y="2654300"/>
          <a:ext cx="8382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25400</xdr:colOff>
      <xdr:row>19</xdr:row>
      <xdr:rowOff>25400</xdr:rowOff>
    </xdr:from>
    <xdr:to>
      <xdr:col>19</xdr:col>
      <xdr:colOff>889000</xdr:colOff>
      <xdr:row>19</xdr:row>
      <xdr:rowOff>25400</xdr:rowOff>
    </xdr:to>
    <xdr:sp macro="" textlink="">
      <xdr:nvSpPr>
        <xdr:cNvPr id="5600754" name="Line 308">
          <a:extLst>
            <a:ext uri="{FF2B5EF4-FFF2-40B4-BE49-F238E27FC236}">
              <a16:creationId xmlns:a16="http://schemas.microsoft.com/office/drawing/2014/main" id="{00000000-0008-0000-0700-0000F2755500}"/>
            </a:ext>
          </a:extLst>
        </xdr:cNvPr>
        <xdr:cNvSpPr>
          <a:spLocks noChangeShapeType="1"/>
        </xdr:cNvSpPr>
      </xdr:nvSpPr>
      <xdr:spPr bwMode="auto">
        <a:xfrm flipH="1" flipV="1">
          <a:off x="17335500" y="3289300"/>
          <a:ext cx="8636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none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889000</xdr:colOff>
      <xdr:row>28</xdr:row>
      <xdr:rowOff>88900</xdr:rowOff>
    </xdr:from>
    <xdr:to>
      <xdr:col>16</xdr:col>
      <xdr:colOff>355600</xdr:colOff>
      <xdr:row>28</xdr:row>
      <xdr:rowOff>88900</xdr:rowOff>
    </xdr:to>
    <xdr:sp macro="" textlink="">
      <xdr:nvSpPr>
        <xdr:cNvPr id="5600755" name="Line 310">
          <a:extLst>
            <a:ext uri="{FF2B5EF4-FFF2-40B4-BE49-F238E27FC236}">
              <a16:creationId xmlns:a16="http://schemas.microsoft.com/office/drawing/2014/main" id="{00000000-0008-0000-0700-0000F3755500}"/>
            </a:ext>
          </a:extLst>
        </xdr:cNvPr>
        <xdr:cNvSpPr>
          <a:spLocks noChangeShapeType="1"/>
        </xdr:cNvSpPr>
      </xdr:nvSpPr>
      <xdr:spPr bwMode="auto">
        <a:xfrm>
          <a:off x="13931900" y="4851400"/>
          <a:ext cx="355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254000</xdr:colOff>
      <xdr:row>27</xdr:row>
      <xdr:rowOff>127000</xdr:rowOff>
    </xdr:from>
    <xdr:to>
      <xdr:col>17</xdr:col>
      <xdr:colOff>76200</xdr:colOff>
      <xdr:row>27</xdr:row>
      <xdr:rowOff>127000</xdr:rowOff>
    </xdr:to>
    <xdr:sp macro="" textlink="">
      <xdr:nvSpPr>
        <xdr:cNvPr id="5600756" name="Line 277">
          <a:extLst>
            <a:ext uri="{FF2B5EF4-FFF2-40B4-BE49-F238E27FC236}">
              <a16:creationId xmlns:a16="http://schemas.microsoft.com/office/drawing/2014/main" id="{00000000-0008-0000-0700-0000F4755500}"/>
            </a:ext>
          </a:extLst>
        </xdr:cNvPr>
        <xdr:cNvSpPr>
          <a:spLocks noChangeShapeType="1"/>
        </xdr:cNvSpPr>
      </xdr:nvSpPr>
      <xdr:spPr bwMode="auto">
        <a:xfrm>
          <a:off x="14185900" y="4711700"/>
          <a:ext cx="7112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457200</xdr:colOff>
      <xdr:row>28</xdr:row>
      <xdr:rowOff>127000</xdr:rowOff>
    </xdr:from>
    <xdr:to>
      <xdr:col>19</xdr:col>
      <xdr:colOff>88900</xdr:colOff>
      <xdr:row>28</xdr:row>
      <xdr:rowOff>127000</xdr:rowOff>
    </xdr:to>
    <xdr:sp macro="" textlink="">
      <xdr:nvSpPr>
        <xdr:cNvPr id="5600757" name="Line 280">
          <a:extLst>
            <a:ext uri="{FF2B5EF4-FFF2-40B4-BE49-F238E27FC236}">
              <a16:creationId xmlns:a16="http://schemas.microsoft.com/office/drawing/2014/main" id="{00000000-0008-0000-0700-0000F5755500}"/>
            </a:ext>
          </a:extLst>
        </xdr:cNvPr>
        <xdr:cNvSpPr>
          <a:spLocks noChangeShapeType="1"/>
        </xdr:cNvSpPr>
      </xdr:nvSpPr>
      <xdr:spPr bwMode="auto">
        <a:xfrm flipV="1">
          <a:off x="15278100" y="4889500"/>
          <a:ext cx="21209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177800</xdr:colOff>
      <xdr:row>30</xdr:row>
      <xdr:rowOff>50800</xdr:rowOff>
    </xdr:from>
    <xdr:to>
      <xdr:col>18</xdr:col>
      <xdr:colOff>1016000</xdr:colOff>
      <xdr:row>30</xdr:row>
      <xdr:rowOff>50800</xdr:rowOff>
    </xdr:to>
    <xdr:sp macro="" textlink="">
      <xdr:nvSpPr>
        <xdr:cNvPr id="5600758" name="Line 280">
          <a:extLst>
            <a:ext uri="{FF2B5EF4-FFF2-40B4-BE49-F238E27FC236}">
              <a16:creationId xmlns:a16="http://schemas.microsoft.com/office/drawing/2014/main" id="{00000000-0008-0000-0700-0000F6755500}"/>
            </a:ext>
          </a:extLst>
        </xdr:cNvPr>
        <xdr:cNvSpPr>
          <a:spLocks noChangeShapeType="1"/>
        </xdr:cNvSpPr>
      </xdr:nvSpPr>
      <xdr:spPr bwMode="auto">
        <a:xfrm>
          <a:off x="16243300" y="5168900"/>
          <a:ext cx="8382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1143000</xdr:colOff>
      <xdr:row>20</xdr:row>
      <xdr:rowOff>0</xdr:rowOff>
    </xdr:from>
    <xdr:to>
      <xdr:col>18</xdr:col>
      <xdr:colOff>177800</xdr:colOff>
      <xdr:row>30</xdr:row>
      <xdr:rowOff>50800</xdr:rowOff>
    </xdr:to>
    <xdr:sp macro="" textlink="">
      <xdr:nvSpPr>
        <xdr:cNvPr id="5600759" name="Rectangle 139">
          <a:extLst>
            <a:ext uri="{FF2B5EF4-FFF2-40B4-BE49-F238E27FC236}">
              <a16:creationId xmlns:a16="http://schemas.microsoft.com/office/drawing/2014/main" id="{00000000-0008-0000-0700-0000F7755500}"/>
            </a:ext>
          </a:extLst>
        </xdr:cNvPr>
        <xdr:cNvSpPr>
          <a:spLocks noChangeArrowheads="1"/>
        </xdr:cNvSpPr>
      </xdr:nvSpPr>
      <xdr:spPr bwMode="auto">
        <a:xfrm>
          <a:off x="15963900" y="3429000"/>
          <a:ext cx="279400" cy="1739900"/>
        </a:xfrm>
        <a:prstGeom prst="rect">
          <a:avLst/>
        </a:prstGeom>
        <a:noFill/>
        <a:ln w="9525" algn="ctr">
          <a:solidFill>
            <a:srgbClr val="00B0F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1016000</xdr:colOff>
      <xdr:row>1</xdr:row>
      <xdr:rowOff>12700</xdr:rowOff>
    </xdr:from>
    <xdr:to>
      <xdr:col>18</xdr:col>
      <xdr:colOff>1016000</xdr:colOff>
      <xdr:row>29</xdr:row>
      <xdr:rowOff>76200</xdr:rowOff>
    </xdr:to>
    <xdr:sp macro="" textlink="">
      <xdr:nvSpPr>
        <xdr:cNvPr id="5600760" name="Line 270">
          <a:extLst>
            <a:ext uri="{FF2B5EF4-FFF2-40B4-BE49-F238E27FC236}">
              <a16:creationId xmlns:a16="http://schemas.microsoft.com/office/drawing/2014/main" id="{00000000-0008-0000-0700-0000F8755500}"/>
            </a:ext>
          </a:extLst>
        </xdr:cNvPr>
        <xdr:cNvSpPr>
          <a:spLocks noChangeShapeType="1"/>
        </xdr:cNvSpPr>
      </xdr:nvSpPr>
      <xdr:spPr bwMode="auto">
        <a:xfrm flipH="1">
          <a:off x="17081500" y="190500"/>
          <a:ext cx="0" cy="48260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12700</xdr:colOff>
      <xdr:row>33</xdr:row>
      <xdr:rowOff>101600</xdr:rowOff>
    </xdr:from>
    <xdr:to>
      <xdr:col>17</xdr:col>
      <xdr:colOff>571500</xdr:colOff>
      <xdr:row>33</xdr:row>
      <xdr:rowOff>101600</xdr:rowOff>
    </xdr:to>
    <xdr:sp macro="" textlink="">
      <xdr:nvSpPr>
        <xdr:cNvPr id="5600761" name="Line 301">
          <a:extLst>
            <a:ext uri="{FF2B5EF4-FFF2-40B4-BE49-F238E27FC236}">
              <a16:creationId xmlns:a16="http://schemas.microsoft.com/office/drawing/2014/main" id="{00000000-0008-0000-0700-0000F9755500}"/>
            </a:ext>
          </a:extLst>
        </xdr:cNvPr>
        <xdr:cNvSpPr>
          <a:spLocks noChangeShapeType="1"/>
        </xdr:cNvSpPr>
      </xdr:nvSpPr>
      <xdr:spPr bwMode="auto">
        <a:xfrm>
          <a:off x="14833600" y="5753100"/>
          <a:ext cx="558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863600</xdr:colOff>
      <xdr:row>1</xdr:row>
      <xdr:rowOff>25400</xdr:rowOff>
    </xdr:from>
    <xdr:to>
      <xdr:col>18</xdr:col>
      <xdr:colOff>863600</xdr:colOff>
      <xdr:row>30</xdr:row>
      <xdr:rowOff>38100</xdr:rowOff>
    </xdr:to>
    <xdr:sp macro="" textlink="">
      <xdr:nvSpPr>
        <xdr:cNvPr id="5600762" name="Line 270">
          <a:extLst>
            <a:ext uri="{FF2B5EF4-FFF2-40B4-BE49-F238E27FC236}">
              <a16:creationId xmlns:a16="http://schemas.microsoft.com/office/drawing/2014/main" id="{00000000-0008-0000-0700-0000FA755500}"/>
            </a:ext>
          </a:extLst>
        </xdr:cNvPr>
        <xdr:cNvSpPr>
          <a:spLocks noChangeShapeType="1"/>
        </xdr:cNvSpPr>
      </xdr:nvSpPr>
      <xdr:spPr bwMode="auto">
        <a:xfrm>
          <a:off x="16929100" y="203200"/>
          <a:ext cx="0" cy="49530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6" Type="http://schemas.openxmlformats.org/officeDocument/2006/relationships/comments" Target="../comments1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3" Type="http://schemas.openxmlformats.org/officeDocument/2006/relationships/oleObject" Target="../embeddings/oleObject1.bin"/><Relationship Id="rId7" Type="http://schemas.openxmlformats.org/officeDocument/2006/relationships/ctrlProp" Target="../ctrlProps/ctrlProp1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10" Type="http://schemas.openxmlformats.org/officeDocument/2006/relationships/comments" Target="../comments2.xml"/><Relationship Id="rId4" Type="http://schemas.openxmlformats.org/officeDocument/2006/relationships/image" Target="../media/image6.emf"/><Relationship Id="rId9" Type="http://schemas.openxmlformats.org/officeDocument/2006/relationships/ctrlProp" Target="../ctrlProps/ctrlProp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7.emf"/><Relationship Id="rId21" Type="http://schemas.openxmlformats.org/officeDocument/2006/relationships/oleObject" Target="../embeddings/oleObject10.bin"/><Relationship Id="rId42" Type="http://schemas.openxmlformats.org/officeDocument/2006/relationships/image" Target="../media/image25.emf"/><Relationship Id="rId47" Type="http://schemas.openxmlformats.org/officeDocument/2006/relationships/oleObject" Target="../embeddings/oleObject23.bin"/><Relationship Id="rId63" Type="http://schemas.openxmlformats.org/officeDocument/2006/relationships/oleObject" Target="../embeddings/oleObject31.bin"/><Relationship Id="rId68" Type="http://schemas.openxmlformats.org/officeDocument/2006/relationships/image" Target="../media/image38.emf"/><Relationship Id="rId2" Type="http://schemas.openxmlformats.org/officeDocument/2006/relationships/hyperlink" Target="http://www.planete-sciences.org/espace/basedoc/" TargetMode="External"/><Relationship Id="rId16" Type="http://schemas.openxmlformats.org/officeDocument/2006/relationships/image" Target="../media/image12.emf"/><Relationship Id="rId29" Type="http://schemas.openxmlformats.org/officeDocument/2006/relationships/oleObject" Target="../embeddings/oleObject14.bin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16.emf"/><Relationship Id="rId32" Type="http://schemas.openxmlformats.org/officeDocument/2006/relationships/image" Target="../media/image20.emf"/><Relationship Id="rId37" Type="http://schemas.openxmlformats.org/officeDocument/2006/relationships/oleObject" Target="../embeddings/oleObject18.bin"/><Relationship Id="rId40" Type="http://schemas.openxmlformats.org/officeDocument/2006/relationships/image" Target="../media/image24.emf"/><Relationship Id="rId45" Type="http://schemas.openxmlformats.org/officeDocument/2006/relationships/oleObject" Target="../embeddings/oleObject22.bin"/><Relationship Id="rId53" Type="http://schemas.openxmlformats.org/officeDocument/2006/relationships/oleObject" Target="../embeddings/oleObject26.bin"/><Relationship Id="rId58" Type="http://schemas.openxmlformats.org/officeDocument/2006/relationships/image" Target="../media/image33.emf"/><Relationship Id="rId66" Type="http://schemas.openxmlformats.org/officeDocument/2006/relationships/image" Target="../media/image37.emf"/><Relationship Id="rId74" Type="http://schemas.openxmlformats.org/officeDocument/2006/relationships/image" Target="../media/image41.emf"/><Relationship Id="rId5" Type="http://schemas.openxmlformats.org/officeDocument/2006/relationships/oleObject" Target="../embeddings/oleObject2.bin"/><Relationship Id="rId61" Type="http://schemas.openxmlformats.org/officeDocument/2006/relationships/oleObject" Target="../embeddings/oleObject30.bin"/><Relationship Id="rId19" Type="http://schemas.openxmlformats.org/officeDocument/2006/relationships/oleObject" Target="../embeddings/oleObject9.bin"/><Relationship Id="rId14" Type="http://schemas.openxmlformats.org/officeDocument/2006/relationships/image" Target="../media/image11.emf"/><Relationship Id="rId22" Type="http://schemas.openxmlformats.org/officeDocument/2006/relationships/image" Target="../media/image15.emf"/><Relationship Id="rId27" Type="http://schemas.openxmlformats.org/officeDocument/2006/relationships/oleObject" Target="../embeddings/oleObject13.bin"/><Relationship Id="rId30" Type="http://schemas.openxmlformats.org/officeDocument/2006/relationships/image" Target="../media/image19.emf"/><Relationship Id="rId35" Type="http://schemas.openxmlformats.org/officeDocument/2006/relationships/oleObject" Target="../embeddings/oleObject17.bin"/><Relationship Id="rId43" Type="http://schemas.openxmlformats.org/officeDocument/2006/relationships/oleObject" Target="../embeddings/oleObject21.bin"/><Relationship Id="rId48" Type="http://schemas.openxmlformats.org/officeDocument/2006/relationships/image" Target="../media/image28.emf"/><Relationship Id="rId56" Type="http://schemas.openxmlformats.org/officeDocument/2006/relationships/image" Target="../media/image32.emf"/><Relationship Id="rId64" Type="http://schemas.openxmlformats.org/officeDocument/2006/relationships/image" Target="../media/image36.emf"/><Relationship Id="rId69" Type="http://schemas.openxmlformats.org/officeDocument/2006/relationships/oleObject" Target="../embeddings/oleObject34.bin"/><Relationship Id="rId8" Type="http://schemas.openxmlformats.org/officeDocument/2006/relationships/image" Target="../media/image8.emf"/><Relationship Id="rId51" Type="http://schemas.openxmlformats.org/officeDocument/2006/relationships/oleObject" Target="../embeddings/oleObject25.bin"/><Relationship Id="rId72" Type="http://schemas.openxmlformats.org/officeDocument/2006/relationships/image" Target="../media/image40.emf"/><Relationship Id="rId3" Type="http://schemas.openxmlformats.org/officeDocument/2006/relationships/drawing" Target="../drawings/drawing5.xml"/><Relationship Id="rId12" Type="http://schemas.openxmlformats.org/officeDocument/2006/relationships/image" Target="../media/image10.e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6.bin"/><Relationship Id="rId38" Type="http://schemas.openxmlformats.org/officeDocument/2006/relationships/image" Target="../media/image23.emf"/><Relationship Id="rId46" Type="http://schemas.openxmlformats.org/officeDocument/2006/relationships/image" Target="../media/image27.emf"/><Relationship Id="rId59" Type="http://schemas.openxmlformats.org/officeDocument/2006/relationships/oleObject" Target="../embeddings/oleObject29.bin"/><Relationship Id="rId67" Type="http://schemas.openxmlformats.org/officeDocument/2006/relationships/oleObject" Target="../embeddings/oleObject33.bin"/><Relationship Id="rId20" Type="http://schemas.openxmlformats.org/officeDocument/2006/relationships/image" Target="../media/image14.emf"/><Relationship Id="rId41" Type="http://schemas.openxmlformats.org/officeDocument/2006/relationships/oleObject" Target="../embeddings/oleObject20.bin"/><Relationship Id="rId54" Type="http://schemas.openxmlformats.org/officeDocument/2006/relationships/image" Target="../media/image31.emf"/><Relationship Id="rId62" Type="http://schemas.openxmlformats.org/officeDocument/2006/relationships/image" Target="../media/image35.emf"/><Relationship Id="rId70" Type="http://schemas.openxmlformats.org/officeDocument/2006/relationships/image" Target="../media/image39.emf"/><Relationship Id="rId75" Type="http://schemas.openxmlformats.org/officeDocument/2006/relationships/oleObject" Target="../embeddings/oleObject37.bin"/><Relationship Id="rId1" Type="http://schemas.openxmlformats.org/officeDocument/2006/relationships/hyperlink" Target="http://en.wikipedia.org/wiki/Template:Numerical_integrators" TargetMode="External"/><Relationship Id="rId6" Type="http://schemas.openxmlformats.org/officeDocument/2006/relationships/image" Target="../media/image7.emf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8.emf"/><Relationship Id="rId36" Type="http://schemas.openxmlformats.org/officeDocument/2006/relationships/image" Target="../media/image22.emf"/><Relationship Id="rId49" Type="http://schemas.openxmlformats.org/officeDocument/2006/relationships/oleObject" Target="../embeddings/oleObject24.bin"/><Relationship Id="rId57" Type="http://schemas.openxmlformats.org/officeDocument/2006/relationships/oleObject" Target="../embeddings/oleObject28.bin"/><Relationship Id="rId10" Type="http://schemas.openxmlformats.org/officeDocument/2006/relationships/image" Target="../media/image9.emf"/><Relationship Id="rId31" Type="http://schemas.openxmlformats.org/officeDocument/2006/relationships/oleObject" Target="../embeddings/oleObject15.bin"/><Relationship Id="rId44" Type="http://schemas.openxmlformats.org/officeDocument/2006/relationships/image" Target="../media/image26.emf"/><Relationship Id="rId52" Type="http://schemas.openxmlformats.org/officeDocument/2006/relationships/image" Target="../media/image30.emf"/><Relationship Id="rId60" Type="http://schemas.openxmlformats.org/officeDocument/2006/relationships/image" Target="../media/image34.emf"/><Relationship Id="rId65" Type="http://schemas.openxmlformats.org/officeDocument/2006/relationships/oleObject" Target="../embeddings/oleObject32.bin"/><Relationship Id="rId73" Type="http://schemas.openxmlformats.org/officeDocument/2006/relationships/oleObject" Target="../embeddings/oleObject36.bin"/><Relationship Id="rId4" Type="http://schemas.openxmlformats.org/officeDocument/2006/relationships/vmlDrawing" Target="../drawings/vmlDrawing3.vml"/><Relationship Id="rId9" Type="http://schemas.openxmlformats.org/officeDocument/2006/relationships/oleObject" Target="../embeddings/oleObject4.bin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13.emf"/><Relationship Id="rId39" Type="http://schemas.openxmlformats.org/officeDocument/2006/relationships/oleObject" Target="../embeddings/oleObject19.bin"/><Relationship Id="rId34" Type="http://schemas.openxmlformats.org/officeDocument/2006/relationships/image" Target="../media/image21.emf"/><Relationship Id="rId50" Type="http://schemas.openxmlformats.org/officeDocument/2006/relationships/image" Target="../media/image29.emf"/><Relationship Id="rId55" Type="http://schemas.openxmlformats.org/officeDocument/2006/relationships/oleObject" Target="../embeddings/oleObject27.bin"/><Relationship Id="rId76" Type="http://schemas.openxmlformats.org/officeDocument/2006/relationships/image" Target="../media/image42.emf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3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8.bin"/><Relationship Id="rId7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20.xml"/><Relationship Id="rId5" Type="http://schemas.openxmlformats.org/officeDocument/2006/relationships/ctrlProp" Target="../ctrlProps/ctrlProp19.xml"/><Relationship Id="rId4" Type="http://schemas.openxmlformats.org/officeDocument/2006/relationships/image" Target="../media/image43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reativecommons.org/licenses/by-sa/3.0/" TargetMode="External"/><Relationship Id="rId2" Type="http://schemas.openxmlformats.org/officeDocument/2006/relationships/hyperlink" Target="mailto:espace@planete-sciences.org" TargetMode="External"/><Relationship Id="rId1" Type="http://schemas.openxmlformats.org/officeDocument/2006/relationships/hyperlink" Target="http://www.planete-sciences.org/espace/basedoc/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EE12-8C19-9F4B-B63B-E6B4AC5B4D7E}">
  <sheetPr codeName="Feuil2">
    <pageSetUpPr fitToPage="1"/>
  </sheetPr>
  <dimension ref="A1:W361"/>
  <sheetViews>
    <sheetView showGridLines="0" tabSelected="1" zoomScaleNormal="100" zoomScaleSheetLayoutView="100" workbookViewId="0">
      <selection activeCell="D33" sqref="D33"/>
    </sheetView>
  </sheetViews>
  <sheetFormatPr baseColWidth="10" defaultColWidth="11.28515625" defaultRowHeight="12.75" x14ac:dyDescent="0.2"/>
  <cols>
    <col min="1" max="1" width="2.140625" style="24" customWidth="1"/>
    <col min="2" max="2" width="16.28515625" style="24" customWidth="1"/>
    <col min="3" max="3" width="12.85546875" style="31" customWidth="1"/>
    <col min="4" max="4" width="12.85546875" style="24" customWidth="1"/>
    <col min="5" max="5" width="4.140625" style="89" customWidth="1"/>
    <col min="6" max="6" width="10.140625" style="26" bestFit="1" customWidth="1"/>
    <col min="7" max="7" width="10" style="26" bestFit="1" customWidth="1"/>
    <col min="8" max="9" width="8.7109375" style="26" customWidth="1"/>
    <col min="10" max="10" width="5.28515625" style="24" customWidth="1"/>
    <col min="11" max="11" width="2.140625" style="24" customWidth="1"/>
    <col min="12" max="12" width="17" style="24" customWidth="1"/>
    <col min="13" max="13" width="8.7109375" style="24" customWidth="1"/>
    <col min="14" max="15" width="4.28515625" style="24" customWidth="1"/>
    <col min="16" max="16" width="8.7109375" style="24" customWidth="1"/>
    <col min="17" max="18" width="2.140625" style="24" customWidth="1"/>
    <col min="19" max="16384" width="11.28515625" style="24"/>
  </cols>
  <sheetData>
    <row r="1" spans="1:20" ht="12.75" customHeight="1" x14ac:dyDescent="0.2">
      <c r="A1" s="19"/>
      <c r="B1" s="20"/>
      <c r="C1" s="21"/>
      <c r="D1" s="20"/>
      <c r="E1" s="88"/>
      <c r="F1" s="22"/>
      <c r="G1" s="22"/>
      <c r="H1" s="22"/>
      <c r="I1" s="22"/>
      <c r="J1" s="20"/>
      <c r="K1" s="20"/>
      <c r="L1" s="20"/>
      <c r="M1" s="20"/>
      <c r="N1" s="20"/>
      <c r="O1" s="20"/>
      <c r="P1" s="20"/>
      <c r="Q1" s="23"/>
    </row>
    <row r="2" spans="1:20" ht="12.75" customHeight="1" x14ac:dyDescent="0.2">
      <c r="A2" s="25"/>
      <c r="C2" s="564" t="s">
        <v>56</v>
      </c>
      <c r="D2" s="564"/>
      <c r="L2" s="147" t="str">
        <f>"Language/Langue"</f>
        <v>Language/Langue</v>
      </c>
      <c r="M2" s="547" t="s">
        <v>1</v>
      </c>
      <c r="N2" s="547"/>
      <c r="O2" s="547"/>
      <c r="P2" s="548"/>
      <c r="Q2" s="27"/>
    </row>
    <row r="3" spans="1:20" ht="12.75" customHeight="1" x14ac:dyDescent="0.2">
      <c r="A3" s="25"/>
      <c r="C3" s="564"/>
      <c r="D3" s="564"/>
      <c r="L3" s="558"/>
      <c r="M3" s="558"/>
      <c r="N3" s="45"/>
      <c r="Q3" s="27"/>
    </row>
    <row r="4" spans="1:20" ht="12.75" customHeight="1" x14ac:dyDescent="0.2">
      <c r="A4" s="25"/>
      <c r="C4" s="565" t="str">
        <f>IF(Lang="Français","Stabilité de fusée à ailerons",IF(Lang="English","Stability for rocket with fins",""))</f>
        <v>Stabilité de fusée à ailerons</v>
      </c>
      <c r="D4" s="565"/>
      <c r="L4" s="33"/>
      <c r="M4" s="547" t="s">
        <v>555</v>
      </c>
      <c r="N4" s="547"/>
      <c r="O4" s="547"/>
      <c r="P4" s="548"/>
      <c r="Q4" s="27"/>
    </row>
    <row r="5" spans="1:20" ht="12.75" customHeight="1" x14ac:dyDescent="0.25">
      <c r="A5" s="25"/>
      <c r="B5" s="28"/>
      <c r="C5" s="577"/>
      <c r="D5" s="577"/>
      <c r="L5" s="33"/>
      <c r="M5" s="554" t="s">
        <v>159</v>
      </c>
      <c r="N5" s="555"/>
      <c r="O5" s="561" t="s">
        <v>160</v>
      </c>
      <c r="P5" s="561"/>
      <c r="Q5" s="29"/>
    </row>
    <row r="6" spans="1:20" ht="12.75" customHeight="1" thickBot="1" x14ac:dyDescent="0.25">
      <c r="A6" s="25"/>
      <c r="B6" s="87"/>
      <c r="C6" s="587" t="str">
        <f>IF(Lang="Français","Remplir les cases jaunes",IF(Lang="English","Fill-in yellow cells only",""))</f>
        <v>Remplir les cases jaunes</v>
      </c>
      <c r="D6" s="587"/>
      <c r="L6" s="139" t="str">
        <f>IF(Lang="Français","Longueur      'L'",IF(Lang="English","Length      'L'",""))</f>
        <v>Longueur      'L'</v>
      </c>
      <c r="M6" s="556">
        <v>75</v>
      </c>
      <c r="N6" s="557"/>
      <c r="O6" s="553">
        <v>50</v>
      </c>
      <c r="P6" s="553"/>
      <c r="Q6" s="29"/>
    </row>
    <row r="7" spans="1:20" ht="12.75" customHeight="1" thickTop="1" thickBot="1" x14ac:dyDescent="0.25">
      <c r="A7" s="25"/>
      <c r="B7" s="31"/>
      <c r="C7" s="567" t="str">
        <f>IF(Lang="Français","Fusée",IF(Lang="English","Rocket",""))</f>
        <v>Fusée</v>
      </c>
      <c r="D7" s="568"/>
      <c r="L7" s="139" t="str">
        <f>IF(Lang="Français","Diamètre     'D1'",IF(Lang="English","Diameter 'D1'",""))</f>
        <v>Diamètre     'D1'</v>
      </c>
      <c r="M7" s="556">
        <f>D_og</f>
        <v>84</v>
      </c>
      <c r="N7" s="557"/>
      <c r="O7" s="553">
        <f>D_ref</f>
        <v>104</v>
      </c>
      <c r="P7" s="553"/>
      <c r="Q7" s="29"/>
    </row>
    <row r="8" spans="1:20" ht="12.75" customHeight="1" thickTop="1" x14ac:dyDescent="0.2">
      <c r="A8" s="25"/>
      <c r="B8" s="138" t="str">
        <f>IF(Lang="Français","Nom",IF(Lang="English","Name",""))</f>
        <v>Nom</v>
      </c>
      <c r="C8" s="571" t="s">
        <v>162</v>
      </c>
      <c r="D8" s="571"/>
      <c r="E8" s="90"/>
      <c r="K8" s="33"/>
      <c r="L8" s="139" t="str">
        <f>IF(Lang="Français","Diamètre     'D2'",IF(Lang="English","Diameter 'D2'",""))</f>
        <v>Diamètre     'D2'</v>
      </c>
      <c r="M8" s="556">
        <f>D_ref</f>
        <v>104</v>
      </c>
      <c r="N8" s="557"/>
      <c r="O8" s="553">
        <f>D_ref</f>
        <v>104</v>
      </c>
      <c r="P8" s="553"/>
      <c r="Q8" s="29"/>
    </row>
    <row r="9" spans="1:20" ht="12.75" customHeight="1" x14ac:dyDescent="0.2">
      <c r="A9" s="25"/>
      <c r="B9" s="138" t="s">
        <v>4</v>
      </c>
      <c r="C9" s="572" t="s">
        <v>166</v>
      </c>
      <c r="D9" s="572"/>
      <c r="E9" s="90"/>
      <c r="K9" s="33"/>
      <c r="L9" s="139" t="str">
        <f>IF(Lang="Français","Implantation 'x'",IF(Lang="English","Basement 'x'",""))</f>
        <v>Implantation 'x'</v>
      </c>
      <c r="M9" s="556">
        <v>1035</v>
      </c>
      <c r="N9" s="557"/>
      <c r="O9" s="553">
        <f>Long_tot-l_r</f>
        <v>1942</v>
      </c>
      <c r="P9" s="553"/>
      <c r="Q9" s="29"/>
    </row>
    <row r="10" spans="1:20" ht="12.75" customHeight="1" x14ac:dyDescent="0.2">
      <c r="A10" s="25"/>
      <c r="B10" s="139" t="s">
        <v>57</v>
      </c>
      <c r="C10" s="569" t="s">
        <v>553</v>
      </c>
      <c r="D10" s="570"/>
      <c r="E10" s="90"/>
      <c r="K10" s="33"/>
      <c r="Q10" s="29"/>
    </row>
    <row r="11" spans="1:20" ht="12.75" customHeight="1" x14ac:dyDescent="0.2">
      <c r="A11" s="25"/>
      <c r="B11" s="139" t="str">
        <f>IF(Lang="Français","Masse",IF(Lang="English","Weight",""))</f>
        <v>Masse</v>
      </c>
      <c r="C11" s="222">
        <v>7500</v>
      </c>
      <c r="D11" s="34" t="s">
        <v>429</v>
      </c>
      <c r="E11" s="90"/>
      <c r="K11" s="33"/>
      <c r="L11" s="107"/>
      <c r="M11" s="224" t="str">
        <f>IF(Lang="Français","Propu plein",IF(Lang="English","Loaded Motor",""))</f>
        <v>Propu plein</v>
      </c>
      <c r="N11" s="559" t="str">
        <f>IF(Lang="Français","Propu vide",IF(Lang="English","Empty Motor",""))</f>
        <v>Propu vide</v>
      </c>
      <c r="O11" s="560"/>
      <c r="P11" s="224" t="str">
        <f>IF(Lang="Français","Sans propu",IF(Lang="English","Without M",""))</f>
        <v>Sans propu</v>
      </c>
      <c r="Q11" s="29"/>
      <c r="S11" s="385"/>
      <c r="T11" s="386" t="str">
        <f>IF(Lang="Français","Propulseur",IF(Lang="English","Motor",""))</f>
        <v>Propulseur</v>
      </c>
    </row>
    <row r="12" spans="1:20" ht="12.75" customHeight="1" x14ac:dyDescent="0.2">
      <c r="A12" s="25"/>
      <c r="B12" s="139" t="str">
        <f>IF(Lang="Français","Centre de Masse",IF(Lang="English","Center of Mass",""))</f>
        <v>Centre de Masse</v>
      </c>
      <c r="C12" s="35">
        <v>859</v>
      </c>
      <c r="D12" s="34" t="s">
        <v>429</v>
      </c>
      <c r="L12" s="108" t="str">
        <f>IF(Lang="Français","Masse propu",IF(Lang="English","Motor Mass",""))</f>
        <v>Masse propu</v>
      </c>
      <c r="M12" s="109">
        <f ca="1">MpropuPlein</f>
        <v>3.5110000000000001</v>
      </c>
      <c r="N12" s="551">
        <f ca="1">MpropuVide</f>
        <v>1.6379999999999999</v>
      </c>
      <c r="O12" s="552"/>
      <c r="P12" s="110" t="s">
        <v>14</v>
      </c>
      <c r="Q12" s="29"/>
      <c r="S12" s="386" t="str">
        <f>IF(Lang="Français","Haut",IF(Lang="English","Top",""))</f>
        <v>Haut</v>
      </c>
      <c r="T12" s="387">
        <f ca="1">XpropuRef-Long_propu</f>
        <v>1506</v>
      </c>
    </row>
    <row r="13" spans="1:20" ht="12.75" customHeight="1" x14ac:dyDescent="0.2">
      <c r="A13" s="25"/>
      <c r="B13" s="139" t="str">
        <f>IF(Lang="Français","Longueur totale",IF(Lang="English","Total length",""))</f>
        <v>Longueur totale</v>
      </c>
      <c r="C13" s="556">
        <v>1992</v>
      </c>
      <c r="D13" s="557"/>
      <c r="L13" s="108" t="str">
        <f>IF(Lang="Français","CdM propu",IF(Lang="English","Motor CoM",""))</f>
        <v>CdM propu</v>
      </c>
      <c r="M13" s="111">
        <f ca="1">XpropuPlein</f>
        <v>243</v>
      </c>
      <c r="N13" s="549">
        <f ca="1">XpropuVide</f>
        <v>243</v>
      </c>
      <c r="O13" s="550"/>
      <c r="P13" s="110" t="s">
        <v>14</v>
      </c>
      <c r="Q13" s="29"/>
      <c r="S13" s="386" t="str">
        <f>IF(Lang="Français","Longueur",IF(Lang="English","Length",""))</f>
        <v>Longueur</v>
      </c>
      <c r="T13" s="387">
        <f ca="1">Long_propu</f>
        <v>486</v>
      </c>
    </row>
    <row r="14" spans="1:20" ht="12.75" customHeight="1" x14ac:dyDescent="0.2">
      <c r="A14" s="25"/>
      <c r="B14" s="139" t="str">
        <f>IF(Lang="Français","Diamètre Réf.",IF(Lang="English","Ref. Diameter",""))</f>
        <v>Diamètre Réf.</v>
      </c>
      <c r="C14" s="556">
        <v>104</v>
      </c>
      <c r="D14" s="557"/>
      <c r="L14" s="108" t="str">
        <f>IF(Lang="Français","Masse fusée",IF(Lang="English","Rocket Mass",""))</f>
        <v>Masse fusée</v>
      </c>
      <c r="M14" s="112">
        <f ca="1">MasseSans+MpropuPlein</f>
        <v>11.010999999999999</v>
      </c>
      <c r="N14" s="573">
        <f ca="1">MasseSans+MpropuVide</f>
        <v>9.1379999999999999</v>
      </c>
      <c r="O14" s="574"/>
      <c r="P14" s="109">
        <f>IF(OR(D11="sans propu",D11="without motor"),C11/1000,IF(OR(D11="avec propu vide",D11="with empty motor"),C11/1000-MpropuVide,IF(OR(D11="avec propu plein",D11="with loaded motor"),C11/1000-MpropuPlein,"Erreur")))</f>
        <v>7.5</v>
      </c>
      <c r="Q14" s="29"/>
      <c r="S14" s="386" t="str">
        <f>IF(Lang="Français","Bas",IF(Lang="English","Base",""))</f>
        <v>Bas</v>
      </c>
      <c r="T14" s="387">
        <f>XpropuRef</f>
        <v>1992</v>
      </c>
    </row>
    <row r="15" spans="1:20" ht="12.75" customHeight="1" thickBot="1" x14ac:dyDescent="0.25">
      <c r="A15" s="25"/>
      <c r="D15" s="31"/>
      <c r="L15" s="175" t="str">
        <f>IF(Lang="Français","CdM fusée",IF(Lang="English","Rocket CoM",""))</f>
        <v>CdM fusée</v>
      </c>
      <c r="M15" s="176">
        <f ca="1">(XcgSans*MasseSans+(XpropuRef-Long_propu+XpropuPlein)*MpropuPlein)/MassePlein</f>
        <v>1142.7880301516668</v>
      </c>
      <c r="N15" s="575">
        <f ca="1">(XcgSans*MasseSans+(XpropuRef-Long_propu+XpropuVide)*MpropuVide)/MasseVide</f>
        <v>1018.5338148391332</v>
      </c>
      <c r="O15" s="576"/>
      <c r="P15" s="113">
        <f>IF(OR(D12="sans propu",D12="without motor"),C12,IF(OR(D12="avec propu vide",D12="with empty motor"),(C12*MasseVide-(XpropuRef-Long_propu+XpropuVide)*MpropuVide)/MasseSans,IF(OR(D12="avec propu plein",D12="with loaded motor"),(C12*MassePlein-(XpropuRef-Long_propu+XpropuPlein)*MpropuPlein)/MasseSans,"Erreur")))</f>
        <v>859</v>
      </c>
      <c r="Q15" s="29"/>
    </row>
    <row r="16" spans="1:20" ht="12.75" customHeight="1" thickTop="1" thickBot="1" x14ac:dyDescent="0.25">
      <c r="A16" s="25"/>
      <c r="C16" s="579" t="str">
        <f>IF(Lang="Français","Propulseur",IF(Lang="English","Motor",""))</f>
        <v>Propulseur</v>
      </c>
      <c r="D16" s="580"/>
      <c r="L16" s="94"/>
      <c r="M16" s="94"/>
      <c r="N16" s="94"/>
      <c r="O16" s="94"/>
      <c r="P16" s="94"/>
      <c r="Q16" s="29"/>
      <c r="S16" s="385"/>
      <c r="T16" s="386" t="str">
        <f>IF(RIGHT(Type_masquage,1)=",",IF(Lang="Français","Ailerons","Fins"),IF(Lang="Français","Ailerons bas","Lower Fins"))</f>
        <v>Ailerons bas</v>
      </c>
    </row>
    <row r="17" spans="1:20" ht="12.75" customHeight="1" thickTop="1" x14ac:dyDescent="0.2">
      <c r="A17" s="25"/>
      <c r="B17" s="139" t="s">
        <v>57</v>
      </c>
      <c r="C17" s="581" t="s">
        <v>46</v>
      </c>
      <c r="D17" s="582"/>
      <c r="L17" s="114"/>
      <c r="M17" s="545" t="s">
        <v>58</v>
      </c>
      <c r="N17" s="546"/>
      <c r="O17" s="535" t="s">
        <v>68</v>
      </c>
      <c r="P17" s="535"/>
      <c r="Q17" s="29"/>
      <c r="S17" s="386" t="str">
        <f>IF(Lang="Français","Haut","Top")</f>
        <v>Haut</v>
      </c>
      <c r="T17" s="387">
        <f>X_ail-m_ail</f>
        <v>1782</v>
      </c>
    </row>
    <row r="18" spans="1:20" ht="12.75" customHeight="1" x14ac:dyDescent="0.2">
      <c r="A18" s="25"/>
      <c r="B18" s="139" t="str">
        <f>IF(Lang="Français","Position du bas",IF(Lang="English","Basement",""))</f>
        <v>Position du bas</v>
      </c>
      <c r="C18" s="553">
        <f>Long_tot</f>
        <v>1992</v>
      </c>
      <c r="D18" s="553"/>
      <c r="K18" s="37"/>
      <c r="L18" s="108" t="str">
        <f>IF(Lang="Français","Coiffe",IF(Lang="English","Nose Cone",""))</f>
        <v>Coiffe</v>
      </c>
      <c r="M18" s="543">
        <f>IF(LEFT(Forme_ogive,5)="Parab",1/2*Long_ogive,IF(LEFT(Forme_ogive,4)="Ogiv",7/15*Long_ogive,IF(LEFT(Forme_ogive,3)="Con",2/3*Long_ogive)))</f>
        <v>183.33333333333331</v>
      </c>
      <c r="N18" s="544"/>
      <c r="O18" s="536">
        <f>2*POWER(D_og/D_ref, 2)</f>
        <v>1.304733727810651</v>
      </c>
      <c r="P18" s="536"/>
      <c r="Q18" s="29"/>
      <c r="S18" s="386" t="str">
        <f>IF(Lang="Français","Emplanture","Root edge")</f>
        <v>Emplanture</v>
      </c>
      <c r="T18" s="387">
        <f>m_ail</f>
        <v>190</v>
      </c>
    </row>
    <row r="19" spans="1:20" ht="12.75" customHeight="1" thickBot="1" x14ac:dyDescent="0.25">
      <c r="A19" s="25"/>
      <c r="B19" s="428" t="str">
        <f>IF(Propu="Cariacou","Cariacou :"," ")</f>
        <v xml:space="preserve"> </v>
      </c>
      <c r="C19" s="590" t="str">
        <f>IF(Propu="Cariacou",IF(Lang="Français","Campagne nationale",IF(Lang="English","National campagn only","")),"")</f>
        <v/>
      </c>
      <c r="D19" s="590"/>
      <c r="L19" s="108" t="str">
        <f>IF(Lang="Français","Ailerons",IF(Lang="English","Fins",""))</f>
        <v>Ailerons</v>
      </c>
      <c r="M19" s="543">
        <f>(XCpa*Cnail-0.5*XCpi*Cni)/Cnai</f>
        <v>1890.4666666666667</v>
      </c>
      <c r="N19" s="544"/>
      <c r="O19" s="583">
        <f>Cnail-Cni/2</f>
        <v>11.855845691444417</v>
      </c>
      <c r="P19" s="584"/>
      <c r="Q19" s="29"/>
      <c r="S19" s="386" t="str">
        <f>IF(Lang="Français","Bas","Base")</f>
        <v>Bas</v>
      </c>
      <c r="T19" s="387">
        <f>X_ail</f>
        <v>1972</v>
      </c>
    </row>
    <row r="20" spans="1:20" ht="12.75" customHeight="1" thickTop="1" thickBot="1" x14ac:dyDescent="0.25">
      <c r="A20" s="25"/>
      <c r="B20" s="30"/>
      <c r="C20" s="585" t="str">
        <f>IF(Lang="Français","Coiffe",IF(Lang="English","Nose Cone",""))</f>
        <v>Coiffe</v>
      </c>
      <c r="D20" s="586"/>
      <c r="L20" s="108" t="str">
        <f>IF(Lang="Français","Ail bas entier",IF(Lang="English","Total Lower Fins",""))</f>
        <v>Ail bas entier</v>
      </c>
      <c r="M20" s="543">
        <f>X_ail-m_ail+p_ail*(m_ail+2*n_ail)/(3*(m_ail+n_ail))+(m_ail+n_ail-m_ail*n_ail/(m_ail+n_ail))/6</f>
        <v>1890.4666666666667</v>
      </c>
      <c r="N20" s="544"/>
      <c r="O20" s="536">
        <f>4*Q_ail*POWER((E_ail/D_ref),2)*(1+D_ail/(2*E_ail+D_ail))/(1+SQRT(1+POWER(2*f_ail/(m_ail+n_ail),2)))</f>
        <v>11.855845691444417</v>
      </c>
      <c r="P20" s="536"/>
      <c r="Q20" s="29"/>
    </row>
    <row r="21" spans="1:20" ht="12.75" customHeight="1" thickTop="1" x14ac:dyDescent="0.2">
      <c r="A21" s="25"/>
      <c r="B21" s="139" t="str">
        <f>IF(Lang="Français","Forme",IF(Lang="English","Shape",""))</f>
        <v>Forme</v>
      </c>
      <c r="C21" s="562" t="s">
        <v>554</v>
      </c>
      <c r="D21" s="563"/>
      <c r="L21" s="108" t="str">
        <f>IF(Lang="Français","Ailerons haut",IF(Lang="English","Upper Fins",""))</f>
        <v>Ailerons haut</v>
      </c>
      <c r="M21" s="543">
        <f>IF(LEFT(Type_masquage,1)="M",0, X_can-m_can+p_can*(m_can+2*n_can)/(3*(m_can+n_can))+(m_can+n_can-m_can*n_can/(m_can+n_can))/6)</f>
        <v>953.4666666666667</v>
      </c>
      <c r="N21" s="544"/>
      <c r="O21" s="536">
        <f>IF(LEFT(Type_masquage,1)="M",0, 4*Q_can*POWER((E_can/D_ref),2)*(1+D_can/(2*E_can+D_can))/(1+SQRT(1+POWER(2*f_can/(m_can+n_can),2))))</f>
        <v>8.6046787043525867</v>
      </c>
      <c r="P21" s="536"/>
      <c r="Q21" s="29"/>
    </row>
    <row r="22" spans="1:20" ht="12.75" customHeight="1" x14ac:dyDescent="0.2">
      <c r="A22" s="25"/>
      <c r="B22" s="139" t="str">
        <f>IF(Lang="Français","Hauteur",IF(Lang="English","Heigth",""))</f>
        <v>Hauteur</v>
      </c>
      <c r="C22" s="556">
        <v>275</v>
      </c>
      <c r="D22" s="557"/>
      <c r="L22" s="108" t="str">
        <f>IF(Lang="Français","Partie masquée",IF(Lang="English","Interation zone",""))</f>
        <v>Partie masquée</v>
      </c>
      <c r="M22" s="566">
        <f>IF(LEFT(Type_masquage,1)="B", X_int-m_int+p_int*(m_int+2*n_int)/(3*(m_int+n_int))+(m_int+n_int-m_int*n_int/(m_int+n_int))/6, 0 )</f>
        <v>1887.103550295858</v>
      </c>
      <c r="N22" s="566"/>
      <c r="O22" s="583">
        <f>IF(LEFT(Type_masquage,1)="B", 4*Q_int*POWER((E_int/D_ref),2)*(1+D_int/(2*E_int+D_int))/(1+SQRT(1+POWER(2*f_int/(m_int+n_int),2))), 0 )</f>
        <v>0</v>
      </c>
      <c r="P22" s="584"/>
      <c r="Q22" s="29"/>
    </row>
    <row r="23" spans="1:20" ht="12.75" customHeight="1" x14ac:dyDescent="0.2">
      <c r="A23" s="25"/>
      <c r="B23" s="139" t="str">
        <f>IF(Lang="Français","Diamètre",IF(Lang="English","Diameter",""))</f>
        <v>Diamètre</v>
      </c>
      <c r="C23" s="556">
        <v>84</v>
      </c>
      <c r="D23" s="557"/>
      <c r="L23" s="108" t="s">
        <v>159</v>
      </c>
      <c r="M23" s="543">
        <f>IF(OR(RIGHT(Nb_diam,1)=",",D2j=0),0, X_j+l_j/3*(1+1/(1+D1j/D2j)) )</f>
        <v>1073.8297872340427</v>
      </c>
      <c r="N23" s="544"/>
      <c r="O23" s="536">
        <f>IF(OR(RIGHT(Nb_diam,1)=",",D2j=0),0,2*(POWER(D2j/D_ref,2)-POWER(D1j/D_ref,2)))</f>
        <v>0.695266272189349</v>
      </c>
      <c r="P23" s="536"/>
      <c r="Q23" s="29"/>
    </row>
    <row r="24" spans="1:20" ht="12.75" customHeight="1" thickBot="1" x14ac:dyDescent="0.25">
      <c r="A24" s="25"/>
      <c r="L24" s="108" t="s">
        <v>160</v>
      </c>
      <c r="M24" s="543">
        <f>IF( OR(RIGHT(Nb_diam,1)=",",D2r=0), 0, X_r+l_r/3*(1+1/(1+D1r/D2r)) )</f>
        <v>1967</v>
      </c>
      <c r="N24" s="544"/>
      <c r="O24" s="536">
        <f>IF( OR(RIGHT(Nb_diam,1)=",",D2r=0), 0, 2*(POWER(D2r/D_ref,2)-POWER(D1r/D_ref,2)) )</f>
        <v>0</v>
      </c>
      <c r="P24" s="536"/>
      <c r="Q24" s="29"/>
    </row>
    <row r="25" spans="1:20" ht="12.75" customHeight="1" thickTop="1" thickBot="1" x14ac:dyDescent="0.25">
      <c r="A25" s="25"/>
      <c r="B25" s="30"/>
      <c r="C25" s="178" t="str">
        <f>IF(LEFT(Type_masquage,1)="M",IF(Lang="Français","Ailerons","Fins"),IF(Lang="Français","Ailerons bas","Lower Fins"))</f>
        <v>Ailerons bas</v>
      </c>
      <c r="D25" s="179" t="str">
        <f>IF(Lang="Français","Ailerons haut",IF(Lang="English","Upper Fins",""))</f>
        <v>Ailerons haut</v>
      </c>
      <c r="E25" s="180" t="s">
        <v>154</v>
      </c>
      <c r="L25" s="38"/>
      <c r="M25" s="38"/>
      <c r="N25" s="38"/>
      <c r="Q25" s="29"/>
      <c r="R25" s="38"/>
      <c r="S25" s="388" t="str">
        <f ca="1">IF(AND(Portee_balistique&gt;200,LEFT(Propu,2)="p2"),IF(Lang="Français","Fusée trop lègère !","Rocket too light"),"")</f>
        <v/>
      </c>
    </row>
    <row r="26" spans="1:20" ht="12.75" customHeight="1" thickTop="1" x14ac:dyDescent="0.2">
      <c r="A26" s="25"/>
      <c r="B26" s="30"/>
      <c r="C26" s="588" t="s">
        <v>431</v>
      </c>
      <c r="D26" s="589"/>
      <c r="F26" s="39">
        <f ca="1">TODAY()</f>
        <v>45778</v>
      </c>
      <c r="G26" s="137" t="s">
        <v>65</v>
      </c>
      <c r="H26" s="578" t="str">
        <f>IF(Lang="Français","Résultats",IF(Lang="English","Results",""))</f>
        <v>Résultats</v>
      </c>
      <c r="I26" s="578"/>
      <c r="J26" s="137" t="s">
        <v>66</v>
      </c>
      <c r="K26" s="32"/>
      <c r="L26" s="38"/>
      <c r="M26" s="38"/>
      <c r="N26" s="38"/>
      <c r="Q26" s="29"/>
      <c r="R26" s="38"/>
      <c r="S26" s="388" t="str">
        <f ca="1">IF(AND(Vsortie_de_rampe&lt;18, OR(LEFT(Type_fusee,1)=",",LEFT(Type_fusee,4)="Mini",LEFT(Type_fusee,1)="R")),IF(Lang="Français","Fusée trop lourde ou rampe trop courte !","Rocket too heavy or launch pad too small!"),"")</f>
        <v/>
      </c>
    </row>
    <row r="27" spans="1:20" ht="12.75" customHeight="1" x14ac:dyDescent="0.2">
      <c r="A27" s="25"/>
      <c r="B27" s="526" t="str">
        <f>IF(Lang="Français"," Emplanture  'm'",IF(Lang="English"," Root edge  'm'",""))</f>
        <v xml:space="preserve"> Emplanture  'm'</v>
      </c>
      <c r="C27" s="177">
        <v>190</v>
      </c>
      <c r="D27" s="177">
        <v>190</v>
      </c>
      <c r="E27" s="146">
        <f>m_ail</f>
        <v>190</v>
      </c>
      <c r="F27" s="105" t="s">
        <v>67</v>
      </c>
      <c r="G27" s="104">
        <f>IF(RIGHT(Type_fusee,1)=".",10, IF(OR(LEFT(Type_fusee,1)="R",LEFT(Type_fusee,1)=",",LEFT(Type_fusee,4)="Mini"),10, IF(LEFT(Type_fusee,5)="Micro",10, IF(RIGHT(Type_fusee,1)=" ",1))))</f>
        <v>10</v>
      </c>
      <c r="H27" s="541">
        <f>Long_tot/D_ref</f>
        <v>19.153846153846153</v>
      </c>
      <c r="I27" s="542"/>
      <c r="J27" s="104">
        <f>IF(RIGHT(Type_fusee,1)=".",35, IF(OR(LEFT(Type_fusee,1)="R",LEFT(Type_fusee,1)=",",LEFT(Type_fusee,4)="Mini"),20, IF(LEFT(Type_fusee,5)="Micro",30, IF(RIGHT(Type_fusee,1)=" ",100))))</f>
        <v>35</v>
      </c>
      <c r="K27" s="32"/>
      <c r="L27" s="38"/>
      <c r="M27" s="38"/>
      <c r="N27" s="38"/>
      <c r="Q27" s="29"/>
      <c r="R27" s="38"/>
      <c r="S27" s="388" t="str">
        <f>IF(Finesse&lt;CritFinessemin, IF(Lang="Français","Fusée trop courte !","Rocket too short!"), "" ) &amp; IF(Finesse&gt;CritFinessemax, IF(Lang="Français","Fusée trop longue !","Rocket too long!"), "" )</f>
        <v/>
      </c>
    </row>
    <row r="28" spans="1:20" ht="12.75" customHeight="1" x14ac:dyDescent="0.2">
      <c r="A28" s="25"/>
      <c r="B28" s="526" t="str">
        <f>IF(Lang="Français"," Saumon       'n'",IF(Lang="English"," Tip edge    'n'",""))</f>
        <v xml:space="preserve"> Saumon       'n'</v>
      </c>
      <c r="C28" s="35">
        <v>60</v>
      </c>
      <c r="D28" s="35">
        <v>60</v>
      </c>
      <c r="E28" s="146">
        <f>n_ail+(m_ail-n_ail)*(1-E_int/E_ail)</f>
        <v>70</v>
      </c>
      <c r="F28" s="105" t="str">
        <f>IF(Lang="Français","Portance","Lift")</f>
        <v>Portance</v>
      </c>
      <c r="G28" s="104">
        <f>IF(RIGHT(Type_fusee,1)=".",15,IF(OR(LEFT(Type_fusee,1)="R",LEFT(Type_fusee,1)=",",LEFT(Type_fusee,4)="Mini"),15, IF(LEFT(Type_fusee,5)="Micro",15, IF(RIGHT(Type_fusee,1)=" ",15))))</f>
        <v>15</v>
      </c>
      <c r="H28" s="510">
        <f>Cnai+Cnc+Cno+Cnj+Cnr</f>
        <v>22.460524395797002</v>
      </c>
      <c r="I28" s="510">
        <f>Cnail+Cnc+Cno+Cnj+Cnr</f>
        <v>22.460524395797002</v>
      </c>
      <c r="J28" s="104">
        <f>IF(RIGHT(Type_fusee,1)=".",40, IF(OR(LEFT(Type_fusee,1)="R",LEFT(Type_fusee,1)=",",LEFT(Type_fusee,4)="Mini"),30, IF(LEFT(Type_fusee,5)="Micro",30, IF(RIGHT(Type_fusee,1)=" ",30))))</f>
        <v>40</v>
      </c>
      <c r="K28" s="32"/>
      <c r="L28" s="38"/>
      <c r="M28" s="38"/>
      <c r="N28" s="38"/>
      <c r="Q28" s="29"/>
      <c r="R28" s="38"/>
      <c r="S28" s="388" t="str">
        <f>IF(Cn&lt;CritCnmin, IF(Lang="Français","Ailerons trop petits !","Fins too small!"), "" ) &amp; IF(Cn&gt;CritCnmax, IF(Lang="Français","Ailerons trop grands !","Fins too big!"), "" )</f>
        <v/>
      </c>
    </row>
    <row r="29" spans="1:20" ht="12.75" customHeight="1" x14ac:dyDescent="0.2">
      <c r="A29" s="25"/>
      <c r="B29" s="526" t="str">
        <f>IF(Lang="Français"," Flèche          'p'"," Offset         'p'")</f>
        <v xml:space="preserve"> Flèche          'p'</v>
      </c>
      <c r="C29" s="35">
        <v>180</v>
      </c>
      <c r="D29" s="35">
        <v>180</v>
      </c>
      <c r="E29" s="146">
        <f>p_ail*E_int/E_ail</f>
        <v>166.15384615384616</v>
      </c>
      <c r="F29" s="517" t="str">
        <f>IF(Lang="Français","MargeStat.","StatMargin")</f>
        <v>MargeStat.</v>
      </c>
      <c r="G29" s="512">
        <f>IF(RIGHT(Type_fusee,1)=".",2, IF(OR(LEFT(Type_fusee,1)="R",LEFT(Type_fusee,1)=",",LEFT(Type_fusee,4)="Mini"),1.5, IF(LEFT(Type_fusee,5)="Micro",1, IF(RIGHT(Type_fusee,1)=" ",1))))</f>
        <v>2</v>
      </c>
      <c r="H29" s="97">
        <f ca="1">(XCp-XcgPlein)/D_ref</f>
        <v>2.5410118900859575</v>
      </c>
      <c r="I29" s="98">
        <f ca="1">(XCp0-XcgVide)/D_ref</f>
        <v>3.7357639603987804</v>
      </c>
      <c r="J29" s="512">
        <f>IF(RIGHT(Type_fusee,1)=".",6, IF(OR(LEFT(Type_fusee,1)="R",LEFT(Type_fusee,1)=",",LEFT(Type_fusee,4)="Mini"),6, IF(LEFT(Type_fusee,5)="Micro",3, IF(RIGHT(Type_fusee,1)=" ",3))))</f>
        <v>6</v>
      </c>
      <c r="K29" s="32"/>
      <c r="Q29" s="29"/>
      <c r="R29" s="38"/>
      <c r="S29" s="388" t="str">
        <f ca="1">IF(MS_min&lt;CritMsmin, IF(Lang="Français","Abaisser les ailerons ou rehausser le CdM !","Lower the fins or move up the center of mass!"), "" ) &amp; IF(MS_max&gt;CritMsmax, IF(Lang="Français","Rehausser les ailerons ou abaisser le CdM !","Move up the fins or lower the center of mass!"), "" )</f>
        <v/>
      </c>
    </row>
    <row r="30" spans="1:20" ht="12.75" customHeight="1" x14ac:dyDescent="0.2">
      <c r="A30" s="25"/>
      <c r="B30" s="526" t="str">
        <f>IF(Lang="Français"," Envergure     'E'",IF(Lang="English"," Span          'E'",""))</f>
        <v xml:space="preserve"> Envergure     'E'</v>
      </c>
      <c r="C30" s="35">
        <v>130</v>
      </c>
      <c r="D30" s="35">
        <v>130</v>
      </c>
      <c r="E30" s="146">
        <f>IF(D_can/2+E_can&lt;=D_ail/2,0, IF(D_can/2+E_can&gt;=D_ail/2+E_ail,E_ail,  D_can/2+E_can - D_ail/2  ) )</f>
        <v>120</v>
      </c>
      <c r="F30" s="518" t="str">
        <f>IF(Lang="Français","Couple","Torque")</f>
        <v>Couple</v>
      </c>
      <c r="G30" s="513">
        <f>IF(RIGHT(Type_fusee,1)=".",40, IF(OR(LEFT(Type_fusee,1)="R",LEFT(Type_fusee,1)=",",LEFT(Type_fusee,4)="Mini"),30, IF(LEFT(Type_fusee,5)="Micro",15, IF(RIGHT(Type_fusee,1)=" ",15))))</f>
        <v>40</v>
      </c>
      <c r="H30" s="99">
        <f ca="1">MS_min*Cn</f>
        <v>57.072459547285895</v>
      </c>
      <c r="I30" s="96">
        <f ca="1">MS_max*Cn0</f>
        <v>83.907217569476032</v>
      </c>
      <c r="J30" s="513">
        <f>IF(RIGHT(Type_fusee,1)=".",100, IF(OR(LEFT(Type_fusee,1)="R",LEFT(Type_fusee,1)=",",LEFT(Type_fusee,4)="Mini"),100, IF(LEFT(Type_fusee,5)="Micro",100, IF(RIGHT(Type_fusee,1)=" ",90))))</f>
        <v>100</v>
      </c>
      <c r="K30" s="32"/>
      <c r="Q30" s="29"/>
      <c r="R30" s="38"/>
      <c r="S30" s="388" t="str">
        <f ca="1">IF(MS_Cn_min&lt;CritMsCnmin, IF(Lang="Français","Ailerons trop petits ou trop haut /CdM !","Fins too small or too high /CoM!"), "" ) &amp; IF(MS_Cn_max&gt;CritMsCnmax, IF(Lang="Français","Ailerons trop grands ou trop bas  /CdM !","Fins too big or too low / CoM!"), "" )</f>
        <v/>
      </c>
    </row>
    <row r="31" spans="1:20" ht="12.75" customHeight="1" x14ac:dyDescent="0.2">
      <c r="A31" s="25"/>
      <c r="B31" s="527" t="str">
        <f>IF(Lang="Français"," Epaisseur     'ep'",IF(Lang="English"," Thickness  'ep'",""))</f>
        <v xml:space="preserve"> Epaisseur     'ep'</v>
      </c>
      <c r="C31" s="35">
        <v>4</v>
      </c>
      <c r="D31" s="35">
        <v>3</v>
      </c>
      <c r="E31" s="146">
        <f>ep_ail</f>
        <v>4</v>
      </c>
      <c r="F31" s="106" t="s">
        <v>58</v>
      </c>
      <c r="G31" s="103"/>
      <c r="H31" s="511">
        <f>(Cnai*XCpai+Cnc*XCpc+Cnj*XCpj+Cnr*XCpr+Cno*XCpo)/(Cnai+Cnc+Cnr+Cnj+Cno)</f>
        <v>1407.0532667206064</v>
      </c>
      <c r="I31" s="511">
        <f>(Cnail*XCpa+Cnc*XCpc+Cnj*XCpj+Cnr*XCpr+Cno*XCpo)/(Cnail+Cnc+Cnr+Cnj+Cno)</f>
        <v>1407.0532667206064</v>
      </c>
      <c r="J31" s="102"/>
      <c r="K31" s="32"/>
      <c r="Q31" s="29"/>
      <c r="R31" s="38"/>
      <c r="S31" s="388"/>
    </row>
    <row r="32" spans="1:20" ht="12.75" customHeight="1" x14ac:dyDescent="0.2">
      <c r="A32" s="25"/>
      <c r="B32" s="526" t="str">
        <f>IF(Lang="Français"," Nombre            ",IF(Lang="English"," Number of fins",""))</f>
        <v xml:space="preserve"> Nombre            </v>
      </c>
      <c r="C32" s="36">
        <v>4</v>
      </c>
      <c r="D32" s="36">
        <v>3</v>
      </c>
      <c r="E32" s="146" t="b">
        <f>IF(Q_ail=Q_can,Q_ail,FALSE)</f>
        <v>0</v>
      </c>
      <c r="F32" s="106" t="s">
        <v>69</v>
      </c>
      <c r="G32" s="103"/>
      <c r="H32" s="100">
        <f ca="1">(XCp-XcgPlein)/Long_tot*100</f>
        <v>13.26632713699496</v>
      </c>
      <c r="I32" s="101">
        <f ca="1">(XCp-XcgVide)/Long_tot*100</f>
        <v>19.503988548266726</v>
      </c>
      <c r="J32" s="102"/>
      <c r="K32" s="32"/>
      <c r="Q32" s="29"/>
      <c r="R32" s="38"/>
    </row>
    <row r="33" spans="1:23" ht="12.75" customHeight="1" x14ac:dyDescent="0.2">
      <c r="A33" s="25"/>
      <c r="B33" s="526" t="str">
        <f>IF(Lang="Français"," Position du bas",IF(Lang="English"," Basement",""))</f>
        <v xml:space="preserve"> Position du bas</v>
      </c>
      <c r="C33" s="35">
        <f>Long_tot-20</f>
        <v>1972</v>
      </c>
      <c r="D33" s="35">
        <v>1035</v>
      </c>
      <c r="E33" s="146">
        <f>X_ail</f>
        <v>1972</v>
      </c>
      <c r="G33" s="24"/>
      <c r="H33" s="537" t="str">
        <f ca="1">IF(AND(CritCnmin&lt;Cn,Cn0&lt;CritCnmax,CritMsmin&lt;MS_min,MS_max&lt;CritMsmax,CritMsCnmin&lt;MS_Cn_min,MS_Cn_max&lt;CritMsCnmax),"STABLE",IF(OR(Cn&lt;CritCnmin,MS_min&lt;CritMsmin,MS_Cn_min&lt;CritMsCnmin),"INSTABLE",IF(Lang="Français","SURSTABLE","OVERSTABLE")))</f>
        <v>STABLE</v>
      </c>
      <c r="I33" s="538"/>
      <c r="J33" s="31"/>
      <c r="K33" s="32"/>
      <c r="Q33" s="29"/>
      <c r="R33" s="38"/>
    </row>
    <row r="34" spans="1:23" ht="12.75" customHeight="1" x14ac:dyDescent="0.2">
      <c r="A34" s="25"/>
      <c r="B34" s="526" t="str">
        <f>IF(Lang="Français"," Diamètre         ",IF(Lang="English"," Diameter at Fins",""))</f>
        <v xml:space="preserve"> Diamètre         </v>
      </c>
      <c r="C34" s="35">
        <v>104</v>
      </c>
      <c r="D34" s="35">
        <v>84</v>
      </c>
      <c r="E34" s="146">
        <f>D_ail</f>
        <v>104</v>
      </c>
      <c r="G34" s="24"/>
      <c r="H34" s="539"/>
      <c r="I34" s="540"/>
      <c r="K34" s="32"/>
      <c r="Q34" s="29"/>
      <c r="R34" s="38"/>
    </row>
    <row r="35" spans="1:23" ht="12.75" customHeight="1" x14ac:dyDescent="0.2">
      <c r="A35" s="25"/>
      <c r="B35" s="526" t="str">
        <f>IF(Lang="Français"," Ligne mi-corde f",IF(Lang="English"," Mid-chord line f",""))</f>
        <v xml:space="preserve"> Ligne mi-corde f</v>
      </c>
      <c r="C35" s="145">
        <f>SQRT(POWER(p_ail+n_ail/2-m_ail/2,2)+POWER(E_ail,2))</f>
        <v>173.56554957709781</v>
      </c>
      <c r="D35" s="145">
        <f>SQRT(POWER(p_can+n_can/2-m_can/2,2)+POWER(E_can,2))</f>
        <v>173.56554957709781</v>
      </c>
      <c r="E35" s="146">
        <f>SQRT(POWER(p_int+n_int/2-m_int/2,2)+POWER(E_int,2))</f>
        <v>160.2143534557826</v>
      </c>
      <c r="K35" s="32"/>
      <c r="Q35" s="29"/>
      <c r="R35" s="38"/>
      <c r="W35" s="24" t="str">
        <f>RIGHT(Type_fusee,1="R")</f>
        <v/>
      </c>
    </row>
    <row r="36" spans="1:23" ht="12.75" customHeight="1" thickBot="1" x14ac:dyDescent="0.25">
      <c r="A36" s="40"/>
      <c r="B36" s="182" t="str">
        <f>IF(Lang="Français","Commentaire libre :",IF(Lang="English","Free comment:",""))</f>
        <v>Commentaire libre :</v>
      </c>
      <c r="C36" s="41"/>
      <c r="D36" s="42"/>
      <c r="E36" s="91"/>
      <c r="F36" s="67"/>
      <c r="G36" s="67"/>
      <c r="H36" s="67"/>
      <c r="I36" s="67"/>
      <c r="J36" s="42"/>
      <c r="K36" s="42"/>
      <c r="L36" s="389" t="s">
        <v>275</v>
      </c>
      <c r="M36" s="392" t="str">
        <f>IF(ROUND(SUM(Propu!5:1218),0)=306466,"propu OK","propu NOK")</f>
        <v>propu OK</v>
      </c>
      <c r="N36" s="391" t="str">
        <f>IF(Lang="Français","fichier initial","Initial file")</f>
        <v>fichier initial</v>
      </c>
      <c r="O36" s="392"/>
      <c r="P36" s="390"/>
      <c r="Q36" s="291" t="s">
        <v>552</v>
      </c>
      <c r="R36" s="38"/>
    </row>
    <row r="37" spans="1:23" ht="12.75" customHeight="1" x14ac:dyDescent="0.2">
      <c r="R37" s="43"/>
    </row>
    <row r="38" spans="1:23" x14ac:dyDescent="0.2">
      <c r="L38" s="226" t="str">
        <f>IF(Lang="Français","Maintenant que votre fusée est stable, vérifiez sa trajectoire via la feuille","Now your rocket is stable, check its trajectory on sheet")</f>
        <v>Maintenant que votre fusée est stable, vérifiez sa trajectoire via la feuille</v>
      </c>
      <c r="M38" s="483" t="s">
        <v>185</v>
      </c>
    </row>
    <row r="39" spans="1:23" x14ac:dyDescent="0.2">
      <c r="H39" s="87"/>
      <c r="O39" s="26"/>
      <c r="P39" s="26"/>
    </row>
    <row r="40" spans="1:23" x14ac:dyDescent="0.2">
      <c r="F40" s="24"/>
      <c r="H40" s="43"/>
      <c r="I40" s="44"/>
      <c r="J40" s="43"/>
      <c r="N40" s="43"/>
      <c r="Q40" s="43"/>
      <c r="S40" s="508"/>
    </row>
    <row r="41" spans="1:23" x14ac:dyDescent="0.2">
      <c r="F41" s="24"/>
      <c r="G41" s="505"/>
      <c r="H41" s="506"/>
      <c r="I41" s="44"/>
      <c r="J41" s="43"/>
      <c r="N41" s="43"/>
      <c r="Q41" s="43"/>
      <c r="R41" s="43"/>
    </row>
    <row r="42" spans="1:23" x14ac:dyDescent="0.2">
      <c r="F42" s="24"/>
      <c r="H42" s="43"/>
      <c r="I42" s="44"/>
      <c r="J42" s="43"/>
      <c r="N42" s="43"/>
      <c r="Q42" s="43"/>
      <c r="R42" s="43"/>
    </row>
    <row r="43" spans="1:23" x14ac:dyDescent="0.2">
      <c r="F43" s="24"/>
      <c r="H43" s="43"/>
      <c r="I43" s="44"/>
      <c r="J43" s="43"/>
      <c r="N43" s="43"/>
      <c r="Q43" s="43"/>
      <c r="R43" s="43"/>
    </row>
    <row r="44" spans="1:23" x14ac:dyDescent="0.2">
      <c r="F44" s="24"/>
      <c r="H44" s="43"/>
      <c r="I44" s="44"/>
      <c r="J44" s="43"/>
      <c r="N44" s="43"/>
      <c r="Q44" s="43"/>
      <c r="R44" s="43"/>
    </row>
    <row r="45" spans="1:23" x14ac:dyDescent="0.2">
      <c r="F45" s="24"/>
      <c r="H45" s="43"/>
      <c r="I45" s="44"/>
      <c r="J45" s="43"/>
      <c r="N45" s="43"/>
      <c r="Q45" s="43"/>
      <c r="R45" s="43"/>
    </row>
    <row r="46" spans="1:23" x14ac:dyDescent="0.2">
      <c r="F46" s="24"/>
      <c r="H46" s="43"/>
      <c r="I46" s="44"/>
      <c r="J46" s="43"/>
      <c r="L46" s="43"/>
      <c r="M46" s="43"/>
      <c r="N46" s="43"/>
      <c r="Q46" s="43"/>
      <c r="R46" s="43"/>
    </row>
    <row r="47" spans="1:23" x14ac:dyDescent="0.2">
      <c r="F47" s="24"/>
      <c r="H47" s="43"/>
      <c r="I47" s="44"/>
      <c r="J47" s="43"/>
      <c r="L47" s="43"/>
      <c r="M47" s="43"/>
      <c r="N47" s="43"/>
      <c r="Q47" s="43"/>
      <c r="R47" s="43"/>
    </row>
    <row r="48" spans="1:23" x14ac:dyDescent="0.2">
      <c r="F48" s="24"/>
      <c r="H48" s="43"/>
      <c r="I48" s="44"/>
      <c r="J48" s="43"/>
      <c r="L48" s="43"/>
      <c r="M48" s="43"/>
      <c r="N48" s="43"/>
      <c r="Q48" s="43"/>
      <c r="R48" s="43"/>
    </row>
    <row r="49" spans="2:18" x14ac:dyDescent="0.2">
      <c r="F49" s="24"/>
      <c r="H49" s="43"/>
      <c r="I49" s="44"/>
      <c r="J49" s="43"/>
      <c r="L49" s="43"/>
      <c r="M49" s="43"/>
      <c r="N49" s="43"/>
      <c r="Q49" s="43"/>
      <c r="R49" s="43"/>
    </row>
    <row r="50" spans="2:18" x14ac:dyDescent="0.2">
      <c r="F50" s="24"/>
      <c r="H50" s="43"/>
      <c r="I50" s="44"/>
      <c r="J50" s="43"/>
      <c r="L50" s="43"/>
      <c r="M50" s="43"/>
      <c r="N50" s="43"/>
      <c r="Q50" s="43"/>
      <c r="R50" s="43"/>
    </row>
    <row r="51" spans="2:18" x14ac:dyDescent="0.2">
      <c r="F51" s="24"/>
      <c r="H51" s="43"/>
      <c r="I51" s="44"/>
      <c r="J51" s="43"/>
      <c r="L51" s="43"/>
      <c r="M51" s="43"/>
      <c r="N51" s="43"/>
      <c r="Q51" s="43"/>
      <c r="R51" s="43"/>
    </row>
    <row r="52" spans="2:18" x14ac:dyDescent="0.2">
      <c r="H52" s="43"/>
      <c r="I52" s="44"/>
      <c r="J52" s="43"/>
      <c r="L52" s="43"/>
      <c r="M52" s="43"/>
      <c r="N52" s="43"/>
      <c r="Q52" s="43"/>
      <c r="R52" s="43"/>
    </row>
    <row r="53" spans="2:18" x14ac:dyDescent="0.2">
      <c r="H53" s="43"/>
      <c r="I53" s="44"/>
      <c r="J53" s="43"/>
      <c r="L53" s="43"/>
      <c r="M53" s="43"/>
      <c r="N53" s="43"/>
      <c r="Q53" s="43"/>
      <c r="R53" s="43"/>
    </row>
    <row r="54" spans="2:18" x14ac:dyDescent="0.2">
      <c r="H54" s="43"/>
      <c r="I54" s="44"/>
      <c r="J54" s="43"/>
      <c r="L54" s="43"/>
      <c r="M54" s="43"/>
      <c r="N54" s="43"/>
      <c r="Q54" s="43"/>
      <c r="R54" s="43"/>
    </row>
    <row r="55" spans="2:18" x14ac:dyDescent="0.2">
      <c r="H55" s="43"/>
      <c r="I55" s="44"/>
      <c r="J55" s="43"/>
      <c r="L55" s="43"/>
      <c r="M55" s="43"/>
      <c r="N55" s="43"/>
      <c r="Q55" s="43"/>
      <c r="R55" s="43"/>
    </row>
    <row r="56" spans="2:18" x14ac:dyDescent="0.2">
      <c r="C56" s="24"/>
      <c r="H56" s="43"/>
      <c r="I56" s="44"/>
      <c r="J56" s="43"/>
      <c r="L56" s="43"/>
      <c r="M56" s="43"/>
      <c r="N56" s="43"/>
      <c r="Q56" s="43"/>
      <c r="R56" s="43"/>
    </row>
    <row r="57" spans="2:18" x14ac:dyDescent="0.2">
      <c r="H57" s="43"/>
      <c r="I57" s="44"/>
      <c r="J57" s="43"/>
      <c r="L57" s="43"/>
      <c r="M57" s="43"/>
      <c r="N57" s="43"/>
      <c r="Q57" s="43"/>
      <c r="R57" s="43"/>
    </row>
    <row r="58" spans="2:18" x14ac:dyDescent="0.2">
      <c r="B58" s="31"/>
      <c r="H58" s="43"/>
      <c r="I58" s="44"/>
      <c r="J58" s="43"/>
      <c r="L58" s="43"/>
      <c r="M58" s="43"/>
      <c r="N58" s="43"/>
      <c r="Q58" s="43"/>
      <c r="R58" s="43"/>
    </row>
    <row r="59" spans="2:18" x14ac:dyDescent="0.2">
      <c r="B59" s="31"/>
      <c r="H59" s="43"/>
      <c r="I59" s="44"/>
      <c r="J59" s="43"/>
      <c r="L59" s="43"/>
      <c r="M59" s="43"/>
      <c r="N59" s="43"/>
      <c r="Q59" s="43"/>
      <c r="R59" s="43"/>
    </row>
    <row r="60" spans="2:18" x14ac:dyDescent="0.2">
      <c r="B60" s="31"/>
      <c r="H60" s="43"/>
      <c r="I60" s="44"/>
      <c r="J60" s="43"/>
      <c r="L60" s="43"/>
      <c r="M60" s="43"/>
      <c r="N60" s="43"/>
      <c r="Q60" s="43"/>
      <c r="R60" s="43"/>
    </row>
    <row r="61" spans="2:18" x14ac:dyDescent="0.2">
      <c r="B61" s="31"/>
      <c r="H61" s="43"/>
      <c r="I61" s="44"/>
      <c r="J61" s="43"/>
      <c r="L61" s="43"/>
      <c r="M61" s="43"/>
      <c r="N61" s="43"/>
      <c r="Q61" s="43"/>
      <c r="R61" s="43"/>
    </row>
    <row r="62" spans="2:18" x14ac:dyDescent="0.2">
      <c r="B62" s="31"/>
      <c r="H62" s="43"/>
      <c r="I62" s="44"/>
      <c r="J62" s="43"/>
      <c r="L62" s="43"/>
      <c r="M62" s="43"/>
      <c r="N62" s="43"/>
      <c r="Q62" s="43"/>
      <c r="R62" s="43"/>
    </row>
    <row r="63" spans="2:18" x14ac:dyDescent="0.2">
      <c r="B63" s="31"/>
      <c r="H63" s="43"/>
      <c r="I63" s="44"/>
      <c r="J63" s="43"/>
      <c r="L63" s="43"/>
      <c r="M63" s="43"/>
      <c r="N63" s="43"/>
      <c r="Q63" s="43"/>
      <c r="R63" s="43"/>
    </row>
    <row r="64" spans="2:18" x14ac:dyDescent="0.2">
      <c r="B64" s="31"/>
      <c r="H64" s="43"/>
      <c r="I64" s="44"/>
      <c r="J64" s="43"/>
      <c r="L64" s="43"/>
      <c r="M64" s="43"/>
      <c r="N64" s="43"/>
      <c r="Q64" s="43"/>
      <c r="R64" s="43"/>
    </row>
    <row r="65" spans="2:18" x14ac:dyDescent="0.2">
      <c r="B65" s="31"/>
      <c r="H65" s="43"/>
      <c r="I65" s="44"/>
      <c r="J65" s="43"/>
      <c r="L65" s="43"/>
      <c r="M65" s="43"/>
      <c r="N65" s="43"/>
      <c r="Q65" s="43"/>
      <c r="R65" s="43"/>
    </row>
    <row r="66" spans="2:18" x14ac:dyDescent="0.2">
      <c r="B66" s="31"/>
      <c r="H66" s="43"/>
      <c r="I66" s="44"/>
      <c r="J66" s="43"/>
      <c r="L66" s="43"/>
      <c r="M66" s="43"/>
      <c r="N66" s="43"/>
      <c r="Q66" s="43"/>
      <c r="R66" s="43"/>
    </row>
    <row r="67" spans="2:18" x14ac:dyDescent="0.2">
      <c r="C67" s="24"/>
      <c r="H67" s="43"/>
      <c r="I67" s="44"/>
      <c r="J67" s="43"/>
      <c r="L67" s="43"/>
      <c r="M67" s="43"/>
      <c r="N67" s="43"/>
      <c r="Q67" s="43"/>
      <c r="R67" s="43"/>
    </row>
    <row r="68" spans="2:18" x14ac:dyDescent="0.2">
      <c r="C68" s="24"/>
      <c r="H68" s="43"/>
      <c r="I68" s="44"/>
      <c r="J68" s="43"/>
      <c r="L68" s="43"/>
      <c r="M68" s="43"/>
      <c r="N68" s="43"/>
      <c r="Q68" s="43"/>
      <c r="R68" s="43"/>
    </row>
    <row r="69" spans="2:18" x14ac:dyDescent="0.2">
      <c r="C69" s="24"/>
      <c r="H69" s="43"/>
      <c r="I69" s="44"/>
      <c r="J69" s="43"/>
      <c r="L69" s="43"/>
      <c r="M69" s="43"/>
      <c r="N69" s="43"/>
      <c r="Q69" s="43"/>
      <c r="R69" s="43"/>
    </row>
    <row r="70" spans="2:18" x14ac:dyDescent="0.2">
      <c r="C70" s="24"/>
      <c r="H70" s="43"/>
      <c r="I70" s="44"/>
      <c r="J70" s="43"/>
      <c r="L70" s="43"/>
      <c r="M70" s="43"/>
      <c r="N70" s="43"/>
      <c r="Q70" s="43"/>
      <c r="R70" s="43"/>
    </row>
    <row r="71" spans="2:18" x14ac:dyDescent="0.2">
      <c r="C71" s="24"/>
      <c r="H71" s="43"/>
      <c r="I71" s="44"/>
      <c r="J71" s="43"/>
      <c r="L71" s="43"/>
      <c r="M71" s="43"/>
      <c r="N71" s="43"/>
      <c r="Q71" s="43"/>
      <c r="R71" s="43"/>
    </row>
    <row r="72" spans="2:18" x14ac:dyDescent="0.2">
      <c r="C72" s="24"/>
      <c r="H72" s="43"/>
      <c r="I72" s="44"/>
      <c r="J72" s="43"/>
      <c r="L72" s="43"/>
      <c r="M72" s="43"/>
      <c r="N72" s="43"/>
      <c r="Q72" s="43"/>
      <c r="R72" s="43"/>
    </row>
    <row r="73" spans="2:18" x14ac:dyDescent="0.2">
      <c r="C73" s="24"/>
      <c r="H73" s="43"/>
      <c r="I73" s="44"/>
      <c r="J73" s="43"/>
      <c r="L73" s="43"/>
      <c r="M73" s="43"/>
      <c r="N73" s="43"/>
      <c r="Q73" s="43"/>
      <c r="R73" s="43"/>
    </row>
    <row r="74" spans="2:18" x14ac:dyDescent="0.2">
      <c r="C74" s="24"/>
      <c r="H74" s="43"/>
      <c r="I74" s="44"/>
      <c r="J74" s="43"/>
      <c r="L74" s="43"/>
      <c r="M74" s="43"/>
      <c r="N74" s="43"/>
      <c r="Q74" s="43"/>
      <c r="R74" s="43"/>
    </row>
    <row r="75" spans="2:18" x14ac:dyDescent="0.2">
      <c r="C75" s="24"/>
      <c r="H75" s="43"/>
      <c r="I75" s="44"/>
      <c r="J75" s="43"/>
      <c r="L75" s="43"/>
      <c r="M75" s="43"/>
      <c r="N75" s="43"/>
      <c r="Q75" s="43"/>
      <c r="R75" s="43"/>
    </row>
    <row r="76" spans="2:18" x14ac:dyDescent="0.2">
      <c r="C76" s="24"/>
      <c r="H76" s="43"/>
      <c r="I76" s="44"/>
      <c r="J76" s="43"/>
      <c r="L76" s="43"/>
      <c r="M76" s="43"/>
      <c r="N76" s="43"/>
      <c r="Q76" s="43"/>
      <c r="R76" s="43"/>
    </row>
    <row r="77" spans="2:18" x14ac:dyDescent="0.2">
      <c r="C77" s="24"/>
      <c r="H77" s="43"/>
      <c r="I77" s="44"/>
      <c r="J77" s="43"/>
      <c r="L77" s="43"/>
      <c r="M77" s="43"/>
      <c r="N77" s="43"/>
      <c r="Q77" s="43"/>
      <c r="R77" s="43"/>
    </row>
    <row r="78" spans="2:18" x14ac:dyDescent="0.2">
      <c r="C78" s="24"/>
      <c r="H78" s="43"/>
      <c r="I78" s="44"/>
      <c r="J78" s="43"/>
      <c r="L78" s="43"/>
      <c r="M78" s="43"/>
      <c r="N78" s="43"/>
      <c r="Q78" s="43"/>
      <c r="R78" s="43"/>
    </row>
    <row r="79" spans="2:18" x14ac:dyDescent="0.2">
      <c r="C79" s="24"/>
      <c r="H79" s="43"/>
      <c r="I79" s="44"/>
      <c r="J79" s="43"/>
      <c r="L79" s="43"/>
      <c r="M79" s="43"/>
      <c r="N79" s="43"/>
      <c r="Q79" s="43"/>
      <c r="R79" s="43"/>
    </row>
    <row r="80" spans="2:18" x14ac:dyDescent="0.2">
      <c r="C80" s="24"/>
      <c r="H80" s="43"/>
      <c r="I80" s="44"/>
      <c r="J80" s="43"/>
      <c r="L80" s="43"/>
      <c r="M80" s="43"/>
      <c r="N80" s="43"/>
      <c r="Q80" s="43"/>
      <c r="R80" s="43"/>
    </row>
    <row r="81" spans="2:18" x14ac:dyDescent="0.2">
      <c r="C81" s="24"/>
      <c r="H81" s="43"/>
      <c r="I81" s="44"/>
      <c r="J81" s="43"/>
      <c r="L81" s="43"/>
      <c r="M81" s="43"/>
      <c r="N81" s="43"/>
      <c r="Q81" s="43"/>
      <c r="R81" s="43"/>
    </row>
    <row r="82" spans="2:18" x14ac:dyDescent="0.2">
      <c r="C82" s="24"/>
      <c r="H82" s="43"/>
      <c r="I82" s="44"/>
      <c r="J82" s="43"/>
      <c r="L82" s="43"/>
      <c r="M82" s="43"/>
      <c r="N82" s="43"/>
      <c r="Q82" s="43"/>
      <c r="R82" s="43"/>
    </row>
    <row r="83" spans="2:18" x14ac:dyDescent="0.2">
      <c r="C83" s="24"/>
      <c r="H83" s="43"/>
      <c r="I83" s="44"/>
      <c r="J83" s="43"/>
      <c r="L83" s="43"/>
      <c r="M83" s="43"/>
      <c r="N83" s="43"/>
      <c r="Q83" s="43"/>
      <c r="R83" s="43"/>
    </row>
    <row r="84" spans="2:18" x14ac:dyDescent="0.2">
      <c r="C84" s="24"/>
      <c r="H84" s="43"/>
      <c r="I84" s="44"/>
      <c r="J84" s="43"/>
      <c r="L84" s="43"/>
      <c r="M84" s="43"/>
      <c r="N84" s="43"/>
      <c r="Q84" s="43"/>
      <c r="R84" s="43"/>
    </row>
    <row r="85" spans="2:18" x14ac:dyDescent="0.2">
      <c r="C85" s="24"/>
      <c r="H85" s="43"/>
      <c r="I85" s="44"/>
      <c r="J85" s="43"/>
      <c r="L85" s="43"/>
      <c r="M85" s="43"/>
      <c r="N85" s="43"/>
      <c r="Q85" s="43"/>
      <c r="R85" s="43"/>
    </row>
    <row r="86" spans="2:18" x14ac:dyDescent="0.2">
      <c r="C86" s="24"/>
      <c r="H86" s="43"/>
      <c r="I86" s="44"/>
      <c r="J86" s="43"/>
      <c r="L86" s="43"/>
      <c r="M86" s="43"/>
      <c r="N86" s="43"/>
      <c r="Q86" s="43"/>
      <c r="R86" s="43"/>
    </row>
    <row r="87" spans="2:18" x14ac:dyDescent="0.2">
      <c r="C87" s="24"/>
      <c r="H87" s="43"/>
      <c r="I87" s="44"/>
      <c r="J87" s="43"/>
      <c r="L87" s="43"/>
      <c r="M87" s="43"/>
      <c r="N87" s="43"/>
      <c r="Q87" s="43"/>
      <c r="R87" s="43"/>
    </row>
    <row r="88" spans="2:18" x14ac:dyDescent="0.2">
      <c r="C88" s="24"/>
      <c r="H88" s="43"/>
      <c r="I88" s="44"/>
      <c r="J88" s="43"/>
      <c r="L88" s="43"/>
      <c r="M88" s="43"/>
      <c r="N88" s="43"/>
      <c r="Q88" s="43"/>
      <c r="R88" s="43"/>
    </row>
    <row r="89" spans="2:18" x14ac:dyDescent="0.2">
      <c r="C89" s="24"/>
      <c r="H89" s="43"/>
      <c r="I89" s="44"/>
      <c r="J89" s="43"/>
      <c r="L89" s="43"/>
      <c r="M89" s="43"/>
      <c r="N89" s="43"/>
      <c r="Q89" s="43"/>
      <c r="R89" s="43"/>
    </row>
    <row r="90" spans="2:18" x14ac:dyDescent="0.2">
      <c r="C90" s="24"/>
      <c r="H90" s="43"/>
      <c r="I90" s="44"/>
      <c r="J90" s="43"/>
      <c r="L90" s="43"/>
      <c r="M90" s="43"/>
      <c r="N90" s="43"/>
      <c r="Q90" s="43"/>
      <c r="R90" s="43"/>
    </row>
    <row r="91" spans="2:18" x14ac:dyDescent="0.2">
      <c r="B91" s="24" t="str">
        <f>IF(Lang="Français","Textes pour les listes déroulantes et graphiques :",IF(Lang="English","Texts for drop-down lists &amp; graphics :",""))</f>
        <v>Textes pour les listes déroulantes et graphiques :</v>
      </c>
      <c r="H91" s="43"/>
      <c r="I91" s="44"/>
      <c r="J91" s="43"/>
      <c r="L91" s="43"/>
      <c r="M91" s="43"/>
      <c r="N91" s="43"/>
      <c r="Q91" s="43"/>
      <c r="R91" s="43"/>
    </row>
    <row r="92" spans="2:18" x14ac:dyDescent="0.2">
      <c r="H92" s="43"/>
      <c r="I92" s="44"/>
      <c r="J92" s="43"/>
      <c r="L92" s="43"/>
      <c r="M92" s="43"/>
      <c r="N92" s="43"/>
      <c r="Q92" s="43"/>
      <c r="R92" s="43"/>
    </row>
    <row r="93" spans="2:18" x14ac:dyDescent="0.2">
      <c r="B93" s="26" t="s">
        <v>1</v>
      </c>
      <c r="H93" s="43"/>
      <c r="I93" s="44"/>
      <c r="J93" s="43"/>
      <c r="L93" s="43"/>
      <c r="M93" s="43"/>
      <c r="N93" s="43"/>
      <c r="Q93" s="43"/>
      <c r="R93" s="43"/>
    </row>
    <row r="94" spans="2:18" x14ac:dyDescent="0.2">
      <c r="B94" s="26" t="s">
        <v>70</v>
      </c>
      <c r="H94" s="43"/>
      <c r="I94" s="44"/>
      <c r="J94" s="43"/>
      <c r="L94" s="43"/>
      <c r="M94" s="43"/>
      <c r="N94" s="43"/>
      <c r="Q94" s="43"/>
      <c r="R94" s="43"/>
    </row>
    <row r="95" spans="2:18" x14ac:dyDescent="0.2">
      <c r="B95" s="26"/>
      <c r="H95" s="43"/>
      <c r="I95" s="44"/>
      <c r="J95" s="43"/>
      <c r="L95" s="43"/>
      <c r="M95" s="43"/>
      <c r="N95" s="43"/>
      <c r="Q95" s="43"/>
      <c r="R95" s="43"/>
    </row>
    <row r="96" spans="2:18" x14ac:dyDescent="0.2">
      <c r="B96" s="26" t="str">
        <f>IF(Lang="Français","Fusée à eau  ",IF(Lang="English","Water-rocket  ",""))</f>
        <v xml:space="preserve">Fusée à eau  </v>
      </c>
      <c r="H96" s="43"/>
      <c r="I96" s="44"/>
      <c r="J96" s="43"/>
      <c r="L96" s="43"/>
      <c r="M96" s="43"/>
      <c r="N96" s="43"/>
      <c r="Q96" s="43"/>
      <c r="R96" s="43"/>
    </row>
    <row r="97" spans="2:18" x14ac:dyDescent="0.2">
      <c r="B97" s="26" t="str">
        <f>IF(Lang="Français","Microfusée",IF(Lang="English","Micro-rocket",""))</f>
        <v>Microfusée</v>
      </c>
      <c r="H97" s="43"/>
      <c r="I97" s="44"/>
      <c r="J97" s="43"/>
      <c r="L97" s="43"/>
      <c r="M97" s="43"/>
      <c r="N97" s="43"/>
      <c r="Q97" s="43"/>
      <c r="R97" s="43"/>
    </row>
    <row r="98" spans="2:18" x14ac:dyDescent="0.2">
      <c r="B98" s="26" t="str">
        <f>IF(Lang="Français","Minifusée",IF(Lang="English","Mini-rocket",""))</f>
        <v>Minifusée</v>
      </c>
      <c r="H98" s="43"/>
      <c r="I98" s="44"/>
      <c r="J98" s="43"/>
      <c r="L98" s="43"/>
      <c r="M98" s="43"/>
      <c r="N98" s="43"/>
      <c r="Q98" s="43"/>
      <c r="R98" s="43"/>
    </row>
    <row r="99" spans="2:18" x14ac:dyDescent="0.2">
      <c r="B99" s="26" t="s">
        <v>403</v>
      </c>
      <c r="H99" s="43"/>
      <c r="I99" s="44"/>
      <c r="J99" s="43"/>
      <c r="L99" s="43"/>
      <c r="M99" s="43"/>
      <c r="N99" s="43"/>
      <c r="Q99" s="43"/>
      <c r="R99" s="43"/>
    </row>
    <row r="100" spans="2:18" x14ac:dyDescent="0.2">
      <c r="B100" s="26" t="str">
        <f>IF(Lang="Français","Fusée expérimentale.",IF(Lang="English","Experimental Rocket.",""))</f>
        <v>Fusée expérimentale.</v>
      </c>
      <c r="H100" s="43"/>
      <c r="I100" s="44"/>
      <c r="J100" s="43"/>
      <c r="L100" s="43"/>
      <c r="M100" s="43"/>
      <c r="N100" s="43"/>
      <c r="Q100" s="43"/>
      <c r="R100" s="43"/>
    </row>
    <row r="101" spans="2:18" x14ac:dyDescent="0.2">
      <c r="B101" s="26" t="s">
        <v>404</v>
      </c>
      <c r="H101" s="43"/>
      <c r="I101" s="44"/>
      <c r="J101" s="43"/>
      <c r="L101" s="43"/>
      <c r="M101" s="43"/>
      <c r="N101" s="43"/>
      <c r="Q101" s="43"/>
      <c r="R101" s="43"/>
    </row>
    <row r="102" spans="2:18" x14ac:dyDescent="0.2">
      <c r="B102" s="26"/>
      <c r="H102" s="43"/>
      <c r="I102" s="44"/>
      <c r="J102" s="43"/>
      <c r="L102" s="43"/>
      <c r="M102" s="43"/>
      <c r="N102" s="43"/>
      <c r="Q102" s="43"/>
      <c r="R102" s="43"/>
    </row>
    <row r="103" spans="2:18" x14ac:dyDescent="0.2">
      <c r="B103" s="26" t="str">
        <f>IF(Lang="Français","sans propu",IF(Lang="English","without motor",""))</f>
        <v>sans propu</v>
      </c>
      <c r="H103" s="43"/>
      <c r="I103" s="44"/>
      <c r="J103" s="43"/>
      <c r="L103" s="43"/>
      <c r="M103" s="43"/>
      <c r="N103" s="43"/>
      <c r="Q103" s="43"/>
      <c r="R103" s="43"/>
    </row>
    <row r="104" spans="2:18" x14ac:dyDescent="0.2">
      <c r="B104" s="26" t="str">
        <f>IF(Lang="Français","avec propu vide",IF(Lang="English","with empty motor",""))</f>
        <v>avec propu vide</v>
      </c>
      <c r="H104" s="43"/>
      <c r="I104" s="44"/>
      <c r="J104" s="43"/>
      <c r="L104" s="43"/>
      <c r="M104" s="43"/>
      <c r="N104" s="43"/>
      <c r="Q104" s="43"/>
      <c r="R104" s="43"/>
    </row>
    <row r="105" spans="2:18" x14ac:dyDescent="0.2">
      <c r="B105" s="26" t="str">
        <f>IF(Lang="Français","avec propu plein",IF(Lang="English","with loaded motor",""))</f>
        <v>avec propu plein</v>
      </c>
      <c r="H105" s="43"/>
      <c r="I105" s="44"/>
      <c r="J105" s="43"/>
      <c r="L105" s="43"/>
      <c r="M105" s="43"/>
      <c r="N105" s="43"/>
      <c r="Q105" s="43"/>
      <c r="R105" s="43"/>
    </row>
    <row r="106" spans="2:18" x14ac:dyDescent="0.2">
      <c r="B106" s="26"/>
      <c r="H106" s="43"/>
      <c r="I106" s="44"/>
      <c r="J106" s="43"/>
      <c r="L106" s="43"/>
      <c r="M106" s="43"/>
      <c r="N106" s="43"/>
      <c r="Q106" s="43"/>
      <c r="R106" s="43"/>
    </row>
    <row r="107" spans="2:18" x14ac:dyDescent="0.2">
      <c r="B107" s="26" t="str">
        <f>IF(Lang="Français","Parabolique (arrondie)",IF(Lang="English","Parabola (rounded)",""))</f>
        <v>Parabolique (arrondie)</v>
      </c>
      <c r="H107" s="43"/>
      <c r="I107" s="44"/>
      <c r="J107" s="43"/>
      <c r="L107" s="43"/>
      <c r="M107" s="43"/>
      <c r="N107" s="43"/>
      <c r="Q107" s="43"/>
      <c r="R107" s="43"/>
    </row>
    <row r="108" spans="2:18" x14ac:dyDescent="0.2">
      <c r="B108" s="26" t="str">
        <f>IF(Lang="Français","Ogivale (pointue)",IF(Lang="English","Ogive (sharp)",""))</f>
        <v>Ogivale (pointue)</v>
      </c>
      <c r="H108" s="43"/>
      <c r="I108" s="44"/>
      <c r="J108" s="43"/>
      <c r="L108" s="43"/>
      <c r="M108" s="43"/>
      <c r="N108" s="43"/>
      <c r="Q108" s="43"/>
      <c r="R108" s="43"/>
    </row>
    <row r="109" spans="2:18" x14ac:dyDescent="0.2">
      <c r="B109" s="26" t="str">
        <f>IF(Lang="Français","Conique (droite)",IF(Lang="English","Cone (straight)",""))</f>
        <v>Conique (droite)</v>
      </c>
      <c r="H109" s="43"/>
      <c r="I109" s="44"/>
      <c r="J109" s="43"/>
      <c r="L109" s="43"/>
      <c r="M109" s="43"/>
      <c r="N109" s="43"/>
      <c r="Q109" s="43"/>
      <c r="R109" s="43"/>
    </row>
    <row r="110" spans="2:18" x14ac:dyDescent="0.2">
      <c r="B110" s="38"/>
      <c r="H110" s="43"/>
      <c r="I110" s="44"/>
      <c r="J110" s="43"/>
      <c r="L110" s="43"/>
      <c r="M110" s="43"/>
      <c r="N110" s="43"/>
      <c r="Q110" s="43"/>
      <c r="R110" s="43"/>
    </row>
    <row r="111" spans="2:18" x14ac:dyDescent="0.2">
      <c r="B111" s="38" t="s">
        <v>430</v>
      </c>
      <c r="H111" s="43"/>
      <c r="I111" s="44"/>
      <c r="J111" s="43"/>
      <c r="L111" s="43"/>
      <c r="M111" s="43"/>
      <c r="N111" s="43"/>
      <c r="Q111" s="43"/>
      <c r="R111" s="43"/>
    </row>
    <row r="112" spans="2:18" x14ac:dyDescent="0.2">
      <c r="B112" s="38" t="s">
        <v>431</v>
      </c>
      <c r="H112" s="43"/>
      <c r="I112" s="44"/>
      <c r="J112" s="43"/>
      <c r="L112" s="43"/>
      <c r="M112" s="43"/>
      <c r="N112" s="43"/>
      <c r="Q112" s="43"/>
      <c r="R112" s="43"/>
    </row>
    <row r="113" spans="2:18" x14ac:dyDescent="0.2">
      <c r="B113" s="38"/>
      <c r="H113" s="43"/>
      <c r="I113" s="44"/>
      <c r="J113" s="43"/>
      <c r="L113" s="43"/>
      <c r="M113" s="43"/>
      <c r="N113" s="43"/>
      <c r="Q113" s="43"/>
      <c r="R113" s="43"/>
    </row>
    <row r="114" spans="2:18" x14ac:dyDescent="0.2">
      <c r="B114" s="38" t="str">
        <f>IF(Lang="Français","Fusée mono-diamètre,",IF(Lang="English","Mono-diameter rocket,",""))</f>
        <v>Fusée mono-diamètre,</v>
      </c>
      <c r="H114" s="43"/>
      <c r="I114" s="44"/>
      <c r="J114" s="43"/>
      <c r="L114" s="43"/>
      <c r="M114" s="43"/>
      <c r="N114" s="43"/>
      <c r="Q114" s="43"/>
      <c r="R114" s="43"/>
    </row>
    <row r="115" spans="2:18" x14ac:dyDescent="0.2">
      <c r="B115" s="38" t="str">
        <f>IF(Lang="Français","Plusieurs diamètres.",IF(Lang="English","Many diameters rocket.",""))</f>
        <v>Plusieurs diamètres.</v>
      </c>
      <c r="H115" s="43"/>
      <c r="I115" s="44"/>
      <c r="J115" s="43"/>
      <c r="L115" s="43"/>
      <c r="M115" s="43"/>
      <c r="N115" s="43"/>
      <c r="Q115" s="43"/>
      <c r="R115" s="43"/>
    </row>
    <row r="116" spans="2:18" x14ac:dyDescent="0.2">
      <c r="B116" s="38"/>
      <c r="H116" s="43"/>
      <c r="I116" s="44"/>
      <c r="J116" s="43"/>
      <c r="L116" s="43"/>
      <c r="M116" s="43"/>
      <c r="N116" s="43"/>
      <c r="Q116" s="43"/>
      <c r="R116" s="43"/>
    </row>
    <row r="117" spans="2:18" x14ac:dyDescent="0.2">
      <c r="B117" s="223" t="str">
        <f>IF(Lang="Français","Diagramme des critères de stabilité","Stability criterions diagram")</f>
        <v>Diagramme des critères de stabilité</v>
      </c>
      <c r="H117" s="43"/>
      <c r="I117" s="44"/>
      <c r="J117" s="43"/>
      <c r="L117" s="43"/>
      <c r="M117" s="43"/>
      <c r="N117" s="43"/>
      <c r="Q117" s="43"/>
      <c r="R117" s="43"/>
    </row>
    <row r="118" spans="2:18" x14ac:dyDescent="0.2">
      <c r="B118" s="223" t="str">
        <f>IF(Lang="Français","Marge Statique (MS)","Static Margin")</f>
        <v>Marge Statique (MS)</v>
      </c>
      <c r="H118" s="43"/>
      <c r="I118" s="44"/>
      <c r="J118" s="43"/>
      <c r="L118" s="43"/>
      <c r="M118" s="43"/>
      <c r="N118" s="43"/>
      <c r="Q118" s="43"/>
      <c r="R118" s="43"/>
    </row>
    <row r="119" spans="2:18" x14ac:dyDescent="0.2">
      <c r="B119" s="223" t="str">
        <f>IF(Lang="Français","Portance Cnα","Lift Cnα")</f>
        <v>Portance Cnα</v>
      </c>
      <c r="H119" s="43"/>
      <c r="I119" s="44"/>
      <c r="J119" s="43"/>
      <c r="L119" s="43"/>
      <c r="M119" s="43"/>
      <c r="N119" s="43"/>
      <c r="Q119" s="43"/>
      <c r="R119" s="43"/>
    </row>
    <row r="120" spans="2:18" x14ac:dyDescent="0.2">
      <c r="B120" s="38"/>
      <c r="H120" s="43"/>
      <c r="I120" s="44"/>
      <c r="J120" s="43"/>
      <c r="L120" s="43"/>
      <c r="M120" s="43"/>
      <c r="N120" s="43"/>
      <c r="Q120" s="43"/>
      <c r="R120" s="43"/>
    </row>
    <row r="121" spans="2:18" x14ac:dyDescent="0.2">
      <c r="B121" s="24" t="str">
        <f>IF(Lang="Français","Données pour les graphiques :",IF(Lang="English","Data for plots:",""))</f>
        <v>Données pour les graphiques :</v>
      </c>
      <c r="H121" s="43"/>
      <c r="I121" s="44"/>
      <c r="J121" s="43"/>
      <c r="L121" s="43"/>
      <c r="M121" s="43"/>
      <c r="N121" s="43"/>
      <c r="Q121" s="43"/>
      <c r="R121" s="43"/>
    </row>
    <row r="122" spans="2:18" x14ac:dyDescent="0.2">
      <c r="H122" s="43"/>
      <c r="I122" s="44"/>
      <c r="J122" s="43"/>
      <c r="L122" s="43"/>
      <c r="M122" s="43"/>
      <c r="N122" s="43"/>
      <c r="Q122" s="43"/>
      <c r="R122" s="43"/>
    </row>
    <row r="123" spans="2:18" x14ac:dyDescent="0.2">
      <c r="B123" s="45"/>
      <c r="C123" s="45" t="s">
        <v>71</v>
      </c>
      <c r="D123" s="45" t="s">
        <v>72</v>
      </c>
      <c r="E123" s="92" t="s">
        <v>73</v>
      </c>
      <c r="K123" s="45"/>
      <c r="R123" s="43"/>
    </row>
    <row r="124" spans="2:18" x14ac:dyDescent="0.2">
      <c r="B124" s="45" t="s">
        <v>75</v>
      </c>
      <c r="C124" s="46">
        <f>-Long_ogive</f>
        <v>-275</v>
      </c>
      <c r="D124" s="46">
        <v>0</v>
      </c>
      <c r="E124" s="93">
        <f t="shared" ref="E124:E136" si="0">-D124</f>
        <v>0</v>
      </c>
      <c r="K124" s="46"/>
    </row>
    <row r="125" spans="2:18" x14ac:dyDescent="0.2">
      <c r="B125" s="45" t="s">
        <v>75</v>
      </c>
      <c r="C125" s="46">
        <f>-Long_ogive</f>
        <v>-275</v>
      </c>
      <c r="D125" s="46">
        <f>D_og/2</f>
        <v>42</v>
      </c>
      <c r="E125" s="93">
        <f t="shared" si="0"/>
        <v>-42</v>
      </c>
      <c r="K125" s="46"/>
    </row>
    <row r="126" spans="2:18" x14ac:dyDescent="0.2">
      <c r="B126" s="45" t="s">
        <v>76</v>
      </c>
      <c r="C126" s="46">
        <f>IF(AND(RIGHT(Nb_diam,1)=".",X_j), -X_j, C125 )</f>
        <v>-1035</v>
      </c>
      <c r="D126" s="46">
        <f>IF(AND(RIGHT(Nb_diam,1)=".",X_j), D1j/2, D125 )</f>
        <v>42</v>
      </c>
      <c r="E126" s="93">
        <f t="shared" si="0"/>
        <v>-42</v>
      </c>
      <c r="K126" s="46"/>
    </row>
    <row r="127" spans="2:18" x14ac:dyDescent="0.2">
      <c r="B127" s="45" t="s">
        <v>77</v>
      </c>
      <c r="C127" s="46">
        <f>IF(AND(RIGHT(Nb_diam,1)=".",X_j), -X_j-l_j, C126 )</f>
        <v>-1110</v>
      </c>
      <c r="D127" s="46">
        <f>IF(AND(RIGHT(Nb_diam,1)=".",X_j), D2j/2, D126 )</f>
        <v>52</v>
      </c>
      <c r="E127" s="93">
        <f t="shared" si="0"/>
        <v>-52</v>
      </c>
      <c r="K127" s="46"/>
    </row>
    <row r="128" spans="2:18" x14ac:dyDescent="0.2">
      <c r="B128" s="45" t="s">
        <v>78</v>
      </c>
      <c r="C128" s="46">
        <f>IF(AND(RIGHT(Nb_diam,1)=".",X_r), -X_r, C127 )</f>
        <v>-1942</v>
      </c>
      <c r="D128" s="46">
        <f>IF(AND(RIGHT(Nb_diam,1)=".",X_r), D1r/2, D127 )</f>
        <v>52</v>
      </c>
      <c r="E128" s="93">
        <f t="shared" si="0"/>
        <v>-52</v>
      </c>
      <c r="K128" s="46"/>
    </row>
    <row r="129" spans="2:11" x14ac:dyDescent="0.2">
      <c r="B129" s="45" t="s">
        <v>79</v>
      </c>
      <c r="C129" s="46">
        <f>IF(AND(RIGHT(Nb_diam,1)=".",X_r), -X_r-l_r, C128 )</f>
        <v>-1992</v>
      </c>
      <c r="D129" s="46">
        <f>IF(AND(RIGHT(Nb_diam,1)=".",X_r), D2r/2, D128 )</f>
        <v>52</v>
      </c>
      <c r="E129" s="93">
        <f t="shared" si="0"/>
        <v>-52</v>
      </c>
      <c r="K129" s="46"/>
    </row>
    <row r="130" spans="2:11" x14ac:dyDescent="0.2">
      <c r="B130" s="45" t="s">
        <v>80</v>
      </c>
      <c r="C130" s="46">
        <f>-Long_tot</f>
        <v>-1992</v>
      </c>
      <c r="D130" s="46">
        <f>D129</f>
        <v>52</v>
      </c>
      <c r="E130" s="93">
        <f t="shared" si="0"/>
        <v>-52</v>
      </c>
      <c r="K130" s="46"/>
    </row>
    <row r="131" spans="2:11" x14ac:dyDescent="0.2">
      <c r="B131" s="45" t="s">
        <v>80</v>
      </c>
      <c r="C131" s="46">
        <f>-Long_tot</f>
        <v>-1992</v>
      </c>
      <c r="D131" s="46">
        <v>0</v>
      </c>
      <c r="E131" s="93">
        <f t="shared" si="0"/>
        <v>0</v>
      </c>
      <c r="K131" s="46"/>
    </row>
    <row r="132" spans="2:11" x14ac:dyDescent="0.2">
      <c r="B132" s="183" t="s">
        <v>81</v>
      </c>
      <c r="C132" s="197">
        <f>-X_ail+m_ail</f>
        <v>-1782</v>
      </c>
      <c r="D132" s="197">
        <f>D_ail/2</f>
        <v>52</v>
      </c>
      <c r="E132" s="198">
        <f t="shared" si="0"/>
        <v>-52</v>
      </c>
      <c r="K132" s="46"/>
    </row>
    <row r="133" spans="2:11" x14ac:dyDescent="0.2">
      <c r="B133" s="185" t="s">
        <v>82</v>
      </c>
      <c r="C133" s="46">
        <f>-X_ail+m_ail-p_ail</f>
        <v>-1962</v>
      </c>
      <c r="D133" s="46">
        <f>D_ail/2+E_ail</f>
        <v>182</v>
      </c>
      <c r="E133" s="199">
        <f t="shared" si="0"/>
        <v>-182</v>
      </c>
      <c r="K133" s="46"/>
    </row>
    <row r="134" spans="2:11" x14ac:dyDescent="0.2">
      <c r="B134" s="185" t="s">
        <v>83</v>
      </c>
      <c r="C134" s="46">
        <f>-X_ail+m_ail-p_ail-n_ail</f>
        <v>-2022</v>
      </c>
      <c r="D134" s="46">
        <f>D_ail/2+E_ail</f>
        <v>182</v>
      </c>
      <c r="E134" s="199">
        <f t="shared" si="0"/>
        <v>-182</v>
      </c>
      <c r="K134" s="46"/>
    </row>
    <row r="135" spans="2:11" x14ac:dyDescent="0.2">
      <c r="B135" s="185" t="s">
        <v>84</v>
      </c>
      <c r="C135" s="46">
        <f>-X_ail</f>
        <v>-1972</v>
      </c>
      <c r="D135" s="46">
        <f>D_ail/2</f>
        <v>52</v>
      </c>
      <c r="E135" s="199">
        <f t="shared" si="0"/>
        <v>-52</v>
      </c>
      <c r="K135" s="46"/>
    </row>
    <row r="136" spans="2:11" x14ac:dyDescent="0.2">
      <c r="B136" s="187" t="s">
        <v>81</v>
      </c>
      <c r="C136" s="200">
        <f>-X_ail+m_ail</f>
        <v>-1782</v>
      </c>
      <c r="D136" s="200">
        <f>D_ail/2</f>
        <v>52</v>
      </c>
      <c r="E136" s="201">
        <f t="shared" si="0"/>
        <v>-52</v>
      </c>
      <c r="K136" s="46"/>
    </row>
    <row r="137" spans="2:11" x14ac:dyDescent="0.2">
      <c r="B137" s="192" t="str">
        <f>IF(E_ail&gt;0,IF(Lang="Français","Envergure","Span"),"")</f>
        <v>Envergure</v>
      </c>
      <c r="C137" s="197">
        <f>MIN(-X_ail,-X_ail+m_ail-p_ail-n_ail)-Long_tot/30</f>
        <v>-2088.4</v>
      </c>
      <c r="D137" s="207">
        <f>-D_ail/2-E_ail</f>
        <v>-182</v>
      </c>
      <c r="E137" s="93"/>
      <c r="K137" s="46"/>
    </row>
    <row r="138" spans="2:11" x14ac:dyDescent="0.2">
      <c r="B138" s="195" t="s">
        <v>171</v>
      </c>
      <c r="C138" s="46">
        <f>MIN(-X_ail,-X_ail+m_ail-p_ail-n_ail)-Long_tot/30</f>
        <v>-2088.4</v>
      </c>
      <c r="D138" s="208">
        <f>-D_ail/2-E_ail/2</f>
        <v>-117</v>
      </c>
      <c r="E138" s="93"/>
      <c r="K138" s="46"/>
    </row>
    <row r="139" spans="2:11" x14ac:dyDescent="0.2">
      <c r="B139" s="212" t="s">
        <v>167</v>
      </c>
      <c r="C139" s="200">
        <f>MIN(-X_ail,-X_ail+m_ail-p_ail-n_ail)-Long_tot/30</f>
        <v>-2088.4</v>
      </c>
      <c r="D139" s="209">
        <f>-D_ail/2</f>
        <v>-52</v>
      </c>
      <c r="E139" s="93"/>
      <c r="K139" s="46"/>
    </row>
    <row r="140" spans="2:11" x14ac:dyDescent="0.2">
      <c r="B140" s="192" t="str">
        <f>IF(Lang="Français","Emplanture","Root edge")</f>
        <v>Emplanture</v>
      </c>
      <c r="C140" s="197">
        <f>-X_ail+m_ail</f>
        <v>-1782</v>
      </c>
      <c r="D140" s="207">
        <f>D_ail/2+E_ail+Long_tot/20</f>
        <v>281.60000000000002</v>
      </c>
      <c r="E140" s="93"/>
      <c r="K140" s="46"/>
    </row>
    <row r="141" spans="2:11" x14ac:dyDescent="0.2">
      <c r="B141" s="195" t="s">
        <v>173</v>
      </c>
      <c r="C141" s="46">
        <f>-X_ail+m_ail/2</f>
        <v>-1877</v>
      </c>
      <c r="D141" s="208">
        <f>D_ail/2+E_ail+Long_tot/20</f>
        <v>281.60000000000002</v>
      </c>
      <c r="E141" s="93"/>
      <c r="K141" s="46"/>
    </row>
    <row r="142" spans="2:11" x14ac:dyDescent="0.2">
      <c r="B142" s="212" t="s">
        <v>174</v>
      </c>
      <c r="C142" s="200">
        <f>-X_ail</f>
        <v>-1972</v>
      </c>
      <c r="D142" s="209">
        <f>D_ail/2+E_ail+Long_tot/20</f>
        <v>281.60000000000002</v>
      </c>
      <c r="E142" s="93"/>
      <c r="K142" s="46"/>
    </row>
    <row r="143" spans="2:11" x14ac:dyDescent="0.2">
      <c r="B143" s="192" t="str">
        <f>IF(p_ail&lt;&gt;0,IF(Lang="Français","Flèche","Offset"),"")</f>
        <v>Flèche</v>
      </c>
      <c r="C143" s="197">
        <f>-X_ail+m_ail</f>
        <v>-1782</v>
      </c>
      <c r="D143" s="207">
        <f>-D_ail/2-E_ail-Long_tot/30</f>
        <v>-248.4</v>
      </c>
      <c r="E143" s="93"/>
      <c r="K143" s="46"/>
    </row>
    <row r="144" spans="2:11" x14ac:dyDescent="0.2">
      <c r="B144" s="195" t="s">
        <v>170</v>
      </c>
      <c r="C144" s="46">
        <f>-X_ail+m_ail-p_ail/2</f>
        <v>-1872</v>
      </c>
      <c r="D144" s="208">
        <f>-D_ail/2-E_ail-Long_tot/30</f>
        <v>-248.4</v>
      </c>
      <c r="E144" s="93"/>
      <c r="K144" s="46"/>
    </row>
    <row r="145" spans="2:11" x14ac:dyDescent="0.2">
      <c r="B145" s="212" t="s">
        <v>168</v>
      </c>
      <c r="C145" s="200">
        <f>-X_ail+m_ail-p_ail</f>
        <v>-1962</v>
      </c>
      <c r="D145" s="209">
        <f>-D_ail/2-E_ail-Long_tot/30</f>
        <v>-248.4</v>
      </c>
      <c r="E145" s="93"/>
      <c r="K145" s="46"/>
    </row>
    <row r="146" spans="2:11" x14ac:dyDescent="0.2">
      <c r="B146" s="192" t="str">
        <f>IF(n_ail&gt;0,IF(Lang="Français","Saumon","Tip edge"),"")</f>
        <v>Saumon</v>
      </c>
      <c r="C146" s="197">
        <f>-X_ail+m_ail-p_ail</f>
        <v>-1962</v>
      </c>
      <c r="D146" s="207">
        <f>-D_ail/2-E_ail-Long_tot/20</f>
        <v>-281.60000000000002</v>
      </c>
      <c r="E146" s="93"/>
      <c r="K146" s="46"/>
    </row>
    <row r="147" spans="2:11" x14ac:dyDescent="0.2">
      <c r="B147" s="195" t="s">
        <v>172</v>
      </c>
      <c r="C147" s="46">
        <f>-X_ail+m_ail-p_ail-n_ail/2</f>
        <v>-1992</v>
      </c>
      <c r="D147" s="208">
        <f>-D_ail/2-E_ail-Long_tot/20</f>
        <v>-281.60000000000002</v>
      </c>
      <c r="E147" s="93"/>
      <c r="K147" s="46"/>
    </row>
    <row r="148" spans="2:11" x14ac:dyDescent="0.2">
      <c r="B148" s="212" t="s">
        <v>169</v>
      </c>
      <c r="C148" s="200">
        <f>-X_ail+m_ail-p_ail-n_ail</f>
        <v>-2022</v>
      </c>
      <c r="D148" s="209">
        <f>-D_ail/2-E_ail-Long_tot/20</f>
        <v>-281.60000000000002</v>
      </c>
      <c r="E148" s="93"/>
      <c r="K148" s="46"/>
    </row>
    <row r="149" spans="2:11" x14ac:dyDescent="0.2">
      <c r="B149" s="183" t="s">
        <v>85</v>
      </c>
      <c r="C149" s="197">
        <f ca="1">-XcgPlein</f>
        <v>-1142.7880301516668</v>
      </c>
      <c r="D149" s="207">
        <v>0</v>
      </c>
      <c r="E149" s="93"/>
      <c r="K149" s="46"/>
    </row>
    <row r="150" spans="2:11" x14ac:dyDescent="0.2">
      <c r="B150" s="187" t="s">
        <v>86</v>
      </c>
      <c r="C150" s="200">
        <f ca="1">-XcgVide</f>
        <v>-1018.5338148391332</v>
      </c>
      <c r="D150" s="209">
        <v>0</v>
      </c>
      <c r="E150" s="93"/>
      <c r="K150" s="46"/>
    </row>
    <row r="151" spans="2:11" x14ac:dyDescent="0.2">
      <c r="B151" s="183" t="s">
        <v>87</v>
      </c>
      <c r="C151" s="197">
        <f>-XCp</f>
        <v>-1407.0532667206064</v>
      </c>
      <c r="D151" s="207">
        <v>0</v>
      </c>
      <c r="E151" s="93"/>
      <c r="K151" s="46"/>
    </row>
    <row r="152" spans="2:11" x14ac:dyDescent="0.2">
      <c r="B152" s="187" t="s">
        <v>87</v>
      </c>
      <c r="C152" s="200">
        <f>-XCp</f>
        <v>-1407.0532667206064</v>
      </c>
      <c r="D152" s="209">
        <f>Cn*D_ref/CritCnmin</f>
        <v>155.72630247752588</v>
      </c>
      <c r="E152" s="93"/>
      <c r="K152" s="46"/>
    </row>
    <row r="153" spans="2:11" x14ac:dyDescent="0.2">
      <c r="B153" s="185" t="s">
        <v>428</v>
      </c>
      <c r="C153" s="46">
        <f>-XCp0</f>
        <v>-1407.0532667206064</v>
      </c>
      <c r="D153" s="208">
        <f>Cn0*D_ref/CritCnmin</f>
        <v>155.72630247752588</v>
      </c>
      <c r="E153" s="93"/>
      <c r="K153" s="46"/>
    </row>
    <row r="154" spans="2:11" x14ac:dyDescent="0.2">
      <c r="B154" s="185" t="s">
        <v>428</v>
      </c>
      <c r="C154" s="46">
        <f>-XCp0</f>
        <v>-1407.0532667206064</v>
      </c>
      <c r="D154" s="208">
        <v>0</v>
      </c>
      <c r="E154" s="93"/>
      <c r="K154" s="46"/>
    </row>
    <row r="155" spans="2:11" x14ac:dyDescent="0.2">
      <c r="B155" s="192" t="str">
        <f>IF(n_ail&gt;0,IF(Lang="Français","Marge Statique","Static Margin"),"")</f>
        <v>Marge Statique</v>
      </c>
      <c r="C155" s="197">
        <f ca="1">(-XcgPlein-XcgVide)/2</f>
        <v>-1080.6609224954</v>
      </c>
      <c r="D155" s="207">
        <f>-D_ail/2-E_ail-Long_tot/20</f>
        <v>-281.60000000000002</v>
      </c>
      <c r="E155" s="93"/>
      <c r="K155" s="46"/>
    </row>
    <row r="156" spans="2:11" x14ac:dyDescent="0.2">
      <c r="B156" s="195" t="s">
        <v>175</v>
      </c>
      <c r="C156" s="46">
        <f ca="1">(C155+C157)/2</f>
        <v>-1243.8570946080031</v>
      </c>
      <c r="D156" s="208">
        <f>-D_ail/2-E_ail-Long_tot/20</f>
        <v>-281.60000000000002</v>
      </c>
      <c r="E156" s="93"/>
      <c r="K156" s="46"/>
    </row>
    <row r="157" spans="2:11" x14ac:dyDescent="0.2">
      <c r="B157" s="212" t="s">
        <v>176</v>
      </c>
      <c r="C157" s="200">
        <f>-XCp</f>
        <v>-1407.0532667206064</v>
      </c>
      <c r="D157" s="209">
        <f>-D_ail/2-E_ail-Long_tot/20</f>
        <v>-281.60000000000002</v>
      </c>
      <c r="E157" s="93"/>
      <c r="K157" s="46"/>
    </row>
    <row r="158" spans="2:11" x14ac:dyDescent="0.2">
      <c r="B158" s="183" t="s">
        <v>88</v>
      </c>
      <c r="C158" s="197">
        <f>IF(LEFT(Type_masquage,1)="M",0,-X_can+m_can)</f>
        <v>-845</v>
      </c>
      <c r="D158" s="197">
        <f>IF(LEFT(Type_masquage,1)="M",0,D_ail/2)</f>
        <v>52</v>
      </c>
      <c r="E158" s="198">
        <f t="shared" ref="E158:E167" si="1">-D158</f>
        <v>-52</v>
      </c>
      <c r="K158" s="46"/>
    </row>
    <row r="159" spans="2:11" x14ac:dyDescent="0.2">
      <c r="B159" s="185" t="s">
        <v>89</v>
      </c>
      <c r="C159" s="46">
        <f>IF(LEFT(Type_masquage,1)="M",0,-X_can+m_can-p_can)</f>
        <v>-1025</v>
      </c>
      <c r="D159" s="46">
        <f>IF(LEFT(Type_masquage,1)="M",0,D_ail/2+E_can)</f>
        <v>182</v>
      </c>
      <c r="E159" s="199">
        <f t="shared" si="1"/>
        <v>-182</v>
      </c>
      <c r="K159" s="46"/>
    </row>
    <row r="160" spans="2:11" x14ac:dyDescent="0.2">
      <c r="B160" s="185" t="s">
        <v>90</v>
      </c>
      <c r="C160" s="46">
        <f>IF(LEFT(Type_masquage,1)="M",0,-X_can+m_can-p_can-n_can)</f>
        <v>-1085</v>
      </c>
      <c r="D160" s="46">
        <f>IF(LEFT(Type_masquage,1)="M",0,D_ail/2+E_can)</f>
        <v>182</v>
      </c>
      <c r="E160" s="199">
        <f t="shared" si="1"/>
        <v>-182</v>
      </c>
      <c r="K160" s="46"/>
    </row>
    <row r="161" spans="2:11" x14ac:dyDescent="0.2">
      <c r="B161" s="185" t="s">
        <v>91</v>
      </c>
      <c r="C161" s="46">
        <f>IF(LEFT(Type_masquage,1)="M",0,-X_can)</f>
        <v>-1035</v>
      </c>
      <c r="D161" s="46">
        <f>IF(LEFT(Type_masquage,1)="M",0,D_ail/2)</f>
        <v>52</v>
      </c>
      <c r="E161" s="199">
        <f t="shared" si="1"/>
        <v>-52</v>
      </c>
      <c r="K161" s="46"/>
    </row>
    <row r="162" spans="2:11" x14ac:dyDescent="0.2">
      <c r="B162" s="187" t="s">
        <v>88</v>
      </c>
      <c r="C162" s="200">
        <f>IF(LEFT(Type_masquage,1)="M",0,-X_can+m_can)</f>
        <v>-845</v>
      </c>
      <c r="D162" s="200">
        <f>IF(LEFT(Type_masquage,1)="M",0,D_ail/2)</f>
        <v>52</v>
      </c>
      <c r="E162" s="201">
        <f t="shared" si="1"/>
        <v>-52</v>
      </c>
      <c r="K162" s="46"/>
    </row>
    <row r="163" spans="2:11" x14ac:dyDescent="0.2">
      <c r="B163" s="183" t="s">
        <v>92</v>
      </c>
      <c r="C163" s="197">
        <f>IF(LEFT(Type_masquage,1)="B",-X_int+m_int,0)</f>
        <v>-1782</v>
      </c>
      <c r="D163" s="197">
        <f>IF(LEFT(Type_masquage,1)="B",D_int/2,0)</f>
        <v>52</v>
      </c>
      <c r="E163" s="198">
        <f t="shared" si="1"/>
        <v>-52</v>
      </c>
      <c r="K163" s="46"/>
    </row>
    <row r="164" spans="2:11" x14ac:dyDescent="0.2">
      <c r="B164" s="185" t="s">
        <v>93</v>
      </c>
      <c r="C164" s="46">
        <f>IF(LEFT(Type_masquage,1)="B",-X_int+m_int-p_int,0)</f>
        <v>-1948.1538461538462</v>
      </c>
      <c r="D164" s="46">
        <f>IF(LEFT(Type_masquage,1)="B",D_int/2+E_int,0)</f>
        <v>172</v>
      </c>
      <c r="E164" s="199">
        <f t="shared" si="1"/>
        <v>-172</v>
      </c>
      <c r="K164" s="46"/>
    </row>
    <row r="165" spans="2:11" x14ac:dyDescent="0.2">
      <c r="B165" s="185" t="s">
        <v>94</v>
      </c>
      <c r="C165" s="46">
        <f>IF(LEFT(Type_masquage,1)="B",-X_int+m_int-p_int-n_int,0)</f>
        <v>-2018.1538461538462</v>
      </c>
      <c r="D165" s="46">
        <f>IF(LEFT(Type_masquage,1)="B",D_int/2+E_int,0)</f>
        <v>172</v>
      </c>
      <c r="E165" s="199">
        <f t="shared" si="1"/>
        <v>-172</v>
      </c>
      <c r="K165" s="46"/>
    </row>
    <row r="166" spans="2:11" x14ac:dyDescent="0.2">
      <c r="B166" s="185" t="s">
        <v>95</v>
      </c>
      <c r="C166" s="46">
        <f>IF(LEFT(Type_masquage,1)="B",-X_int,0)</f>
        <v>-1972</v>
      </c>
      <c r="D166" s="46">
        <f>IF(LEFT(Type_masquage,1)="B",D_int/2,0)</f>
        <v>52</v>
      </c>
      <c r="E166" s="199">
        <f t="shared" si="1"/>
        <v>-52</v>
      </c>
      <c r="K166" s="46"/>
    </row>
    <row r="167" spans="2:11" x14ac:dyDescent="0.2">
      <c r="B167" s="187" t="s">
        <v>92</v>
      </c>
      <c r="C167" s="200">
        <f>IF(LEFT(Type_masquage,1)="B",-X_int+m_int,0)</f>
        <v>-1782</v>
      </c>
      <c r="D167" s="200">
        <f>IF(LEFT(Type_masquage,1)="B",D_int/2,0)</f>
        <v>52</v>
      </c>
      <c r="E167" s="201">
        <f t="shared" si="1"/>
        <v>-52</v>
      </c>
      <c r="K167" s="46"/>
    </row>
    <row r="168" spans="2:11" x14ac:dyDescent="0.2">
      <c r="B168" s="45" t="s">
        <v>96</v>
      </c>
      <c r="C168" s="46">
        <f>-MAX(Long_tot, X_ail-m_ail+p_ail+n_ail, (E_ail+D_ail/2)*3.2)*1.01</f>
        <v>-2042.22</v>
      </c>
      <c r="D168" s="46">
        <f>MAX(E_ail+D_ail/2, Long_tot/3)</f>
        <v>664</v>
      </c>
      <c r="E168" s="93"/>
      <c r="K168" s="46"/>
    </row>
    <row r="169" spans="2:11" x14ac:dyDescent="0.2">
      <c r="B169" s="45" t="s">
        <v>96</v>
      </c>
      <c r="C169" s="46">
        <f>C168</f>
        <v>-2042.22</v>
      </c>
      <c r="D169" s="46">
        <f>-D168</f>
        <v>-664</v>
      </c>
      <c r="E169" s="93"/>
      <c r="K169" s="46"/>
    </row>
    <row r="170" spans="2:11" x14ac:dyDescent="0.2">
      <c r="B170" s="183" t="s">
        <v>97</v>
      </c>
      <c r="C170" s="197">
        <f ca="1">-XpropuRef+Long_propu</f>
        <v>-1506</v>
      </c>
      <c r="D170" s="207">
        <f ca="1">-Diam_propu/2</f>
        <v>-37.5</v>
      </c>
      <c r="E170" s="93"/>
      <c r="K170" s="46"/>
    </row>
    <row r="171" spans="2:11" x14ac:dyDescent="0.2">
      <c r="B171" s="185" t="s">
        <v>98</v>
      </c>
      <c r="C171" s="46">
        <f ca="1">-XpropuRef+Long_propu</f>
        <v>-1506</v>
      </c>
      <c r="D171" s="208">
        <f ca="1">Diam_propu/2</f>
        <v>37.5</v>
      </c>
      <c r="E171" s="93"/>
      <c r="K171" s="46"/>
    </row>
    <row r="172" spans="2:11" x14ac:dyDescent="0.2">
      <c r="B172" s="185" t="s">
        <v>99</v>
      </c>
      <c r="C172" s="46">
        <f>-XpropuRef</f>
        <v>-1992</v>
      </c>
      <c r="D172" s="208">
        <f ca="1">Diam_propu/2</f>
        <v>37.5</v>
      </c>
      <c r="E172" s="93"/>
      <c r="K172" s="46"/>
    </row>
    <row r="173" spans="2:11" x14ac:dyDescent="0.2">
      <c r="B173" s="185" t="s">
        <v>100</v>
      </c>
      <c r="C173" s="46">
        <f>-XpropuRef</f>
        <v>-1992</v>
      </c>
      <c r="D173" s="208">
        <f ca="1">-Diam_propu/2</f>
        <v>-37.5</v>
      </c>
      <c r="E173" s="93"/>
      <c r="K173" s="46"/>
    </row>
    <row r="174" spans="2:11" x14ac:dyDescent="0.2">
      <c r="B174" s="187" t="s">
        <v>101</v>
      </c>
      <c r="C174" s="200">
        <f ca="1">-XpropuRef+Long_propu</f>
        <v>-1506</v>
      </c>
      <c r="D174" s="209">
        <f ca="1">-Diam_propu/2</f>
        <v>-37.5</v>
      </c>
      <c r="E174" s="93"/>
      <c r="F174" s="192" t="s">
        <v>163</v>
      </c>
      <c r="G174" s="193" t="s">
        <v>164</v>
      </c>
      <c r="H174" s="194" t="s">
        <v>165</v>
      </c>
      <c r="K174" s="46"/>
    </row>
    <row r="175" spans="2:11" x14ac:dyDescent="0.2">
      <c r="B175" s="183" t="s">
        <v>74</v>
      </c>
      <c r="C175" s="197">
        <v>0</v>
      </c>
      <c r="D175" s="197">
        <v>0</v>
      </c>
      <c r="E175" s="198">
        <f t="shared" ref="E175:E180" si="2">-D175</f>
        <v>0</v>
      </c>
      <c r="F175" s="195">
        <v>0</v>
      </c>
      <c r="G175" s="45">
        <v>0</v>
      </c>
      <c r="H175" s="189">
        <v>0</v>
      </c>
      <c r="K175" s="46"/>
    </row>
    <row r="176" spans="2:11" x14ac:dyDescent="0.2">
      <c r="B176" s="185" t="s">
        <v>75</v>
      </c>
      <c r="C176" s="46">
        <f>-Long_ogive*0.1</f>
        <v>-27.5</v>
      </c>
      <c r="D176" s="46">
        <f>IF(LEFT(Forme_ogive,5)="Parab",H176,IF(LEFT(Forme_ogive,4)="Ogiv",G176,IF(LEFT(Forme_ogive,3)="Con",F176)))</f>
        <v>4.2</v>
      </c>
      <c r="E176" s="199">
        <f t="shared" si="2"/>
        <v>-4.2</v>
      </c>
      <c r="F176" s="185">
        <f>D_og/2*0.1</f>
        <v>4.2</v>
      </c>
      <c r="G176" s="45">
        <f>D_og/2*0.2</f>
        <v>8.4</v>
      </c>
      <c r="H176" s="189">
        <f>D_og/2*0.5</f>
        <v>21</v>
      </c>
      <c r="K176" s="46"/>
    </row>
    <row r="177" spans="2:11" x14ac:dyDescent="0.2">
      <c r="B177" s="185" t="s">
        <v>75</v>
      </c>
      <c r="C177" s="46">
        <f>-Long_ogive/4</f>
        <v>-68.75</v>
      </c>
      <c r="D177" s="46">
        <f>IF(LEFT(Forme_ogive,5)="Parab",H177,IF(LEFT(Forme_ogive,4)="Ogiv",G177,IF(LEFT(Forme_ogive,3)="Con",F177)))</f>
        <v>10.5</v>
      </c>
      <c r="E177" s="199">
        <f t="shared" si="2"/>
        <v>-10.5</v>
      </c>
      <c r="F177" s="185">
        <f>D_og/2*1/4</f>
        <v>10.5</v>
      </c>
      <c r="G177" s="45">
        <f>D_og/2/2</f>
        <v>21</v>
      </c>
      <c r="H177" s="189">
        <f>D_og/2*0.7</f>
        <v>29.4</v>
      </c>
      <c r="K177" s="46"/>
    </row>
    <row r="178" spans="2:11" x14ac:dyDescent="0.2">
      <c r="B178" s="185" t="s">
        <v>75</v>
      </c>
      <c r="C178" s="46">
        <f>-Long_ogive/2</f>
        <v>-137.5</v>
      </c>
      <c r="D178" s="46">
        <f>IF(LEFT(Forme_ogive,5)="Parab",H178,IF(LEFT(Forme_ogive,4)="Ogiv",G178,IF(LEFT(Forme_ogive,3)="Con",F178)))</f>
        <v>21</v>
      </c>
      <c r="E178" s="199">
        <f t="shared" si="2"/>
        <v>-21</v>
      </c>
      <c r="F178" s="185">
        <f>D_og/2/2</f>
        <v>21</v>
      </c>
      <c r="G178" s="45">
        <f>D_og/2*3/4</f>
        <v>31.5</v>
      </c>
      <c r="H178" s="189">
        <f>D_og/2*0.88</f>
        <v>36.96</v>
      </c>
      <c r="K178" s="46"/>
    </row>
    <row r="179" spans="2:11" x14ac:dyDescent="0.2">
      <c r="B179" s="185" t="s">
        <v>75</v>
      </c>
      <c r="C179" s="46">
        <f>-Long_ogive*3/4</f>
        <v>-206.25</v>
      </c>
      <c r="D179" s="46">
        <f>IF(LEFT(Forme_ogive,5)="Parab",H179,IF(LEFT(Forme_ogive,4)="Ogiv",G179,IF(LEFT(Forme_ogive,3)="Con",F179)))</f>
        <v>31.5</v>
      </c>
      <c r="E179" s="199">
        <f t="shared" si="2"/>
        <v>-31.5</v>
      </c>
      <c r="F179" s="185">
        <f>D_og/2*3/4</f>
        <v>31.5</v>
      </c>
      <c r="G179" s="45">
        <f>D_og/2*0.9</f>
        <v>37.800000000000004</v>
      </c>
      <c r="H179" s="189">
        <f>D_og/2*0.95</f>
        <v>39.9</v>
      </c>
      <c r="K179" s="46"/>
    </row>
    <row r="180" spans="2:11" x14ac:dyDescent="0.2">
      <c r="B180" s="187" t="s">
        <v>75</v>
      </c>
      <c r="C180" s="200">
        <f>-Long_ogive</f>
        <v>-275</v>
      </c>
      <c r="D180" s="200">
        <f>D_og/2</f>
        <v>42</v>
      </c>
      <c r="E180" s="201">
        <f t="shared" si="2"/>
        <v>-42</v>
      </c>
      <c r="F180" s="187">
        <f>D_og/2</f>
        <v>42</v>
      </c>
      <c r="G180" s="196">
        <f>D_og/2</f>
        <v>42</v>
      </c>
      <c r="H180" s="190">
        <f>D_og/2</f>
        <v>42</v>
      </c>
      <c r="K180" s="26"/>
    </row>
    <row r="181" spans="2:11" x14ac:dyDescent="0.2">
      <c r="B181" s="45" t="s">
        <v>102</v>
      </c>
      <c r="C181" s="45" t="s">
        <v>103</v>
      </c>
      <c r="D181" s="183" t="s">
        <v>102</v>
      </c>
      <c r="E181" s="204" t="s">
        <v>103</v>
      </c>
      <c r="K181" s="45"/>
    </row>
    <row r="182" spans="2:11" x14ac:dyDescent="0.2">
      <c r="B182" s="183">
        <v>0</v>
      </c>
      <c r="C182" s="202">
        <f>CritCnmin</f>
        <v>15</v>
      </c>
      <c r="D182" s="185">
        <v>0.5</v>
      </c>
      <c r="E182" s="205">
        <f t="shared" ref="E182:E187" si="3">CritMsCnmin/D182</f>
        <v>80</v>
      </c>
      <c r="K182" s="45"/>
    </row>
    <row r="183" spans="2:11" x14ac:dyDescent="0.2">
      <c r="B183" s="187">
        <v>7</v>
      </c>
      <c r="C183" s="196">
        <f>CritCnmin</f>
        <v>15</v>
      </c>
      <c r="D183" s="185">
        <v>1</v>
      </c>
      <c r="E183" s="205">
        <f t="shared" si="3"/>
        <v>40</v>
      </c>
      <c r="K183" s="45"/>
    </row>
    <row r="184" spans="2:11" x14ac:dyDescent="0.2">
      <c r="B184" s="183">
        <v>0</v>
      </c>
      <c r="C184" s="202">
        <f>CritCnmax</f>
        <v>40</v>
      </c>
      <c r="D184" s="185">
        <v>2</v>
      </c>
      <c r="E184" s="205">
        <f t="shared" si="3"/>
        <v>20</v>
      </c>
      <c r="K184" s="45"/>
    </row>
    <row r="185" spans="2:11" x14ac:dyDescent="0.2">
      <c r="B185" s="187">
        <v>7</v>
      </c>
      <c r="C185" s="196">
        <f>CritCnmax</f>
        <v>40</v>
      </c>
      <c r="D185" s="185">
        <v>3</v>
      </c>
      <c r="E185" s="205">
        <f t="shared" si="3"/>
        <v>13.333333333333334</v>
      </c>
      <c r="K185" s="45"/>
    </row>
    <row r="186" spans="2:11" x14ac:dyDescent="0.2">
      <c r="B186" s="183">
        <f>CritMsmin</f>
        <v>2</v>
      </c>
      <c r="C186" s="202">
        <v>0</v>
      </c>
      <c r="D186" s="185">
        <v>5</v>
      </c>
      <c r="E186" s="205">
        <f t="shared" si="3"/>
        <v>8</v>
      </c>
      <c r="K186" s="45"/>
    </row>
    <row r="187" spans="2:11" x14ac:dyDescent="0.2">
      <c r="B187" s="187">
        <f>CritMsmin</f>
        <v>2</v>
      </c>
      <c r="C187" s="196">
        <v>55</v>
      </c>
      <c r="D187" s="185">
        <v>7</v>
      </c>
      <c r="E187" s="205">
        <f t="shared" si="3"/>
        <v>5.7142857142857144</v>
      </c>
      <c r="K187" s="45"/>
    </row>
    <row r="188" spans="2:11" x14ac:dyDescent="0.2">
      <c r="B188" s="183">
        <f>CritMsmax</f>
        <v>6</v>
      </c>
      <c r="C188" s="202">
        <v>0</v>
      </c>
      <c r="D188" s="185">
        <v>1</v>
      </c>
      <c r="E188" s="205">
        <f t="shared" ref="E188:E193" si="4">CritMsCnmax/D188</f>
        <v>100</v>
      </c>
      <c r="K188" s="45"/>
    </row>
    <row r="189" spans="2:11" x14ac:dyDescent="0.2">
      <c r="B189" s="187">
        <f>CritMsmax</f>
        <v>6</v>
      </c>
      <c r="C189" s="196">
        <v>55</v>
      </c>
      <c r="D189" s="185">
        <v>2</v>
      </c>
      <c r="E189" s="205">
        <f t="shared" si="4"/>
        <v>50</v>
      </c>
      <c r="K189" s="45"/>
    </row>
    <row r="190" spans="2:11" x14ac:dyDescent="0.2">
      <c r="B190" s="191">
        <f ca="1">MS_min</f>
        <v>2.5410118900859575</v>
      </c>
      <c r="C190" s="203">
        <f>Cn</f>
        <v>22.460524395797002</v>
      </c>
      <c r="D190" s="185">
        <v>3</v>
      </c>
      <c r="E190" s="205">
        <f t="shared" si="4"/>
        <v>33.333333333333336</v>
      </c>
      <c r="K190" s="45"/>
    </row>
    <row r="191" spans="2:11" x14ac:dyDescent="0.2">
      <c r="B191" s="514">
        <f ca="1">(XCp0-XcgPlein)/D_ref</f>
        <v>2.5410118900859575</v>
      </c>
      <c r="C191" s="515">
        <f>Cn0</f>
        <v>22.460524395797002</v>
      </c>
      <c r="D191" s="185">
        <v>4</v>
      </c>
      <c r="E191" s="205">
        <f t="shared" si="4"/>
        <v>25</v>
      </c>
      <c r="K191" s="45"/>
    </row>
    <row r="192" spans="2:11" x14ac:dyDescent="0.2">
      <c r="B192" s="514">
        <f ca="1">(XCp0-XcgVide)/D_ref</f>
        <v>3.7357639603987804</v>
      </c>
      <c r="C192" s="515">
        <f>Cn0</f>
        <v>22.460524395797002</v>
      </c>
      <c r="D192" s="185">
        <v>6</v>
      </c>
      <c r="E192" s="205">
        <f t="shared" si="4"/>
        <v>16.666666666666668</v>
      </c>
      <c r="K192" s="45"/>
    </row>
    <row r="193" spans="2:11" x14ac:dyDescent="0.2">
      <c r="B193" s="514">
        <f ca="1">(XCp-XcgVide)/D_ref</f>
        <v>3.7357639603987804</v>
      </c>
      <c r="C193" s="515">
        <f>Cn</f>
        <v>22.460524395797002</v>
      </c>
      <c r="D193" s="187">
        <v>7</v>
      </c>
      <c r="E193" s="206">
        <f t="shared" si="4"/>
        <v>14.285714285714286</v>
      </c>
      <c r="K193" s="45"/>
    </row>
    <row r="194" spans="2:11" x14ac:dyDescent="0.2">
      <c r="B194" s="514">
        <f ca="1">MS_min</f>
        <v>2.5410118900859575</v>
      </c>
      <c r="C194" s="516">
        <f>Cn</f>
        <v>22.460524395797002</v>
      </c>
      <c r="D194" s="45"/>
      <c r="E194" s="92"/>
      <c r="K194" s="45"/>
    </row>
    <row r="195" spans="2:11" x14ac:dyDescent="0.2">
      <c r="B195" s="183">
        <v>0</v>
      </c>
      <c r="C195" s="202">
        <f>(CritCnmin+CritCnmax)/2</f>
        <v>27.5</v>
      </c>
      <c r="D195" s="26"/>
      <c r="E195" s="90"/>
      <c r="K195" s="26"/>
    </row>
    <row r="196" spans="2:11" x14ac:dyDescent="0.2">
      <c r="B196" s="185">
        <f>MAX(CritMsmin,CritMsCnmin/C196)</f>
        <v>2</v>
      </c>
      <c r="C196" s="45">
        <f>(CritCnmin+CritCnmax)/2</f>
        <v>27.5</v>
      </c>
      <c r="D196" s="26"/>
      <c r="E196" s="90"/>
      <c r="K196" s="26"/>
    </row>
    <row r="197" spans="2:11" x14ac:dyDescent="0.2">
      <c r="B197" s="185">
        <f>MIN(CritMsmax,CritMsCnmax/C197)</f>
        <v>3.6363636363636362</v>
      </c>
      <c r="C197" s="189">
        <f>(CritCnmin+CritCnmax)/2</f>
        <v>27.5</v>
      </c>
    </row>
    <row r="198" spans="2:11" x14ac:dyDescent="0.2">
      <c r="B198" s="187">
        <v>7</v>
      </c>
      <c r="C198" s="190">
        <f>(CritCnmin+CritCnmax)/2</f>
        <v>27.5</v>
      </c>
    </row>
    <row r="199" spans="2:11" x14ac:dyDescent="0.2">
      <c r="B199" s="183">
        <f>(CritMsmin+CritMsmax)/2</f>
        <v>4</v>
      </c>
      <c r="C199" s="184">
        <v>0</v>
      </c>
    </row>
    <row r="200" spans="2:11" x14ac:dyDescent="0.2">
      <c r="B200" s="185">
        <f>(CritMsmin+CritMsmax)/2</f>
        <v>4</v>
      </c>
      <c r="C200" s="186">
        <f>MAX(CritCnmin,CritMsCnmin/B200)</f>
        <v>15</v>
      </c>
    </row>
    <row r="201" spans="2:11" x14ac:dyDescent="0.2">
      <c r="B201" s="185">
        <f>(CritMsmin+CritMsmax)/2</f>
        <v>4</v>
      </c>
      <c r="C201" s="186">
        <f>MIN(CritCnmax,CritMsCnmax/B201)</f>
        <v>25</v>
      </c>
    </row>
    <row r="202" spans="2:11" x14ac:dyDescent="0.2">
      <c r="B202" s="187">
        <f>(CritMsmin+CritMsmax)/2</f>
        <v>4</v>
      </c>
      <c r="C202" s="188">
        <v>55</v>
      </c>
    </row>
    <row r="203" spans="2:11" x14ac:dyDescent="0.2">
      <c r="D203" s="475"/>
    </row>
    <row r="204" spans="2:11" x14ac:dyDescent="0.2">
      <c r="B204" s="477" t="s">
        <v>411</v>
      </c>
      <c r="C204" s="31" t="b">
        <f ca="1">(OR(C205:C210))</f>
        <v>1</v>
      </c>
      <c r="D204" s="475"/>
    </row>
    <row r="205" spans="2:11" x14ac:dyDescent="0.2">
      <c r="B205" s="476" t="s">
        <v>408</v>
      </c>
      <c r="C205" s="475" t="b">
        <f ca="1">AND(Type_propu="H2O",RIGHT(Type_fusee,1)=" ")</f>
        <v>0</v>
      </c>
      <c r="D205" s="475"/>
    </row>
    <row r="206" spans="2:11" x14ac:dyDescent="0.2">
      <c r="B206" s="476" t="s">
        <v>121</v>
      </c>
      <c r="C206" s="475" t="b">
        <f ca="1">AND(Type_propu="Fusex",RIGHT(Type_fusee,1)=".")</f>
        <v>1</v>
      </c>
      <c r="D206" s="475"/>
    </row>
    <row r="207" spans="2:11" x14ac:dyDescent="0.2">
      <c r="B207" s="476" t="s">
        <v>409</v>
      </c>
      <c r="C207" s="475" t="b">
        <f ca="1">LEFT(Type_propu,5)=LEFT(Type_fusee,5)</f>
        <v>0</v>
      </c>
      <c r="D207" s="475"/>
    </row>
    <row r="208" spans="2:11" x14ac:dyDescent="0.2">
      <c r="B208" s="476" t="s">
        <v>410</v>
      </c>
      <c r="C208" s="475" t="b">
        <f ca="1">AND(RIGHT(Type_propu,1)="N",LEFT(Type_fusee,4)="Mini")</f>
        <v>0</v>
      </c>
      <c r="D208" s="475"/>
    </row>
    <row r="209" spans="1:3" x14ac:dyDescent="0.2">
      <c r="B209" s="476" t="s">
        <v>412</v>
      </c>
      <c r="C209" s="475" t="b">
        <f ca="1">AND(LEFT(Type_propu,5)="MiniR",LEFT(Type_fusee,1)="R")</f>
        <v>0</v>
      </c>
    </row>
    <row r="210" spans="1:3" x14ac:dyDescent="0.2">
      <c r="B210" s="476" t="s">
        <v>402</v>
      </c>
      <c r="C210" s="475" t="b">
        <f ca="1">AND(LEFT(Type_propu,4)="Mini",LEFT(Type_fusee,1)=",")</f>
        <v>0</v>
      </c>
    </row>
    <row r="223" spans="1:3" x14ac:dyDescent="0.2">
      <c r="A223" s="24" t="s">
        <v>469</v>
      </c>
    </row>
    <row r="226" spans="1:1" x14ac:dyDescent="0.2">
      <c r="A226" s="24" t="s">
        <v>482</v>
      </c>
    </row>
    <row r="228" spans="1:1" x14ac:dyDescent="0.2">
      <c r="A228" s="24" t="s">
        <v>483</v>
      </c>
    </row>
    <row r="230" spans="1:1" x14ac:dyDescent="0.2">
      <c r="A230" s="24" t="s">
        <v>484</v>
      </c>
    </row>
    <row r="232" spans="1:1" x14ac:dyDescent="0.2">
      <c r="A232" s="24" t="s">
        <v>485</v>
      </c>
    </row>
    <row r="233" spans="1:1" x14ac:dyDescent="0.2">
      <c r="A233" s="24" t="s">
        <v>486</v>
      </c>
    </row>
    <row r="234" spans="1:1" x14ac:dyDescent="0.2">
      <c r="A234" s="24" t="s">
        <v>487</v>
      </c>
    </row>
    <row r="235" spans="1:1" x14ac:dyDescent="0.2">
      <c r="A235" s="24" t="s">
        <v>488</v>
      </c>
    </row>
    <row r="236" spans="1:1" x14ac:dyDescent="0.2">
      <c r="A236" s="24" t="s">
        <v>489</v>
      </c>
    </row>
    <row r="237" spans="1:1" x14ac:dyDescent="0.2">
      <c r="A237" s="24" t="s">
        <v>490</v>
      </c>
    </row>
    <row r="238" spans="1:1" x14ac:dyDescent="0.2">
      <c r="A238" s="24" t="s">
        <v>188</v>
      </c>
    </row>
    <row r="239" spans="1:1" x14ac:dyDescent="0.2">
      <c r="A239" s="24" t="s">
        <v>491</v>
      </c>
    </row>
    <row r="240" spans="1:1" x14ac:dyDescent="0.2">
      <c r="A240" s="24" t="s">
        <v>492</v>
      </c>
    </row>
    <row r="241" spans="1:1" x14ac:dyDescent="0.2">
      <c r="A241" s="24" t="s">
        <v>188</v>
      </c>
    </row>
    <row r="242" spans="1:1" x14ac:dyDescent="0.2">
      <c r="A242" s="24" t="s">
        <v>493</v>
      </c>
    </row>
    <row r="244" spans="1:1" x14ac:dyDescent="0.2">
      <c r="A244" s="24" t="s">
        <v>494</v>
      </c>
    </row>
    <row r="246" spans="1:1" x14ac:dyDescent="0.2">
      <c r="A246" s="24" t="s">
        <v>495</v>
      </c>
    </row>
    <row r="248" spans="1:1" x14ac:dyDescent="0.2">
      <c r="A248" s="24" t="s">
        <v>496</v>
      </c>
    </row>
    <row r="249" spans="1:1" x14ac:dyDescent="0.2">
      <c r="A249" s="24" t="s">
        <v>497</v>
      </c>
    </row>
    <row r="250" spans="1:1" x14ac:dyDescent="0.2">
      <c r="A250" s="24" t="s">
        <v>498</v>
      </c>
    </row>
    <row r="251" spans="1:1" x14ac:dyDescent="0.2">
      <c r="A251" s="24" t="s">
        <v>499</v>
      </c>
    </row>
    <row r="252" spans="1:1" x14ac:dyDescent="0.2">
      <c r="A252" s="24" t="s">
        <v>500</v>
      </c>
    </row>
    <row r="254" spans="1:1" x14ac:dyDescent="0.2">
      <c r="A254" s="24" t="s">
        <v>501</v>
      </c>
    </row>
    <row r="255" spans="1:1" x14ac:dyDescent="0.2">
      <c r="A255" s="24" t="s">
        <v>502</v>
      </c>
    </row>
    <row r="256" spans="1:1" x14ac:dyDescent="0.2">
      <c r="A256" s="24" t="s">
        <v>503</v>
      </c>
    </row>
    <row r="257" spans="1:1" x14ac:dyDescent="0.2">
      <c r="A257" s="24" t="s">
        <v>504</v>
      </c>
    </row>
    <row r="258" spans="1:1" x14ac:dyDescent="0.2">
      <c r="A258" s="24" t="s">
        <v>505</v>
      </c>
    </row>
    <row r="261" spans="1:1" x14ac:dyDescent="0.2">
      <c r="A261" s="24" t="s">
        <v>506</v>
      </c>
    </row>
    <row r="262" spans="1:1" x14ac:dyDescent="0.2">
      <c r="A262" s="24" t="s">
        <v>507</v>
      </c>
    </row>
    <row r="263" spans="1:1" x14ac:dyDescent="0.2">
      <c r="A263" s="24" t="s">
        <v>508</v>
      </c>
    </row>
    <row r="264" spans="1:1" x14ac:dyDescent="0.2">
      <c r="A264" s="24" t="s">
        <v>509</v>
      </c>
    </row>
    <row r="265" spans="1:1" x14ac:dyDescent="0.2">
      <c r="A265" s="24" t="s">
        <v>510</v>
      </c>
    </row>
    <row r="267" spans="1:1" x14ac:dyDescent="0.2">
      <c r="A267" s="24" t="s">
        <v>503</v>
      </c>
    </row>
    <row r="268" spans="1:1" x14ac:dyDescent="0.2">
      <c r="A268" s="24" t="s">
        <v>504</v>
      </c>
    </row>
    <row r="269" spans="1:1" x14ac:dyDescent="0.2">
      <c r="A269" s="24" t="s">
        <v>511</v>
      </c>
    </row>
    <row r="272" spans="1:1" x14ac:dyDescent="0.2">
      <c r="A272" s="24" t="s">
        <v>471</v>
      </c>
    </row>
    <row r="273" spans="1:1" x14ac:dyDescent="0.2">
      <c r="A273" s="24" t="s">
        <v>472</v>
      </c>
    </row>
    <row r="275" spans="1:1" x14ac:dyDescent="0.2">
      <c r="A275" s="24" t="s">
        <v>512</v>
      </c>
    </row>
    <row r="277" spans="1:1" x14ac:dyDescent="0.2">
      <c r="A277" s="24" t="s">
        <v>511</v>
      </c>
    </row>
    <row r="280" spans="1:1" x14ac:dyDescent="0.2">
      <c r="A280" s="24" t="s">
        <v>473</v>
      </c>
    </row>
    <row r="281" spans="1:1" x14ac:dyDescent="0.2">
      <c r="A281" s="24" t="s">
        <v>474</v>
      </c>
    </row>
    <row r="282" spans="1:1" x14ac:dyDescent="0.2">
      <c r="A282" s="24" t="s">
        <v>513</v>
      </c>
    </row>
    <row r="283" spans="1:1" x14ac:dyDescent="0.2">
      <c r="A283" s="24" t="s">
        <v>514</v>
      </c>
    </row>
    <row r="284" spans="1:1" x14ac:dyDescent="0.2">
      <c r="A284" s="24" t="s">
        <v>511</v>
      </c>
    </row>
    <row r="285" spans="1:1" x14ac:dyDescent="0.2">
      <c r="A285" s="24" t="s">
        <v>475</v>
      </c>
    </row>
    <row r="287" spans="1:1" x14ac:dyDescent="0.2">
      <c r="A287" s="24" t="s">
        <v>515</v>
      </c>
    </row>
    <row r="288" spans="1:1" x14ac:dyDescent="0.2">
      <c r="A288" s="24" t="s">
        <v>513</v>
      </c>
    </row>
    <row r="289" spans="1:1" x14ac:dyDescent="0.2">
      <c r="A289" s="24" t="s">
        <v>516</v>
      </c>
    </row>
    <row r="291" spans="1:1" x14ac:dyDescent="0.2">
      <c r="A291" s="24" t="s">
        <v>511</v>
      </c>
    </row>
    <row r="294" spans="1:1" x14ac:dyDescent="0.2">
      <c r="A294" s="24" t="s">
        <v>517</v>
      </c>
    </row>
    <row r="295" spans="1:1" x14ac:dyDescent="0.2">
      <c r="A295" s="24" t="s">
        <v>518</v>
      </c>
    </row>
    <row r="296" spans="1:1" x14ac:dyDescent="0.2">
      <c r="A296" s="24" t="s">
        <v>519</v>
      </c>
    </row>
    <row r="298" spans="1:1" x14ac:dyDescent="0.2">
      <c r="A298" s="24" t="s">
        <v>511</v>
      </c>
    </row>
    <row r="301" spans="1:1" x14ac:dyDescent="0.2">
      <c r="A301" s="24" t="s">
        <v>520</v>
      </c>
    </row>
    <row r="302" spans="1:1" x14ac:dyDescent="0.2">
      <c r="A302" s="24" t="s">
        <v>521</v>
      </c>
    </row>
    <row r="304" spans="1:1" x14ac:dyDescent="0.2">
      <c r="A304" s="24" t="s">
        <v>522</v>
      </c>
    </row>
    <row r="305" spans="1:1" x14ac:dyDescent="0.2">
      <c r="A305" s="24" t="s">
        <v>523</v>
      </c>
    </row>
    <row r="306" spans="1:1" x14ac:dyDescent="0.2">
      <c r="A306" s="24" t="s">
        <v>511</v>
      </c>
    </row>
    <row r="309" spans="1:1" x14ac:dyDescent="0.2">
      <c r="A309" s="24" t="s">
        <v>520</v>
      </c>
    </row>
    <row r="310" spans="1:1" x14ac:dyDescent="0.2">
      <c r="A310" s="24" t="s">
        <v>524</v>
      </c>
    </row>
    <row r="311" spans="1:1" x14ac:dyDescent="0.2">
      <c r="A311" s="24" t="s">
        <v>520</v>
      </c>
    </row>
    <row r="312" spans="1:1" x14ac:dyDescent="0.2">
      <c r="A312" s="24" t="s">
        <v>525</v>
      </c>
    </row>
    <row r="314" spans="1:1" x14ac:dyDescent="0.2">
      <c r="A314" s="24" t="s">
        <v>526</v>
      </c>
    </row>
    <row r="316" spans="1:1" x14ac:dyDescent="0.2">
      <c r="A316" s="24" t="s">
        <v>511</v>
      </c>
    </row>
    <row r="319" spans="1:1" x14ac:dyDescent="0.2">
      <c r="A319" s="24" t="s">
        <v>520</v>
      </c>
    </row>
    <row r="320" spans="1:1" x14ac:dyDescent="0.2">
      <c r="A320" s="24" t="s">
        <v>527</v>
      </c>
    </row>
    <row r="321" spans="1:1" x14ac:dyDescent="0.2">
      <c r="A321" s="24" t="s">
        <v>528</v>
      </c>
    </row>
    <row r="322" spans="1:1" x14ac:dyDescent="0.2">
      <c r="A322" s="24" t="s">
        <v>529</v>
      </c>
    </row>
    <row r="324" spans="1:1" x14ac:dyDescent="0.2">
      <c r="A324" s="24" t="s">
        <v>511</v>
      </c>
    </row>
    <row r="326" spans="1:1" x14ac:dyDescent="0.2">
      <c r="A326" s="24" t="s">
        <v>470</v>
      </c>
    </row>
    <row r="329" spans="1:1" x14ac:dyDescent="0.2">
      <c r="A329" s="24" t="s">
        <v>476</v>
      </c>
    </row>
    <row r="330" spans="1:1" x14ac:dyDescent="0.2">
      <c r="A330" s="24" t="s">
        <v>477</v>
      </c>
    </row>
    <row r="331" spans="1:1" x14ac:dyDescent="0.2">
      <c r="A331" s="24" t="s">
        <v>530</v>
      </c>
    </row>
    <row r="332" spans="1:1" x14ac:dyDescent="0.2">
      <c r="A332" s="24" t="s">
        <v>531</v>
      </c>
    </row>
    <row r="333" spans="1:1" x14ac:dyDescent="0.2">
      <c r="A333" s="24" t="s">
        <v>532</v>
      </c>
    </row>
    <row r="334" spans="1:1" x14ac:dyDescent="0.2">
      <c r="A334" s="24" t="s">
        <v>533</v>
      </c>
    </row>
    <row r="335" spans="1:1" x14ac:dyDescent="0.2">
      <c r="A335" s="24" t="s">
        <v>534</v>
      </c>
    </row>
    <row r="336" spans="1:1" x14ac:dyDescent="0.2">
      <c r="A336" s="24" t="s">
        <v>487</v>
      </c>
    </row>
    <row r="337" spans="1:1" x14ac:dyDescent="0.2">
      <c r="A337" s="24" t="s">
        <v>478</v>
      </c>
    </row>
    <row r="340" spans="1:1" x14ac:dyDescent="0.2">
      <c r="A340" s="24" t="s">
        <v>479</v>
      </c>
    </row>
    <row r="342" spans="1:1" x14ac:dyDescent="0.2">
      <c r="A342" s="24" t="s">
        <v>535</v>
      </c>
    </row>
    <row r="343" spans="1:1" x14ac:dyDescent="0.2">
      <c r="A343" s="24" t="s">
        <v>536</v>
      </c>
    </row>
    <row r="344" spans="1:1" x14ac:dyDescent="0.2">
      <c r="A344" s="24" t="s">
        <v>537</v>
      </c>
    </row>
    <row r="345" spans="1:1" x14ac:dyDescent="0.2">
      <c r="A345" s="24" t="s">
        <v>538</v>
      </c>
    </row>
    <row r="346" spans="1:1" x14ac:dyDescent="0.2">
      <c r="A346" s="24" t="s">
        <v>539</v>
      </c>
    </row>
    <row r="347" spans="1:1" x14ac:dyDescent="0.2">
      <c r="A347" s="24" t="s">
        <v>487</v>
      </c>
    </row>
    <row r="348" spans="1:1" x14ac:dyDescent="0.2">
      <c r="A348" s="24" t="s">
        <v>480</v>
      </c>
    </row>
    <row r="349" spans="1:1" x14ac:dyDescent="0.2">
      <c r="A349" s="24" t="s">
        <v>540</v>
      </c>
    </row>
    <row r="350" spans="1:1" x14ac:dyDescent="0.2">
      <c r="A350" s="24" t="s">
        <v>541</v>
      </c>
    </row>
    <row r="352" spans="1:1" x14ac:dyDescent="0.2">
      <c r="A352" s="24" t="s">
        <v>511</v>
      </c>
    </row>
    <row r="355" spans="1:1" x14ac:dyDescent="0.2">
      <c r="A355" s="24" t="s">
        <v>470</v>
      </c>
    </row>
    <row r="361" spans="1:1" x14ac:dyDescent="0.2">
      <c r="A361" s="24" t="s">
        <v>481</v>
      </c>
    </row>
  </sheetData>
  <sheetProtection password="C6AC" sheet="1"/>
  <dataConsolidate/>
  <mergeCells count="56">
    <mergeCell ref="C5:D5"/>
    <mergeCell ref="H26:I26"/>
    <mergeCell ref="C16:D16"/>
    <mergeCell ref="C17:D17"/>
    <mergeCell ref="O21:P21"/>
    <mergeCell ref="M21:N21"/>
    <mergeCell ref="O19:P19"/>
    <mergeCell ref="O22:P22"/>
    <mergeCell ref="C20:D20"/>
    <mergeCell ref="C6:D6"/>
    <mergeCell ref="C14:D14"/>
    <mergeCell ref="C26:D26"/>
    <mergeCell ref="C19:D19"/>
    <mergeCell ref="O23:P23"/>
    <mergeCell ref="O24:P24"/>
    <mergeCell ref="C22:D22"/>
    <mergeCell ref="C2:D3"/>
    <mergeCell ref="C4:D4"/>
    <mergeCell ref="M22:N22"/>
    <mergeCell ref="M19:N19"/>
    <mergeCell ref="M9:N9"/>
    <mergeCell ref="M7:N7"/>
    <mergeCell ref="M8:N8"/>
    <mergeCell ref="C7:D7"/>
    <mergeCell ref="C10:D10"/>
    <mergeCell ref="C13:D13"/>
    <mergeCell ref="C8:D8"/>
    <mergeCell ref="C9:D9"/>
    <mergeCell ref="M20:N20"/>
    <mergeCell ref="N14:O14"/>
    <mergeCell ref="N15:O15"/>
    <mergeCell ref="C18:D18"/>
    <mergeCell ref="C21:D21"/>
    <mergeCell ref="C23:D23"/>
    <mergeCell ref="O20:P20"/>
    <mergeCell ref="M23:N23"/>
    <mergeCell ref="M24:N24"/>
    <mergeCell ref="M4:P4"/>
    <mergeCell ref="M2:P2"/>
    <mergeCell ref="N13:O13"/>
    <mergeCell ref="N12:O12"/>
    <mergeCell ref="O9:P9"/>
    <mergeCell ref="O8:P8"/>
    <mergeCell ref="O7:P7"/>
    <mergeCell ref="M5:N5"/>
    <mergeCell ref="M6:N6"/>
    <mergeCell ref="L3:M3"/>
    <mergeCell ref="N11:O11"/>
    <mergeCell ref="O6:P6"/>
    <mergeCell ref="O5:P5"/>
    <mergeCell ref="O17:P17"/>
    <mergeCell ref="O18:P18"/>
    <mergeCell ref="H33:I34"/>
    <mergeCell ref="H27:I27"/>
    <mergeCell ref="M18:N18"/>
    <mergeCell ref="M17:N17"/>
  </mergeCells>
  <phoneticPr fontId="8" type="noConversion"/>
  <conditionalFormatting sqref="B14:D14 B34:C34">
    <cfRule type="expression" dxfId="53" priority="36" stopIfTrue="1">
      <formula>AND(IF(RIGHT(Nb_diam,1)=",",1),IF(LEFT(Type_masquage,1)="M",1))</formula>
    </cfRule>
  </conditionalFormatting>
  <conditionalFormatting sqref="C11">
    <cfRule type="cellIs" dxfId="52" priority="24" stopIfTrue="1" operator="equal">
      <formula>549</formula>
    </cfRule>
    <cfRule type="expression" dxfId="51" priority="27" stopIfTrue="1">
      <formula>OR(MasseSans&lt;MpropuVide, MasseSans&gt;20*MpropuPlein)</formula>
    </cfRule>
  </conditionalFormatting>
  <conditionalFormatting sqref="C12">
    <cfRule type="cellIs" dxfId="50" priority="23" stopIfTrue="1" operator="equal">
      <formula>359</formula>
    </cfRule>
  </conditionalFormatting>
  <conditionalFormatting sqref="C17">
    <cfRule type="expression" dxfId="49" priority="150" stopIfTrue="1">
      <formula>C204</formula>
    </cfRule>
  </conditionalFormatting>
  <conditionalFormatting sqref="C27 C29">
    <cfRule type="cellIs" dxfId="48" priority="17" stopIfTrue="1" operator="equal">
      <formula>64</formula>
    </cfRule>
  </conditionalFormatting>
  <conditionalFormatting sqref="C28">
    <cfRule type="cellIs" dxfId="47" priority="18" stopIfTrue="1" operator="equal">
      <formula>39</formula>
    </cfRule>
  </conditionalFormatting>
  <conditionalFormatting sqref="C30">
    <cfRule type="cellIs" dxfId="46" priority="19" stopIfTrue="1" operator="equal">
      <formula>79</formula>
    </cfRule>
  </conditionalFormatting>
  <conditionalFormatting sqref="C13:D13">
    <cfRule type="cellIs" dxfId="45" priority="22" stopIfTrue="1" operator="equal">
      <formula>569</formula>
    </cfRule>
  </conditionalFormatting>
  <conditionalFormatting sqref="C22:D22">
    <cfRule type="cellIs" dxfId="44" priority="21" stopIfTrue="1" operator="equal">
      <formula>126</formula>
    </cfRule>
  </conditionalFormatting>
  <conditionalFormatting sqref="C23:D23">
    <cfRule type="cellIs" dxfId="43" priority="20" stopIfTrue="1" operator="equal">
      <formula>44</formula>
    </cfRule>
  </conditionalFormatting>
  <conditionalFormatting sqref="D17">
    <cfRule type="expression" dxfId="42" priority="10" stopIfTrue="1">
      <formula>D202</formula>
    </cfRule>
  </conditionalFormatting>
  <conditionalFormatting sqref="H28">
    <cfRule type="expression" dxfId="41" priority="46" stopIfTrue="1">
      <formula>OR(Cn&lt;CritCnmin,Cn&gt;CritCnmax)</formula>
    </cfRule>
  </conditionalFormatting>
  <conditionalFormatting sqref="H29">
    <cfRule type="expression" dxfId="40" priority="45" stopIfTrue="1">
      <formula>OR(MS_min&lt;CritMsmin,MS_min&gt;CritMsmax)</formula>
    </cfRule>
  </conditionalFormatting>
  <conditionalFormatting sqref="H30">
    <cfRule type="expression" dxfId="39" priority="43" stopIfTrue="1">
      <formula>OR(MS_Cn_min&lt;CritMsCnmin,MS_Cn_min&gt;CritMsCnmax)</formula>
    </cfRule>
  </conditionalFormatting>
  <conditionalFormatting sqref="H27:I27">
    <cfRule type="expression" dxfId="38" priority="47" stopIfTrue="1">
      <formula>OR(Finesse&lt;CritFinessemin,Finesse&gt;CritFinessemax)</formula>
    </cfRule>
  </conditionalFormatting>
  <conditionalFormatting sqref="H33:I34">
    <cfRule type="expression" dxfId="37" priority="50" stopIfTrue="1">
      <formula>$H$33="STABLE"</formula>
    </cfRule>
  </conditionalFormatting>
  <conditionalFormatting sqref="I28">
    <cfRule type="expression" dxfId="36" priority="5" stopIfTrue="1">
      <formula>OR(Cn0&lt;CritCnmin,Cn0&gt;CritCnmax)</formula>
    </cfRule>
  </conditionalFormatting>
  <conditionalFormatting sqref="I29">
    <cfRule type="expression" dxfId="35" priority="44" stopIfTrue="1">
      <formula>OR(MS_max&lt;CritMsmin,MS_max&gt;CritMsmax)</formula>
    </cfRule>
  </conditionalFormatting>
  <conditionalFormatting sqref="I30">
    <cfRule type="expression" dxfId="34" priority="42" stopIfTrue="1">
      <formula>OR(MS_Cn_max&lt;CritMsCnmin,MS_Cn_max&gt;CritMsCnmax)</formula>
    </cfRule>
  </conditionalFormatting>
  <conditionalFormatting sqref="L38:M38">
    <cfRule type="expression" dxfId="33" priority="232" stopIfTrue="1">
      <formula>OR(SUM($C$27:$C$32)=273, $H$33&lt;&gt;"STABLE")</formula>
    </cfRule>
  </conditionalFormatting>
  <conditionalFormatting sqref="L6:P9">
    <cfRule type="expression" dxfId="32" priority="48" stopIfTrue="1">
      <formula>IF(RIGHT(Nb_diam,1)=",",1)</formula>
    </cfRule>
  </conditionalFormatting>
  <conditionalFormatting sqref="L20:P22 D25:E25 D27:E34 B35:E35">
    <cfRule type="expression" dxfId="31" priority="83" stopIfTrue="1">
      <formula>IF(LEFT(Type_masquage,1)="M",1)</formula>
    </cfRule>
  </conditionalFormatting>
  <conditionalFormatting sqref="L23:P24">
    <cfRule type="expression" dxfId="30" priority="64" stopIfTrue="1">
      <formula>IF(RIGHT(Nb_diam,1)=",",1)</formula>
    </cfRule>
  </conditionalFormatting>
  <conditionalFormatting sqref="M36 O36">
    <cfRule type="expression" dxfId="29" priority="141" stopIfTrue="1">
      <formula>$M$36="propu NOK"</formula>
    </cfRule>
  </conditionalFormatting>
  <conditionalFormatting sqref="M5:P5">
    <cfRule type="expression" dxfId="28" priority="38" stopIfTrue="1">
      <formula>IF(RIGHT(Nb_diam,1)=",",1)</formula>
    </cfRule>
  </conditionalFormatting>
  <conditionalFormatting sqref="N36">
    <cfRule type="expression" dxfId="27" priority="26" stopIfTrue="1">
      <formula>ROUND(SUM(C2:P25)+SUM(C27:P35),0)=8637</formula>
    </cfRule>
  </conditionalFormatting>
  <dataValidations count="13">
    <dataValidation type="whole" allowBlank="1" showInputMessage="1" showErrorMessage="1" error="Tapez un entier entre 3 et 6." sqref="C32:D32" xr:uid="{0B6E2C9D-DAC5-F146-B9BD-078A6198BB9B}">
      <formula1>3</formula1>
      <formula2>6</formula2>
    </dataValidation>
    <dataValidation type="decimal" operator="notEqual" allowBlank="1" showInputMessage="1" showErrorMessage="1" error="Tapez uniquement la longueur, sans l'unité." sqref="C29:D29" xr:uid="{466736F9-CB69-4447-9EDD-D0315D406FD1}">
      <formula1>1E+100</formula1>
    </dataValidation>
    <dataValidation type="decimal" operator="greaterThanOrEqual" allowBlank="1" showInputMessage="1" showErrorMessage="1" error="Tapez uniquement la longueur, sans l'unité." sqref="C27:D28 C33:D34 C30:D31 M6:O9" xr:uid="{8F6CEE36-4894-FB43-BAA1-BDB860438BF5}">
      <formula1>0</formula1>
    </dataValidation>
    <dataValidation type="list" showInputMessage="1" showErrorMessage="1" sqref="C26:D26" xr:uid="{79D1D883-6729-D043-8B70-93426D38A3A1}">
      <formula1>Menu_Empennage</formula1>
    </dataValidation>
    <dataValidation type="list" showInputMessage="1" showErrorMessage="1" sqref="C17:D17" xr:uid="{C63DA15E-96B4-A44F-8AF7-1574288C1661}">
      <formula1>Liste_propu</formula1>
    </dataValidation>
    <dataValidation type="list" showInputMessage="1" showErrorMessage="1" sqref="M2" xr:uid="{365CF203-40E6-744C-B3E9-43668F4942EE}">
      <formula1>Menu_Lang</formula1>
    </dataValidation>
    <dataValidation type="decimal" showInputMessage="1" showErrorMessage="1" errorTitle="Masse de la Fusée" error="Tapez uniquement la masse, sans l'unité." sqref="C11" xr:uid="{61B5E42E-8481-E14A-A642-4ECD3B562EE6}">
      <formula1>0</formula1>
      <formula2>50000</formula2>
    </dataValidation>
    <dataValidation type="decimal" operator="greaterThan" showInputMessage="1" showErrorMessage="1" error="Tapez uniquement la longueur, sans l'unité." sqref="C12 C13:D13 C22:D23" xr:uid="{57773C4F-9C6C-8548-9F34-C74B73D21C1D}">
      <formula1>0</formula1>
    </dataValidation>
    <dataValidation type="list" showInputMessage="1" showErrorMessage="1" sqref="D11:D12" xr:uid="{594D8E20-D917-4244-8111-797409E591CB}">
      <formula1>Menu_with_motor</formula1>
    </dataValidation>
    <dataValidation type="list" showInputMessage="1" showErrorMessage="1" sqref="C10:D10" xr:uid="{EAE9CC7C-DBFB-7043-A5F9-0E2131E02B4D}">
      <formula1>Menu_Type</formula1>
    </dataValidation>
    <dataValidation type="decimal" operator="greaterThan" allowBlank="1" showInputMessage="1" showErrorMessage="1" error="Tapez uniquement la longueur, sans l'unité." sqref="C18" xr:uid="{D63BB950-CD20-104E-9239-4D42BF9046BC}">
      <formula1>0</formula1>
    </dataValidation>
    <dataValidation type="list" showInputMessage="1" showErrorMessage="1" sqref="C21:D21" xr:uid="{EE8348D6-8911-EB45-BB9E-531C86D5E490}">
      <formula1>Menu_Ogive</formula1>
    </dataValidation>
    <dataValidation type="list" showInputMessage="1" showErrorMessage="1" sqref="M4" xr:uid="{89162CE9-2114-154B-ADF4-DDF8347A12C1}">
      <formula1>Menu_Transitions</formula1>
    </dataValidation>
  </dataValidations>
  <hyperlinks>
    <hyperlink ref="M38" location="Trajecto!C25" display="Trajecto" xr:uid="{5ED66539-BC16-E54D-8A5C-2CC7C3C4040F}"/>
  </hyperlinks>
  <printOptions horizontalCentered="1" verticalCentered="1"/>
  <pageMargins left="7.874015748031496E-2" right="7.874015748031496E-2" top="7.874015748031496E-2" bottom="7.874015748031496E-2" header="0" footer="0"/>
  <pageSetup paperSize="9" orientation="landscape" horizontalDpi="200" verticalDpi="2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775" r:id="rId3" name="Spinner 935">
              <controlPr defaultSize="0" print="0" autoPict="0">
                <anchor moveWithCells="1" sizeWithCells="1">
                  <from>
                    <xdr:col>3</xdr:col>
                    <xdr:colOff>809625</xdr:colOff>
                    <xdr:row>21</xdr:row>
                    <xdr:rowOff>9525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1" r:id="rId4" name="Spinner 941">
              <controlPr defaultSize="0" print="0" autoPict="0">
                <anchor moveWithCells="1" sizeWithCells="1">
                  <from>
                    <xdr:col>2</xdr:col>
                    <xdr:colOff>809625</xdr:colOff>
                    <xdr:row>10</xdr:row>
                    <xdr:rowOff>9525</xdr:rowOff>
                  </from>
                  <to>
                    <xdr:col>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2" r:id="rId5" name="Spinner 942">
              <controlPr defaultSize="0" print="0" autoPict="0">
                <anchor moveWithCells="1" sizeWithCells="1">
                  <from>
                    <xdr:col>2</xdr:col>
                    <xdr:colOff>809625</xdr:colOff>
                    <xdr:row>11</xdr:row>
                    <xdr:rowOff>9525</xdr:rowOff>
                  </from>
                  <to>
                    <xdr:col>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3" r:id="rId6" name="Spinner 943">
              <controlPr defaultSize="0" print="0" autoPict="0">
                <anchor moveWithCells="1" sizeWithCells="1">
                  <from>
                    <xdr:col>3</xdr:col>
                    <xdr:colOff>809625</xdr:colOff>
                    <xdr:row>22</xdr:row>
                    <xdr:rowOff>9525</xdr:rowOff>
                  </from>
                  <to>
                    <xdr:col>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9" r:id="rId7" name="Spinner 949">
              <controlPr defaultSize="0" print="0" autoPict="0">
                <anchor moveWithCells="1" sizeWithCells="1">
                  <from>
                    <xdr:col>2</xdr:col>
                    <xdr:colOff>809625</xdr:colOff>
                    <xdr:row>26</xdr:row>
                    <xdr:rowOff>9525</xdr:rowOff>
                  </from>
                  <to>
                    <xdr:col>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5" r:id="rId8" name="Spinner 955">
              <controlPr defaultSize="0" print="0" autoPict="0">
                <anchor moveWithCells="1" sizeWithCells="1">
                  <from>
                    <xdr:col>2</xdr:col>
                    <xdr:colOff>809625</xdr:colOff>
                    <xdr:row>27</xdr:row>
                    <xdr:rowOff>9525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6" r:id="rId9" name="Spinner 956">
              <controlPr defaultSize="0" print="0" autoPict="0">
                <anchor moveWithCells="1" sizeWithCells="1">
                  <from>
                    <xdr:col>2</xdr:col>
                    <xdr:colOff>809625</xdr:colOff>
                    <xdr:row>28</xdr:row>
                    <xdr:rowOff>9525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7" r:id="rId10" name="Spinner 957">
              <controlPr defaultSize="0" print="0" autoPict="0">
                <anchor moveWithCells="1" sizeWithCells="1">
                  <from>
                    <xdr:col>2</xdr:col>
                    <xdr:colOff>809625</xdr:colOff>
                    <xdr:row>29</xdr:row>
                    <xdr:rowOff>9525</xdr:rowOff>
                  </from>
                  <to>
                    <xdr:col>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8" r:id="rId11" name="Spinner 958">
              <controlPr defaultSize="0" print="0" autoPict="0">
                <anchor moveWithCells="1" sizeWithCells="1">
                  <from>
                    <xdr:col>2</xdr:col>
                    <xdr:colOff>809625</xdr:colOff>
                    <xdr:row>30</xdr:row>
                    <xdr:rowOff>9525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9" r:id="rId12" name="Spinner 959">
              <controlPr defaultSize="0" print="0" autoPict="0">
                <anchor moveWithCells="1" sizeWithCells="1">
                  <from>
                    <xdr:col>2</xdr:col>
                    <xdr:colOff>809625</xdr:colOff>
                    <xdr:row>31</xdr:row>
                    <xdr:rowOff>9525</xdr:rowOff>
                  </from>
                  <to>
                    <xdr:col>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01" r:id="rId13" name="Spinner 961">
              <controlPr defaultSize="0" print="0" autoPict="0">
                <anchor moveWithCells="1" sizeWithCells="1">
                  <from>
                    <xdr:col>3</xdr:col>
                    <xdr:colOff>809625</xdr:colOff>
                    <xdr:row>12</xdr:row>
                    <xdr:rowOff>9525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6691" r:id="rId14" name="Spinner 3315">
              <controlPr defaultSize="0" print="0" autoPict="0">
                <anchor moveWithCells="1" sizeWithCells="1">
                  <from>
                    <xdr:col>19</xdr:col>
                    <xdr:colOff>0</xdr:colOff>
                    <xdr:row>35</xdr:row>
                    <xdr:rowOff>9525</xdr:rowOff>
                  </from>
                  <to>
                    <xdr:col>19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6692" r:id="rId15" name="Spinner 3316">
              <controlPr defaultSize="0" print="0" autoPict="0">
                <anchor moveWithCells="1" sizeWithCells="1">
                  <from>
                    <xdr:col>19</xdr:col>
                    <xdr:colOff>0</xdr:colOff>
                    <xdr:row>35</xdr:row>
                    <xdr:rowOff>9525</xdr:rowOff>
                  </from>
                  <to>
                    <xdr:col>19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EC23-8FF4-4845-884D-BFFCC7C46FA3}">
  <sheetPr codeName="Feuil1">
    <pageSetUpPr fitToPage="1"/>
  </sheetPr>
  <dimension ref="A1:R199"/>
  <sheetViews>
    <sheetView showGridLines="0" zoomScale="85" zoomScaleNormal="85" workbookViewId="0">
      <selection activeCell="J30" sqref="J30"/>
    </sheetView>
  </sheetViews>
  <sheetFormatPr baseColWidth="10" defaultColWidth="11.28515625" defaultRowHeight="12.75" x14ac:dyDescent="0.2"/>
  <cols>
    <col min="1" max="1" width="2.140625" style="1" customWidth="1"/>
    <col min="2" max="2" width="16.28515625" style="1" customWidth="1"/>
    <col min="3" max="4" width="11.28515625" style="1"/>
    <col min="5" max="5" width="2.7109375" style="1" customWidth="1"/>
    <col min="6" max="7" width="12.85546875" style="1" customWidth="1"/>
    <col min="8" max="13" width="10.7109375" style="1" customWidth="1"/>
    <col min="14" max="15" width="2.140625" style="1" customWidth="1"/>
    <col min="16" max="17" width="14.28515625" style="1" customWidth="1"/>
    <col min="18" max="16384" width="11.28515625" style="1"/>
  </cols>
  <sheetData>
    <row r="1" spans="1:14" x14ac:dyDescent="0.2">
      <c r="A1" s="51"/>
      <c r="B1" s="52"/>
      <c r="C1" s="53"/>
      <c r="D1" s="52"/>
      <c r="E1" s="54"/>
      <c r="F1" s="54"/>
      <c r="G1" s="54"/>
      <c r="H1" s="54"/>
      <c r="I1" s="54"/>
      <c r="J1" s="54"/>
      <c r="K1" s="54"/>
      <c r="L1" s="54"/>
      <c r="M1" s="54"/>
      <c r="N1" s="55"/>
    </row>
    <row r="2" spans="1:14" ht="12.75" customHeight="1" x14ac:dyDescent="0.2">
      <c r="A2" s="56"/>
      <c r="B2" s="2"/>
      <c r="C2" s="591" t="s">
        <v>0</v>
      </c>
      <c r="D2" s="591"/>
      <c r="F2" s="3"/>
      <c r="J2" s="4"/>
      <c r="N2" s="57"/>
    </row>
    <row r="3" spans="1:14" ht="12.75" customHeight="1" x14ac:dyDescent="0.2">
      <c r="A3" s="56"/>
      <c r="B3" s="2"/>
      <c r="C3" s="591"/>
      <c r="D3" s="591"/>
      <c r="H3" s="5"/>
      <c r="J3" s="4"/>
      <c r="N3" s="57"/>
    </row>
    <row r="4" spans="1:14" ht="12.75" customHeight="1" x14ac:dyDescent="0.2">
      <c r="A4" s="56"/>
      <c r="B4" s="2"/>
      <c r="C4" s="595" t="str">
        <f>IF(Lang="Français","Trajectographie de fusée",IF(Lang="English","Rocket Trajectography",""))</f>
        <v>Trajectographie de fusée</v>
      </c>
      <c r="D4" s="595"/>
      <c r="H4" s="5"/>
      <c r="J4" s="4"/>
      <c r="N4" s="57"/>
    </row>
    <row r="5" spans="1:14" ht="12.75" customHeight="1" x14ac:dyDescent="0.2">
      <c r="A5" s="56"/>
      <c r="B5" s="2"/>
      <c r="J5" s="4"/>
      <c r="N5" s="57"/>
    </row>
    <row r="6" spans="1:14" ht="12.95" customHeight="1" x14ac:dyDescent="0.2">
      <c r="A6" s="56"/>
      <c r="B6" s="87"/>
      <c r="C6" s="594" t="str">
        <f>IF(Lang="Français","Remplir les cases jaunes",IF(Lang="English","Fill-in yellow cells only",""))</f>
        <v>Remplir les cases jaunes</v>
      </c>
      <c r="D6" s="594"/>
      <c r="J6" s="4"/>
      <c r="N6" s="57"/>
    </row>
    <row r="7" spans="1:14" x14ac:dyDescent="0.2">
      <c r="A7" s="56"/>
      <c r="B7" s="6"/>
      <c r="C7" s="592" t="str">
        <f>IF(Lang="Français","Fusée",IF(Lang="English","Rocket",""))</f>
        <v>Fusée</v>
      </c>
      <c r="D7" s="592"/>
      <c r="N7" s="58"/>
    </row>
    <row r="8" spans="1:14" ht="12.75" customHeight="1" x14ac:dyDescent="0.25">
      <c r="A8" s="56"/>
      <c r="B8" s="140" t="str">
        <f>IF(Lang="Français","Nom",IF(Lang="English","Name",""))</f>
        <v>Nom</v>
      </c>
      <c r="C8" s="593" t="str">
        <f>Nom</f>
        <v>Ma fusée</v>
      </c>
      <c r="D8" s="593"/>
      <c r="E8" s="5"/>
      <c r="F8" s="5"/>
      <c r="J8" s="4"/>
      <c r="N8" s="57"/>
    </row>
    <row r="9" spans="1:14" ht="12.75" customHeight="1" x14ac:dyDescent="0.25">
      <c r="A9" s="59"/>
      <c r="B9" s="140" t="s">
        <v>4</v>
      </c>
      <c r="C9" s="593" t="str">
        <f>Club</f>
        <v>Mon club</v>
      </c>
      <c r="D9" s="593"/>
      <c r="F9" s="5"/>
      <c r="N9" s="58"/>
    </row>
    <row r="10" spans="1:14" ht="12.75" customHeight="1" x14ac:dyDescent="0.2">
      <c r="A10" s="59"/>
      <c r="B10" s="140" t="str">
        <f>IF(Lang="Français","Masse totale",IF(Lang="English","Total Mass",""))</f>
        <v>Masse totale</v>
      </c>
      <c r="C10" s="617">
        <f ca="1">MassePlein</f>
        <v>11.010999999999999</v>
      </c>
      <c r="D10" s="617"/>
      <c r="F10" s="5"/>
      <c r="N10" s="58"/>
    </row>
    <row r="11" spans="1:14" ht="12.75" customHeight="1" x14ac:dyDescent="0.2">
      <c r="A11" s="59"/>
      <c r="B11" s="227" t="str">
        <f>IF(Lang="Français","Propulseur",IF(Lang="English","Motor",""))</f>
        <v>Propulseur</v>
      </c>
      <c r="C11" s="620" t="str">
        <f>Propu</f>
        <v>Orignal (Pro75-3G)</v>
      </c>
      <c r="D11" s="621"/>
      <c r="F11" s="5"/>
      <c r="N11" s="58"/>
    </row>
    <row r="12" spans="1:14" ht="12.75" customHeight="1" x14ac:dyDescent="0.2">
      <c r="A12" s="59"/>
      <c r="F12" s="5"/>
      <c r="N12" s="58"/>
    </row>
    <row r="13" spans="1:14" ht="12.75" customHeight="1" x14ac:dyDescent="0.2">
      <c r="A13" s="59"/>
      <c r="B13"/>
      <c r="C13" s="592" t="str">
        <f>IF(Lang="Français","Traînée Aérdynamique",IF(Lang="English","Drag",""))</f>
        <v>Traînée Aérdynamique</v>
      </c>
      <c r="D13" s="592"/>
      <c r="N13" s="58"/>
    </row>
    <row r="14" spans="1:14" ht="12.75" customHeight="1" x14ac:dyDescent="0.2">
      <c r="A14" s="59"/>
      <c r="B14" s="140" t="s">
        <v>41</v>
      </c>
      <c r="C14" s="622">
        <f>(PI()*D_ref^2/4+E_ail*ep_ail*Q_ail)/10^6</f>
        <v>1.0574866535306801E-2</v>
      </c>
      <c r="D14" s="622"/>
      <c r="N14" s="58"/>
    </row>
    <row r="15" spans="1:14" ht="12.75" customHeight="1" x14ac:dyDescent="0.2">
      <c r="A15" s="59"/>
      <c r="B15" s="141" t="s">
        <v>5</v>
      </c>
      <c r="C15" s="615">
        <v>0.5</v>
      </c>
      <c r="D15" s="616"/>
      <c r="N15" s="58"/>
    </row>
    <row r="16" spans="1:14" ht="12.75" customHeight="1" x14ac:dyDescent="0.2">
      <c r="A16" s="59"/>
      <c r="N16" s="58"/>
    </row>
    <row r="17" spans="1:18" ht="12.75" customHeight="1" x14ac:dyDescent="0.2">
      <c r="A17" s="59"/>
      <c r="B17"/>
      <c r="C17" s="592" t="str">
        <f>IF(Lang="Français","Rampe de Lancement",IF(Lang="English","Launch Pad",""))</f>
        <v>Rampe de Lancement</v>
      </c>
      <c r="D17" s="592"/>
      <c r="N17" s="58"/>
    </row>
    <row r="18" spans="1:18" ht="12.75" customHeight="1" x14ac:dyDescent="0.2">
      <c r="A18" s="59"/>
      <c r="B18" s="140" t="str">
        <f>IF(Lang="Français","Longueur",IF(Lang="English","Length",""))</f>
        <v>Longueur</v>
      </c>
      <c r="C18" s="619">
        <f>IF(RIGHT(Type_fusee,1)=".",4, IF(LEFT(Type_fusee,4)="Mini",2.5, IF(LEFT(Type_fusee,5)="Micro",1, IF(RIGHT(Type_fusee,1)=" ",0.1,IF(LEFT(Type_fusee,1)="R",3, 2.5)))))</f>
        <v>4</v>
      </c>
      <c r="D18" s="619"/>
      <c r="N18" s="58"/>
    </row>
    <row r="19" spans="1:18" ht="12.75" customHeight="1" x14ac:dyDescent="0.2">
      <c r="A19" s="59"/>
      <c r="B19" s="140" t="str">
        <f>IF(Lang="Français","Élévation",IF(Lang="English","Angle /horizon",""))</f>
        <v>Élévation</v>
      </c>
      <c r="C19" s="618">
        <v>85</v>
      </c>
      <c r="D19" s="618"/>
      <c r="N19" s="58"/>
    </row>
    <row r="20" spans="1:18" ht="12.75" customHeight="1" x14ac:dyDescent="0.2">
      <c r="A20" s="59"/>
      <c r="B20" s="140" t="s">
        <v>6</v>
      </c>
      <c r="C20" s="619">
        <v>0</v>
      </c>
      <c r="D20" s="619"/>
      <c r="N20" s="58"/>
    </row>
    <row r="21" spans="1:18" ht="12.75" customHeight="1" x14ac:dyDescent="0.2">
      <c r="A21" s="59"/>
      <c r="F21" s="384" t="str">
        <f ca="1">IF( OR( AND(Vsortie_de_rampe&lt;18, RIGHT(Type_fusee,1)=";"), AND(Vsortie_de_rampe&lt;20, RIGHT(Type_fusee,1)=".")), IF(Lang="Français","Vitesse en Sortie de Rampe trop faible, alléger la fusée ou choisir un propu plus puissant.","Speed at Launch Pad Exit too low, lighten the rocket or choose a bigger motor."), "")</f>
        <v/>
      </c>
      <c r="N21" s="58"/>
    </row>
    <row r="22" spans="1:18" x14ac:dyDescent="0.2">
      <c r="A22" s="59"/>
      <c r="C22" s="605" t="str">
        <f>IF(Lang="Français","DescenteSousParachute",IF(Lang="English","Over Parachute",""))</f>
        <v>DescenteSousParachute</v>
      </c>
      <c r="D22" s="606"/>
      <c r="F22" s="4"/>
      <c r="G22" s="50">
        <f ca="1">TODAY()</f>
        <v>45778</v>
      </c>
      <c r="H22" s="491" t="str">
        <f>IF(Lang="Français","Temps",IF(Lang="English","Time",""))</f>
        <v>Temps</v>
      </c>
      <c r="I22" s="491" t="s">
        <v>12</v>
      </c>
      <c r="J22" s="491" t="str">
        <f>IF(Lang="Français","Portée x",IF(Lang="English","Range x",""))</f>
        <v>Portée x</v>
      </c>
      <c r="K22" s="491" t="str">
        <f>IF(Lang="Français","Vitesse",IF(Lang="English","Velocity",""))</f>
        <v>Vitesse</v>
      </c>
      <c r="L22" s="492" t="s">
        <v>13</v>
      </c>
      <c r="M22" s="501" t="s">
        <v>427</v>
      </c>
      <c r="N22" s="58"/>
    </row>
    <row r="23" spans="1:18" x14ac:dyDescent="0.2">
      <c r="A23" s="59"/>
      <c r="B23"/>
      <c r="C23" s="142" t="str">
        <f>C7</f>
        <v>Fusée</v>
      </c>
      <c r="D23" s="220" t="s">
        <v>123</v>
      </c>
      <c r="F23" s="607" t="str">
        <f>IF(Lang="Français","Sortie de Rampe",IF(Lang="English","Launch-Pad Exit",""))</f>
        <v>Sortie de Rampe</v>
      </c>
      <c r="G23" s="608"/>
      <c r="H23" s="493"/>
      <c r="I23" s="493"/>
      <c r="J23" s="493"/>
      <c r="K23" s="494">
        <f ca="1">INDEX(vit_xz,MATCH("Sortie de rampe",Event,0))</f>
        <v>26.775581609448828</v>
      </c>
      <c r="L23" s="495"/>
      <c r="M23" s="502"/>
      <c r="N23" s="58"/>
    </row>
    <row r="24" spans="1:18" x14ac:dyDescent="0.2">
      <c r="A24" s="59"/>
      <c r="B24" s="466" t="str">
        <f>IF(Lang="Français","Masse",IF(Lang="English","Mass",""))</f>
        <v>Masse</v>
      </c>
      <c r="C24" s="467">
        <f ca="1">IF(Nb_sat="0 satellite",MasseVide,MasseVide-m_satellite)</f>
        <v>9.1379999999999999</v>
      </c>
      <c r="D24" s="482">
        <f>IF(RIGHT(Type_fusee,1)=".",1,0.15)</f>
        <v>1</v>
      </c>
      <c r="E24" s="18" t="str">
        <f>IF(ABS(T_satellite-0.11-T_para)&lt;0.1,"Pb!","")</f>
        <v/>
      </c>
      <c r="F24" s="611" t="str">
        <f>IF(Lang="Français","Vit max &amp; Acc max",IF(Lang="English","Max Velocity &amp; Acc",""))</f>
        <v>Vit max &amp; Acc max</v>
      </c>
      <c r="G24" s="612"/>
      <c r="H24" s="115"/>
      <c r="I24" s="115"/>
      <c r="J24" s="115"/>
      <c r="K24" s="158">
        <f ca="1">MAX(vit_xz)</f>
        <v>276.58819608412512</v>
      </c>
      <c r="L24" s="496">
        <f ca="1">MAX(acc_xz)</f>
        <v>106.83241115888697</v>
      </c>
      <c r="M24" s="502"/>
      <c r="N24" s="58"/>
    </row>
    <row r="25" spans="1:18" x14ac:dyDescent="0.2">
      <c r="A25" s="59"/>
      <c r="B25" s="470" t="str">
        <f>IF(Lang="Français","Dépotage",IF(Lang="English","Delay",""))</f>
        <v>Dépotage</v>
      </c>
      <c r="C25" s="507" t="s">
        <v>548</v>
      </c>
      <c r="D25" s="481"/>
      <c r="F25" s="613" t="str">
        <f>IF(Lang="Français","Largage du satellite",IF(Lang="English","Satellite separation",""))</f>
        <v>Largage du satellite</v>
      </c>
      <c r="G25" s="614"/>
      <c r="H25" s="152">
        <f>IF(T_satellite&lt;&gt;0,T_satellite,"")</f>
        <v>3.5</v>
      </c>
      <c r="I25" s="156">
        <f ca="1">IF(T_satellite&lt;&gt;0,INDEX(pos_z,MATCH("Satellite",Event_sat,0)),"")</f>
        <v>481.47529063792751</v>
      </c>
      <c r="J25" s="154">
        <f ca="1">IF(T_satellite&lt;&gt;0,INDEX(pos_x,MATCH("Satellite",Event_sat,0)),"")</f>
        <v>52.331828540393076</v>
      </c>
      <c r="K25" s="159">
        <f ca="1">IF(T_satellite&lt;&gt;0,INDEX(vit_xz,MATCH("Satellite",Event_sat,0)),"")</f>
        <v>249.53003686750165</v>
      </c>
      <c r="L25" s="497"/>
      <c r="M25" s="487">
        <f ca="1">1/2*Rho_moyen*1*V_ouv_sat^2*S_satellite</f>
        <v>3813.745907069675</v>
      </c>
      <c r="N25" s="58"/>
    </row>
    <row r="26" spans="1:18" x14ac:dyDescent="0.2">
      <c r="A26" s="59"/>
      <c r="B26" s="468" t="str">
        <f>IF(Lang="Français","Ouverture para",IF(Lang="English","Opening time",""))</f>
        <v>Ouverture para</v>
      </c>
      <c r="C26" s="509">
        <v>22</v>
      </c>
      <c r="D26" s="469">
        <v>3.5</v>
      </c>
      <c r="F26" s="611" t="s">
        <v>15</v>
      </c>
      <c r="G26" s="612"/>
      <c r="H26" s="153">
        <f ca="1">INDEX(t,MATCH("Apogée",Event,0))</f>
        <v>22.499999999999989</v>
      </c>
      <c r="I26" s="157">
        <f ca="1">INDEX(pos_z,MATCH("Apogée",Event,0))</f>
        <v>2708.2410082607034</v>
      </c>
      <c r="J26" s="155">
        <f ca="1">INDEX(pos_x,MATCH("Apogée",Event,0))</f>
        <v>479.4544914761434</v>
      </c>
      <c r="K26" s="160">
        <f ca="1">INDEX(vit_xz,MATCH("Apogée",Event,0))</f>
        <v>18.010813356428724</v>
      </c>
      <c r="L26" s="498"/>
      <c r="M26" s="502"/>
      <c r="N26" s="58"/>
    </row>
    <row r="27" spans="1:18" x14ac:dyDescent="0.2">
      <c r="A27" s="59"/>
      <c r="B27" s="141" t="s">
        <v>9</v>
      </c>
      <c r="C27" s="225">
        <f>S_para_croix</f>
        <v>1.5070049999999999</v>
      </c>
      <c r="D27" s="17">
        <f>IF(RIGHT(Type_fusee,1)=".",0.1,0.02)</f>
        <v>0.1</v>
      </c>
      <c r="F27" s="609" t="str">
        <f>IF(Lang="Français","Ouverture parachute fusée",IF(Lang="English","Rocket parachute opening",""))</f>
        <v>Ouverture parachute fusée</v>
      </c>
      <c r="G27" s="610"/>
      <c r="H27" s="152">
        <f>T_para</f>
        <v>22</v>
      </c>
      <c r="I27" s="156">
        <f ca="1">INDEX(pos_z,MATCH("Para",Event_para,0))</f>
        <v>2706.5771108179933</v>
      </c>
      <c r="J27" s="488">
        <f ca="1">INDEX(pos_x,MATCH("Para",Event_para,0))</f>
        <v>470.44851759705392</v>
      </c>
      <c r="K27" s="159">
        <f ca="1">INDEX(vit_xz,MATCH("Para",Event_para,0))</f>
        <v>18.940070843692595</v>
      </c>
      <c r="L27" s="497"/>
      <c r="M27" s="487">
        <f ca="1">1/2*Rho_moyen*1*V_ouverture^2*S_para</f>
        <v>331.11891056453612</v>
      </c>
      <c r="N27" s="58"/>
      <c r="P27" s="384" t="str">
        <f ca="1">IF(V_para&lt;5, IF(Lang="Français","Parachute fusée trop grand !","Parachute too big!"), IF( V_para&gt;15, IF(Lang="Français","Parachute fusée trop petit !","Parachute too small!"), ""))</f>
        <v/>
      </c>
      <c r="R27" s="384" t="str">
        <f>IF(AND(Nb_sat="1 satellite", OR(V_satellite&lt;5)), IF(Lang="Français","Parachute satéllite trop grand !","Parachute too big"), IF(AND(Nb_sat="1 satellite",OR(V_satellite&gt;15)), IF(Lang="Français","Parachute satéllite trop petit !","Parachute too small!"), ""))</f>
        <v/>
      </c>
    </row>
    <row r="28" spans="1:18" x14ac:dyDescent="0.2">
      <c r="A28" s="59"/>
      <c r="B28" s="141" t="s">
        <v>10</v>
      </c>
      <c r="C28" s="143">
        <v>1</v>
      </c>
      <c r="D28" s="143">
        <v>1</v>
      </c>
      <c r="F28" s="598" t="str">
        <f>IF(Lang="Français","Impact balistique",IF(Lang="English","Balistic Impact",""))</f>
        <v>Impact balistique</v>
      </c>
      <c r="G28" s="599"/>
      <c r="H28" s="499">
        <f ca="1">INDEX(t,MATCH("Impact balistique",Event,0))</f>
        <v>49.500000000000369</v>
      </c>
      <c r="I28" s="519" t="s">
        <v>434</v>
      </c>
      <c r="J28" s="489">
        <f ca="1">INDEX(pos_x,MATCH("Impact balistique",Event,0))</f>
        <v>848.56910463170368</v>
      </c>
      <c r="K28" s="503">
        <f ca="1">K45</f>
        <v>157.73476224992277</v>
      </c>
      <c r="L28" s="500"/>
      <c r="M28" s="504">
        <f ca="1">0.5*m_vide*K28^2</f>
        <v>113677.88610949922</v>
      </c>
      <c r="N28" s="58"/>
      <c r="P28" s="384" t="str">
        <f ca="1">IF( OR( V_para&lt;5, V_para&gt;15, AND(Nb_sat="1 satellite", OR(V_satellite&lt;5, V_satellite&gt;15))), IF(Lang="Français","La Vitesse de descente sous parachute doit être comprise entre 5 &amp; 15 m/s.","Fall Velocity with parachute must be between 5 &amp; 15 m/s."), "")</f>
        <v/>
      </c>
    </row>
    <row r="29" spans="1:18" x14ac:dyDescent="0.2">
      <c r="A29" s="59"/>
      <c r="B29" s="141" t="str">
        <f>IF(Lang="Français","Vitesse du vent",IF(Lang="English","Wind speed",""))</f>
        <v>Vitesse du vent</v>
      </c>
      <c r="C29" s="144">
        <v>5</v>
      </c>
      <c r="D29" s="144">
        <f>V_vent</f>
        <v>5</v>
      </c>
      <c r="E29" s="18" t="str">
        <f>IF(AND(T_satellite=0,m_satellite&lt;&gt;0),"Erreur !","")</f>
        <v/>
      </c>
      <c r="G29" s="485"/>
      <c r="H29" s="486"/>
      <c r="I29" s="490"/>
      <c r="N29" s="58"/>
      <c r="P29" s="384" t="str">
        <f ca="1">IF(AND(Portee_balistique&gt;200,LEFT(Propu,2)="p2"),IF(Lang="Français","Fusée trop lègère !","Rocket too light"),"")</f>
        <v/>
      </c>
    </row>
    <row r="30" spans="1:18" x14ac:dyDescent="0.2">
      <c r="A30" s="59"/>
      <c r="B30" s="133" t="str">
        <f>IF(Lang="Français","Vitesse descente",IF(Lang="English","Fall velocity",""))</f>
        <v>Vitesse descente</v>
      </c>
      <c r="C30" s="424">
        <f ca="1">SQRT(2*m_vide*g/Rho_moyen/S_para/Cx_para)</f>
        <v>9.8548424916681761</v>
      </c>
      <c r="D30" s="424">
        <f>SQRT(2*m_satellite*g/Rho_moyen/S_satellite/Cx_satellite)</f>
        <v>12.655562623057198</v>
      </c>
      <c r="F30" s="384"/>
      <c r="K30" s="388"/>
      <c r="N30" s="58"/>
      <c r="P30" s="384" t="str">
        <f ca="1">IF(OR(AND(Vsortie_de_rampe&lt;20,LEFT(Type_fusee,1)="F"),AND(Vsortie_de_rampe&lt;18, OR(LEFT(Type_fusee,1)=",",LEFT(Type_fusee,4)="Mini",LEFT(Type_fusee,1)="R"))),IF(Lang="Français","Fusée trop lourde ou rampe trop courte !","Rocket too heavy or launch pad too small!"),"")</f>
        <v/>
      </c>
    </row>
    <row r="31" spans="1:18" x14ac:dyDescent="0.2">
      <c r="A31" s="59"/>
      <c r="B31" s="133" t="str">
        <f>IF(Lang="Français","Durée descente",IF(Lang="English","Fall duration",""))</f>
        <v>Durée descente</v>
      </c>
      <c r="C31" s="132">
        <f ca="1">Alt_para/V_para</f>
        <v>274.64438047653039</v>
      </c>
      <c r="D31" s="132">
        <f ca="1">IF(V_satellite&lt;&gt;0,Alt_sat/V_satellite,0)</f>
        <v>38.044558347862512</v>
      </c>
      <c r="H31" s="600" t="str">
        <f>IF(Lang="Français","Pour localiser la fusée","To locate the rocket")</f>
        <v>Pour localiser la fusée</v>
      </c>
      <c r="I31" s="600"/>
      <c r="J31" s="484"/>
      <c r="N31" s="395"/>
      <c r="P31" s="384" t="str">
        <f ca="1">IF(Temps_culmi-T_para&gt;2,IF(Lang="Français","Ouverture parachute fusée précoce.","Early rocket parachute opening."),IF(Temps_culmi-T_para&lt;-2,IF(Lang="Français","Ouverture parachute fusée tardive.","Late rocket parachute opening."),""))</f>
        <v/>
      </c>
    </row>
    <row r="32" spans="1:18" x14ac:dyDescent="0.2">
      <c r="A32" s="59"/>
      <c r="B32" s="133" t="str">
        <f>IF(Lang="Français","Durée du vol",IF(Lang="English","Fligth duration",""))</f>
        <v>Durée du vol</v>
      </c>
      <c r="C32" s="132">
        <f ca="1">T_para+Dt_para</f>
        <v>296.64438047653039</v>
      </c>
      <c r="D32" s="132">
        <f ca="1">T_satellite+Dt_satellite</f>
        <v>41.544558347862512</v>
      </c>
      <c r="F32" s="600" t="str">
        <f>IF(Lang="Français","Couleur fuselage/coiffe","Body/Nose color")</f>
        <v>Couleur fuselage/coiffe</v>
      </c>
      <c r="G32" s="600"/>
      <c r="H32" s="596" t="s">
        <v>271</v>
      </c>
      <c r="I32" s="597"/>
      <c r="N32" s="394"/>
      <c r="P32" s="384" t="str">
        <f ca="1">IF(ABS(Temps_culmi-T_para)&gt;2,IF(Lang="Français","Attention, aux efforts sur le parachute lors de l'ouverture !","Becarefull to the opening chute efforts!"),"")</f>
        <v/>
      </c>
    </row>
    <row r="33" spans="1:16" customFormat="1" x14ac:dyDescent="0.2">
      <c r="A33" s="74"/>
      <c r="B33" s="133" t="str">
        <f>IF(Lang="Français","Déport latéral",IF(Lang="English","Lateral shift",""))</f>
        <v>Déport latéral</v>
      </c>
      <c r="C33" s="151">
        <f ca="1">Alt_para*V_vent/V_para</f>
        <v>1373.2219023826522</v>
      </c>
      <c r="D33" s="151">
        <f ca="1">IF(V_satellite&lt;&gt;0,Alt_sat*V_vent_sat/V_satellite,0)</f>
        <v>190.22279173931256</v>
      </c>
      <c r="F33" s="600" t="str">
        <f>IF(Lang="Français","Couleur parachute fusée","Rocket parachute color")</f>
        <v>Couleur parachute fusée</v>
      </c>
      <c r="G33" s="600"/>
      <c r="H33" s="596" t="s">
        <v>272</v>
      </c>
      <c r="I33" s="597"/>
      <c r="N33" s="394" t="str">
        <f>IF(Lang="Français","fichier initial","Initial file")</f>
        <v>fichier initial</v>
      </c>
    </row>
    <row r="34" spans="1:16" x14ac:dyDescent="0.2">
      <c r="A34" s="59"/>
      <c r="F34" s="600" t="str">
        <f>IF(Lang="Français","Couleur parachute satellite","Satellite parachute color")</f>
        <v>Couleur parachute satellite</v>
      </c>
      <c r="G34" s="600"/>
      <c r="H34" s="604" t="s">
        <v>161</v>
      </c>
      <c r="I34" s="604"/>
      <c r="N34" s="393" t="str">
        <f>IF(ROUND(SUM(Propu!5:1218),0)=306466,"propu OK","propu NOK")</f>
        <v>propu OK</v>
      </c>
      <c r="P34"/>
    </row>
    <row r="35" spans="1:16" ht="13.5" thickBot="1" x14ac:dyDescent="0.25">
      <c r="A35" s="60"/>
      <c r="B35" s="181" t="str">
        <f>IF(Lang="Français","Commentaire libre :",IF(Lang="English","Free comment:",""))</f>
        <v>Commentaire libre :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290" t="s">
        <v>552</v>
      </c>
      <c r="P35"/>
    </row>
    <row r="38" spans="1:16" x14ac:dyDescent="0.2">
      <c r="A38" s="601" t="str">
        <f>IF(Lang="Français","Calcul de la surface d'un parachute","Parachute surface calculation")</f>
        <v>Calcul de la surface d'un parachute</v>
      </c>
      <c r="B38" s="602"/>
      <c r="C38" s="602"/>
      <c r="D38" s="603"/>
      <c r="F38" s="601" t="str">
        <f>IF(Lang="Français","Résultats détaillés","Detailled results")</f>
        <v>Résultats détaillés</v>
      </c>
      <c r="G38" s="603"/>
      <c r="H38" s="170" t="str">
        <f>IF(Lang="Français","Temps",IF(Lang="English","Time",""))</f>
        <v>Temps</v>
      </c>
      <c r="I38" s="134" t="s">
        <v>12</v>
      </c>
      <c r="J38" s="134" t="str">
        <f>IF(Lang="Français","Portée x",IF(Lang="English","Range x",""))</f>
        <v>Portée x</v>
      </c>
      <c r="K38" s="134" t="str">
        <f>IF(Lang="Français","Vitesse",IF(Lang="English","Velocity",""))</f>
        <v>Vitesse</v>
      </c>
      <c r="L38" s="135" t="s">
        <v>13</v>
      </c>
      <c r="M38" s="134" t="s">
        <v>42</v>
      </c>
    </row>
    <row r="39" spans="1:16" x14ac:dyDescent="0.2">
      <c r="A39" s="161"/>
      <c r="D39" s="162"/>
      <c r="F39" s="172"/>
      <c r="G39" s="173"/>
      <c r="H39" s="171" t="s">
        <v>156</v>
      </c>
      <c r="I39" s="136" t="s">
        <v>39</v>
      </c>
      <c r="J39" s="136" t="s">
        <v>39</v>
      </c>
      <c r="K39" s="136" t="s">
        <v>157</v>
      </c>
      <c r="L39" s="136" t="s">
        <v>7</v>
      </c>
      <c r="M39" s="136" t="s">
        <v>158</v>
      </c>
    </row>
    <row r="40" spans="1:16" x14ac:dyDescent="0.2">
      <c r="A40" s="161"/>
      <c r="D40" s="162"/>
      <c r="F40" s="625" t="str">
        <f>IF(Lang="Français","Décollage",IF(Lang="English","Lift-Off",""))</f>
        <v>Décollage</v>
      </c>
      <c r="G40" s="625"/>
      <c r="H40" s="150">
        <v>0</v>
      </c>
      <c r="I40" s="150">
        <v>0</v>
      </c>
      <c r="J40" s="150">
        <v>0</v>
      </c>
      <c r="K40" s="150">
        <v>0</v>
      </c>
      <c r="L40" s="148" t="s">
        <v>14</v>
      </c>
      <c r="M40" s="149">
        <f>Beta_rampe</f>
        <v>85</v>
      </c>
    </row>
    <row r="41" spans="1:16" x14ac:dyDescent="0.2">
      <c r="A41" s="161"/>
      <c r="D41" s="162"/>
      <c r="F41" s="612" t="str">
        <f>IF(Lang="Français","Sortie de Rampe",IF(Lang="English","Launch-Pad Exit",""))</f>
        <v>Sortie de Rampe</v>
      </c>
      <c r="G41" s="612"/>
      <c r="H41" s="115">
        <f ca="1">INDEX(t,MATCH("Sortie de rampe",Event,0))</f>
        <v>0.32000000000000012</v>
      </c>
      <c r="I41" s="115">
        <f ca="1">INDEX(pos_z,MATCH("Sortie de rampe",Event,0))</f>
        <v>3.9301450501442883</v>
      </c>
      <c r="J41" s="115">
        <f ca="1">INDEX(pos_x,MATCH("Sortie de rampe",Event,0))</f>
        <v>0.34382401900431159</v>
      </c>
      <c r="K41" s="116">
        <f ca="1">INDEX(vit_xz,MATCH("Sortie de rampe",Event,0))</f>
        <v>26.775581609448828</v>
      </c>
      <c r="L41" s="116">
        <f ca="1">INDEX(acc_xz,MATCH("Sortie de rampe",Event,0))</f>
        <v>85.919313945414174</v>
      </c>
      <c r="M41" s="116">
        <f ca="1">INDEX(BetaD,MATCH("Sortie de rampe",Event,0))</f>
        <v>85</v>
      </c>
    </row>
    <row r="42" spans="1:16" x14ac:dyDescent="0.2">
      <c r="A42" s="161"/>
      <c r="B42" s="166" t="str">
        <f>IF(Lang="Français","Longeur du bord","Side length")</f>
        <v>Longeur du bord</v>
      </c>
      <c r="D42" s="162"/>
      <c r="F42" s="612" t="str">
        <f>IF(Lang="Français","Vit max &amp; Acc max",IF(Lang="English","Max Velocity &amp; Acc",""))</f>
        <v>Vit max &amp; Acc max</v>
      </c>
      <c r="G42" s="612"/>
      <c r="H42" s="115" t="s">
        <v>14</v>
      </c>
      <c r="I42" s="115" t="s">
        <v>14</v>
      </c>
      <c r="J42" s="115" t="s">
        <v>14</v>
      </c>
      <c r="K42" s="117">
        <f ca="1">MAX(vit_xz)</f>
        <v>276.58819608412512</v>
      </c>
      <c r="L42" s="118">
        <f ca="1">MAX(acc_xz)</f>
        <v>106.83241115888697</v>
      </c>
      <c r="M42" s="116" t="s">
        <v>14</v>
      </c>
    </row>
    <row r="43" spans="1:16" x14ac:dyDescent="0.2">
      <c r="A43" s="161"/>
      <c r="B43" s="167">
        <v>549</v>
      </c>
      <c r="D43" s="162"/>
      <c r="F43" s="612" t="str">
        <f>IF(Lang="Français","Fin de Propulsion",IF(Lang="English","Motor Burn-Out",""))</f>
        <v>Fin de Propulsion</v>
      </c>
      <c r="G43" s="612"/>
      <c r="H43" s="116">
        <f ca="1">INDEX(t,MATCH("Fin de propulsion",Event,0))</f>
        <v>4.6899999999999444</v>
      </c>
      <c r="I43" s="119">
        <f ca="1">INDEX(pos_z,MATCH("Fin de propulsion",Event,0))</f>
        <v>797.96460158357081</v>
      </c>
      <c r="J43" s="119">
        <f ca="1">INDEX(pos_x,MATCH("Fin de propulsion",Event,0))</f>
        <v>89.802161404399442</v>
      </c>
      <c r="K43" s="119">
        <f ca="1">INDEX(vit_xz,MATCH("Fin de propulsion",Event,0))</f>
        <v>270.75509439928044</v>
      </c>
      <c r="L43" s="116">
        <f ca="1">INDEX(acc_xz,MATCH("Fin de propulsion",Event,0))</f>
        <v>33.813193741488249</v>
      </c>
      <c r="M43" s="116">
        <f ca="1">INDEX(BetaD,MATCH("Fin de propulsion",Event,0))</f>
        <v>83.10483460540064</v>
      </c>
    </row>
    <row r="44" spans="1:16" x14ac:dyDescent="0.2">
      <c r="A44" s="161"/>
      <c r="B44" s="166" t="str">
        <f>IF(Lang="Français","Largeur du coté","Side width")</f>
        <v>Largeur du coté</v>
      </c>
      <c r="D44" s="162"/>
      <c r="F44" s="612" t="s">
        <v>15</v>
      </c>
      <c r="G44" s="612"/>
      <c r="H44" s="118">
        <f ca="1">INDEX(t,MATCH("Apogée",Event,0))</f>
        <v>22.499999999999989</v>
      </c>
      <c r="I44" s="117">
        <f ca="1">INDEX(pos_z,MATCH("Apogée",Event,0))</f>
        <v>2708.2410082607034</v>
      </c>
      <c r="J44" s="120">
        <f ca="1">INDEX(pos_x,MATCH("Apogée",Event,0))</f>
        <v>479.4544914761434</v>
      </c>
      <c r="K44" s="120">
        <f ca="1">INDEX(vit_xz,MATCH("Apogée",Event,0))</f>
        <v>18.010813356428724</v>
      </c>
      <c r="L44" s="116">
        <f ca="1">INDEX(acc_xz,MATCH("Apogée",Event,0))</f>
        <v>9.8194436940280614</v>
      </c>
      <c r="M44" s="121">
        <f ca="1">INDEX(BetaD,MATCH("Apogée",Event,0))</f>
        <v>2.7735950857870946</v>
      </c>
    </row>
    <row r="45" spans="1:16" x14ac:dyDescent="0.2">
      <c r="A45" s="161"/>
      <c r="B45" s="168">
        <v>549</v>
      </c>
      <c r="D45" s="162"/>
      <c r="F45" s="627" t="str">
        <f>IF(Lang="Français","Impact balistique",IF(Lang="English","Balistic Impact",""))</f>
        <v>Impact balistique</v>
      </c>
      <c r="G45" s="627"/>
      <c r="H45" s="116">
        <f ca="1">INDEX(t,MATCH("Impact balistique",Event,0))</f>
        <v>49.500000000000369</v>
      </c>
      <c r="I45" s="148" t="s">
        <v>16</v>
      </c>
      <c r="J45" s="117">
        <f ca="1">INDEX(pos_x,MATCH("Impact balistique",Event,0))</f>
        <v>848.56910463170368</v>
      </c>
      <c r="K45" s="119">
        <f ca="1">INDEX(vit_xz,MATCH("Impact balistique",Event,0))</f>
        <v>157.73476224992277</v>
      </c>
      <c r="L45" s="116">
        <f ca="1">INDEX(acc_xz,MATCH("Impact balistique",Event,0))</f>
        <v>1.1030673130356934</v>
      </c>
      <c r="M45" s="116">
        <f ca="1">INDEX(BetaD,MATCH("Impact balistique",Event,0))</f>
        <v>-87.233504287423315</v>
      </c>
    </row>
    <row r="46" spans="1:16" x14ac:dyDescent="0.2">
      <c r="A46" s="161"/>
      <c r="B46" s="169" t="s">
        <v>9</v>
      </c>
      <c r="D46" s="162"/>
      <c r="F46" s="610" t="str">
        <f>IF(Lang="Français","Ouverture parachute fusée",IF(Lang="English","Rocket parachute opening",""))</f>
        <v>Ouverture parachute fusée</v>
      </c>
      <c r="G46" s="610"/>
      <c r="H46" s="122">
        <f>T_para</f>
        <v>22</v>
      </c>
      <c r="I46" s="123">
        <f ca="1">INDEX(pos_z,MATCH("Para",Event_para,0))</f>
        <v>2706.5771108179933</v>
      </c>
      <c r="J46" s="123">
        <f ca="1">INDEX(pos_x,MATCH("Para",Event_para,0))</f>
        <v>470.44851759705392</v>
      </c>
      <c r="K46" s="123">
        <f ca="1">INDEX(vit_xz,MATCH("Para",Event_para,0))</f>
        <v>18.940070843692595</v>
      </c>
      <c r="L46" s="122">
        <f ca="1">INDEX(acc_xz,MATCH("Para",Event_para,0))</f>
        <v>9.8456702164438674</v>
      </c>
      <c r="M46" s="124">
        <f ca="1">INDEX(BetaD,MATCH("Para",Event_para,0))</f>
        <v>17.787980660687072</v>
      </c>
    </row>
    <row r="47" spans="1:16" x14ac:dyDescent="0.2">
      <c r="A47" s="161"/>
      <c r="B47" s="174">
        <f>(4*B43*B45+B43^2)/10^6</f>
        <v>1.5070049999999999</v>
      </c>
      <c r="D47" s="162"/>
      <c r="F47" s="628" t="str">
        <f>IF(Lang="Français","Impact fusée sous para.",IF(Lang="English","Impact of rocket with para. ",""))</f>
        <v>Impact fusée sous para.</v>
      </c>
      <c r="G47" s="628"/>
      <c r="H47" s="125">
        <f ca="1">T_para+Dt_para</f>
        <v>296.64438047653039</v>
      </c>
      <c r="I47" s="127" t="s">
        <v>16</v>
      </c>
      <c r="J47" s="126" t="str">
        <f ca="1">CONCATENATE(TEXT(X_para-Dx_para,"0")," | ",TEXT(X_para+Dx_para,"0"))</f>
        <v>-903 | 1844</v>
      </c>
      <c r="K47" s="126">
        <f ca="1">V_para</f>
        <v>9.8548424916681761</v>
      </c>
      <c r="L47" s="128">
        <f>g</f>
        <v>9.81</v>
      </c>
      <c r="M47" s="128" t="s">
        <v>14</v>
      </c>
    </row>
    <row r="48" spans="1:16" x14ac:dyDescent="0.2">
      <c r="A48" s="161"/>
      <c r="D48" s="162"/>
      <c r="F48" s="626" t="str">
        <f>IF(Lang="Français","Largage du satellite",IF(Lang="English","Satellite separation",""))</f>
        <v>Largage du satellite</v>
      </c>
      <c r="G48" s="614"/>
      <c r="H48" s="122">
        <f>IF(T_satellite&lt;&gt;0,T_satellite,"")</f>
        <v>3.5</v>
      </c>
      <c r="I48" s="123">
        <f ca="1">IF(T_satellite&lt;&gt;0,INDEX(pos_z,MATCH("Satellite",Event_sat,0)),"")</f>
        <v>481.47529063792751</v>
      </c>
      <c r="J48" s="129">
        <f ca="1">IF(T_satellite&lt;&gt;0,INDEX(pos_x,MATCH("Satellite",Event_sat,0)),"")</f>
        <v>52.331828540393076</v>
      </c>
      <c r="K48" s="123">
        <f ca="1">IF(T_satellite&lt;&gt;0,INDEX(vit_xz,MATCH("Satellite",Event_sat,0)),"")</f>
        <v>249.53003686750165</v>
      </c>
      <c r="L48" s="122">
        <f ca="1">IF(T_satellite&lt;&gt;0,INDEX(acc_xz,MATCH("Satellite",Event_sat,0)),"")</f>
        <v>41.610424364858815</v>
      </c>
      <c r="M48" s="124">
        <f ca="1">IF(T_satellite&lt;&gt;0,INDEX(BetaD,MATCH("Satellite",Event_sat,0)),"")</f>
        <v>83.39839573330157</v>
      </c>
    </row>
    <row r="49" spans="1:13" x14ac:dyDescent="0.2">
      <c r="A49" s="161"/>
      <c r="D49" s="162"/>
      <c r="F49" s="623" t="str">
        <f>IF(Lang="Français","Impact du satellite",IF(Lang="English","Satellite impact",""))</f>
        <v>Impact du satellite</v>
      </c>
      <c r="G49" s="624"/>
      <c r="H49" s="125">
        <f ca="1">IF(T_satellite&lt;&gt;0,T_satellite+Dt_satellite,"")</f>
        <v>41.544558347862512</v>
      </c>
      <c r="I49" s="130" t="str">
        <f>IF(T_satellite&lt;&gt;0,"~0","")</f>
        <v>~0</v>
      </c>
      <c r="J49" s="130" t="str">
        <f ca="1">IF(T_satellite&lt;&gt;0,CONCATENATE(TEXT(X_satellite-Dx_sat,"0")," | ",TEXT(X_satellite+Dx_sat,"0")),"")</f>
        <v>-138 | 243</v>
      </c>
      <c r="K49" s="130">
        <f>IF(T_satellite&lt;&gt;0,V_satellite,"")</f>
        <v>12.655562623057198</v>
      </c>
      <c r="L49" s="128">
        <f>IF(T_satellite&lt;&gt;0,g,"")</f>
        <v>9.81</v>
      </c>
      <c r="M49" s="131" t="str">
        <f>IF(T_satellite&lt;&gt;0,"-","")</f>
        <v>-</v>
      </c>
    </row>
    <row r="50" spans="1:13" x14ac:dyDescent="0.2">
      <c r="A50" s="161"/>
      <c r="B50" s="166" t="str">
        <f>IF(Lang="Français","Rayon exterieur","Half-diameter ext")</f>
        <v>Rayon exterieur</v>
      </c>
      <c r="D50" s="162"/>
    </row>
    <row r="51" spans="1:13" x14ac:dyDescent="0.2">
      <c r="A51" s="161"/>
      <c r="B51" s="168">
        <v>299</v>
      </c>
      <c r="D51" s="162"/>
    </row>
    <row r="52" spans="1:13" x14ac:dyDescent="0.2">
      <c r="A52" s="161"/>
      <c r="B52" s="166" t="str">
        <f>IF(Lang="Français","Rayon intérieur","Half-diameter int")</f>
        <v>Rayon intérieur</v>
      </c>
      <c r="D52" s="162"/>
    </row>
    <row r="53" spans="1:13" x14ac:dyDescent="0.2">
      <c r="A53" s="161"/>
      <c r="B53" s="168">
        <v>29</v>
      </c>
      <c r="D53" s="162"/>
    </row>
    <row r="54" spans="1:13" x14ac:dyDescent="0.2">
      <c r="A54" s="161"/>
      <c r="B54" s="169" t="s">
        <v>9</v>
      </c>
      <c r="D54" s="162"/>
    </row>
    <row r="55" spans="1:13" x14ac:dyDescent="0.2">
      <c r="A55" s="161"/>
      <c r="B55" s="174">
        <f>PI()*(B51^2-B53^2)/10^6</f>
        <v>0.27821944540191207</v>
      </c>
      <c r="D55" s="162"/>
    </row>
    <row r="56" spans="1:13" x14ac:dyDescent="0.2">
      <c r="A56" s="163"/>
      <c r="B56" s="164"/>
      <c r="C56" s="164"/>
      <c r="D56" s="165"/>
    </row>
    <row r="93" spans="2:2" x14ac:dyDescent="0.2">
      <c r="B93" s="24" t="str">
        <f>IF(Lang="Français","Vitesse de descente sous parachute :",IF(Lang="English","Fall velocity over parachute:",""))</f>
        <v>Vitesse de descente sous parachute :</v>
      </c>
    </row>
    <row r="102" spans="2:7" x14ac:dyDescent="0.2">
      <c r="B102" s="24" t="str">
        <f>IF(Lang="Français","Textes pour les listes déroulantes et graphiques :","Texts for drop-down lists &amp; graphics :")</f>
        <v>Textes pour les listes déroulantes et graphiques :</v>
      </c>
      <c r="F102" s="221" t="s">
        <v>413</v>
      </c>
      <c r="G102" s="1" t="s">
        <v>420</v>
      </c>
    </row>
    <row r="103" spans="2:7" x14ac:dyDescent="0.2">
      <c r="F103" s="478">
        <f ca="1">Combustion+Depotage-9</f>
        <v>-9</v>
      </c>
      <c r="G103" s="479" t="s">
        <v>415</v>
      </c>
    </row>
    <row r="104" spans="2:7" x14ac:dyDescent="0.2">
      <c r="B104" s="1" t="s">
        <v>123</v>
      </c>
      <c r="F104" s="478">
        <f ca="1">Combustion+Depotage-7</f>
        <v>-7</v>
      </c>
      <c r="G104" s="479" t="s">
        <v>416</v>
      </c>
    </row>
    <row r="105" spans="2:7" x14ac:dyDescent="0.2">
      <c r="B105" s="1" t="s">
        <v>124</v>
      </c>
      <c r="F105" s="478">
        <f ca="1">Combustion+Depotage-5</f>
        <v>-5</v>
      </c>
      <c r="G105" s="479" t="s">
        <v>417</v>
      </c>
    </row>
    <row r="106" spans="2:7" x14ac:dyDescent="0.2">
      <c r="B106" s="1" t="str">
        <f>IF(T_para&gt;0,IF(Lang="Français","Phase ascendante","Climbing phase"),"")</f>
        <v>Phase ascendante</v>
      </c>
      <c r="F106" s="478">
        <f ca="1">Combustion+Depotage-3</f>
        <v>-3</v>
      </c>
      <c r="G106" s="479" t="s">
        <v>418</v>
      </c>
    </row>
    <row r="107" spans="2:7" x14ac:dyDescent="0.2">
      <c r="B107" s="1" t="str">
        <f>IF(Lang="Français","Descente balistique","Balistic fall")</f>
        <v>Descente balistique</v>
      </c>
      <c r="F107" s="478">
        <f ca="1">Combustion+Depotage</f>
        <v>0</v>
      </c>
      <c r="G107" s="479" t="s">
        <v>419</v>
      </c>
    </row>
    <row r="108" spans="2:7" x14ac:dyDescent="0.2">
      <c r="B108" s="1" t="str">
        <f>IF(T_para&gt;0,IF(Lang="Français","Fusée sous parachute","Rocket under parachute"),"")</f>
        <v>Fusée sous parachute</v>
      </c>
      <c r="F108" s="480" t="str">
        <f>IF(Lang="Français","autre",IF(Lang="English","other",""))</f>
        <v>autre</v>
      </c>
    </row>
    <row r="109" spans="2:7" x14ac:dyDescent="0.2">
      <c r="B109" s="1" t="str">
        <f>IF(AND(Nb_sat="1 satellite",T_satellite&gt;0),IF(Lang="Français","Satellite sous parachute","Satellite over parachute"),"")</f>
        <v/>
      </c>
    </row>
    <row r="110" spans="2:7" x14ac:dyDescent="0.2">
      <c r="B110" s="1" t="str">
        <f>IF(Lang="Français","Trajectoire (x z)","Trajectory (x z)")</f>
        <v>Trajectoire (x z)</v>
      </c>
    </row>
    <row r="111" spans="2:7" x14ac:dyDescent="0.2">
      <c r="B111" s="1" t="str">
        <f>IF(Lang="Français","Portée x [m]","Range x [m]")</f>
        <v>Portée x [m]</v>
      </c>
    </row>
    <row r="112" spans="2:7" x14ac:dyDescent="0.2">
      <c r="B112" s="1" t="str">
        <f>IF(Lang="Français","Temps [s]","Time [s]")</f>
        <v>Temps [s]</v>
      </c>
    </row>
    <row r="113" spans="2:3" x14ac:dyDescent="0.2">
      <c r="B113" s="1" t="str">
        <f>IF(Lang="Français","Altitude z  /  Temps","Altitude z  /  Time")</f>
        <v>Altitude z  /  Temps</v>
      </c>
      <c r="C113" s="1">
        <f>IF(OR(C25=F102,C25=F108),C26,C25)</f>
        <v>22</v>
      </c>
    </row>
    <row r="115" spans="2:3" x14ac:dyDescent="0.2">
      <c r="B115" s="1" t="s">
        <v>414</v>
      </c>
    </row>
    <row r="117" spans="2:3" x14ac:dyDescent="0.2">
      <c r="B117" s="24" t="str">
        <f>IF(Lang="Français","Données pour les graphiques :","Data for plots:")</f>
        <v>Données pour les graphiques :</v>
      </c>
      <c r="C117" s="211" t="s">
        <v>50</v>
      </c>
    </row>
    <row r="118" spans="2:3" x14ac:dyDescent="0.2">
      <c r="C118" s="216">
        <f ca="1">MAX(Altitude_culmi,Portee_balistique)</f>
        <v>2708.2410082607034</v>
      </c>
    </row>
    <row r="119" spans="2:3" x14ac:dyDescent="0.2">
      <c r="B119" s="210" t="s">
        <v>50</v>
      </c>
    </row>
    <row r="120" spans="2:3" x14ac:dyDescent="0.2">
      <c r="B120" s="218">
        <f ca="1">MAX(Altitude_culmi,Portee_balistique)</f>
        <v>2708.2410082607034</v>
      </c>
      <c r="C120" s="211" t="s">
        <v>48</v>
      </c>
    </row>
    <row r="121" spans="2:3" x14ac:dyDescent="0.2">
      <c r="C121" s="214">
        <f ca="1">Alt_para</f>
        <v>2706.5771108179933</v>
      </c>
    </row>
    <row r="122" spans="2:3" x14ac:dyDescent="0.2">
      <c r="B122" s="210" t="s">
        <v>52</v>
      </c>
      <c r="C122" s="214">
        <f ca="1">Alt_para/2</f>
        <v>1353.2885554089967</v>
      </c>
    </row>
    <row r="123" spans="2:3" x14ac:dyDescent="0.2">
      <c r="B123" s="217">
        <f ca="1">X_para</f>
        <v>470.44851759705392</v>
      </c>
      <c r="C123" s="214">
        <v>0</v>
      </c>
    </row>
    <row r="124" spans="2:3" x14ac:dyDescent="0.2">
      <c r="B124" s="217">
        <f ca="1">X_para</f>
        <v>470.44851759705392</v>
      </c>
      <c r="C124" s="214">
        <f ca="1">Alt_para/20</f>
        <v>135.32885554089967</v>
      </c>
    </row>
    <row r="125" spans="2:3" x14ac:dyDescent="0.2">
      <c r="B125" s="217">
        <f ca="1">X_para</f>
        <v>470.44851759705392</v>
      </c>
      <c r="C125" s="214">
        <v>0</v>
      </c>
    </row>
    <row r="126" spans="2:3" x14ac:dyDescent="0.2">
      <c r="B126" s="217">
        <f ca="1">X_para+Alt_para/40</f>
        <v>538.1129453675037</v>
      </c>
      <c r="C126" s="214">
        <f ca="1">Alt_para/20</f>
        <v>135.32885554089967</v>
      </c>
    </row>
    <row r="127" spans="2:3" x14ac:dyDescent="0.2">
      <c r="B127" s="217">
        <f ca="1">X_para</f>
        <v>470.44851759705392</v>
      </c>
      <c r="C127" s="219">
        <v>0</v>
      </c>
    </row>
    <row r="128" spans="2:3" x14ac:dyDescent="0.2">
      <c r="B128" s="217">
        <f ca="1">X_para-Alt_para/40</f>
        <v>402.78408982660409</v>
      </c>
      <c r="C128" s="211" t="s">
        <v>48</v>
      </c>
    </row>
    <row r="129" spans="2:6" x14ac:dyDescent="0.2">
      <c r="B129" s="218">
        <f ca="1">X_para</f>
        <v>470.44851759705392</v>
      </c>
      <c r="C129" s="214">
        <f ca="1">Alt_para</f>
        <v>2706.5771108179933</v>
      </c>
      <c r="E129" s="232">
        <v>1</v>
      </c>
      <c r="F129" s="233" t="s">
        <v>180</v>
      </c>
    </row>
    <row r="130" spans="2:6" x14ac:dyDescent="0.2">
      <c r="B130" s="210" t="s">
        <v>51</v>
      </c>
      <c r="C130" s="214">
        <f ca="1">(C129+C131)/2</f>
        <v>1353.2885554089967</v>
      </c>
      <c r="E130" s="161">
        <v>1</v>
      </c>
      <c r="F130" s="234" t="s">
        <v>181</v>
      </c>
    </row>
    <row r="131" spans="2:6" x14ac:dyDescent="0.2">
      <c r="B131" s="213">
        <f>T_para</f>
        <v>22</v>
      </c>
      <c r="C131" s="214">
        <f>0</f>
        <v>0</v>
      </c>
      <c r="E131" s="161"/>
      <c r="F131" s="241" t="s">
        <v>182</v>
      </c>
    </row>
    <row r="132" spans="2:6" x14ac:dyDescent="0.2">
      <c r="B132" s="213">
        <f ca="1">(B131+B133)/2</f>
        <v>159.32219023826519</v>
      </c>
      <c r="C132" s="214">
        <f ca="1">Alt_para-V_para*(H47-T_para)+E129*sS*Altitude_culmi/H47*zZ_fus+E130*sS/2*Altitude_culmi/H47*tT_fus</f>
        <v>66.111427367540315</v>
      </c>
      <c r="E132" s="235" t="s">
        <v>177</v>
      </c>
      <c r="F132" s="236">
        <f ca="1">T_balistique/10</f>
        <v>4.9500000000000366</v>
      </c>
    </row>
    <row r="133" spans="2:6" x14ac:dyDescent="0.2">
      <c r="B133" s="213">
        <f ca="1">H47</f>
        <v>296.64438047653039</v>
      </c>
      <c r="C133" s="214">
        <f ca="1">Alt_para-V_para*(H47-T_para)</f>
        <v>0</v>
      </c>
      <c r="E133" s="235" t="s">
        <v>178</v>
      </c>
      <c r="F133" s="236">
        <f ca="1">(H47-T_para)/H47</f>
        <v>0.9258371253665445</v>
      </c>
    </row>
    <row r="134" spans="2:6" x14ac:dyDescent="0.2">
      <c r="B134" s="213">
        <f ca="1">H47+E129*sS/2*zZ_fus-E130*sS*tT_fus</f>
        <v>294.53648670596596</v>
      </c>
      <c r="C134" s="214">
        <f ca="1">Alt_para-V_para*(H47-T_para)+E129*sS*Altitude_culmi/H47*zZ_fus-E130*sS/2*Altitude_culmi/H47*tT_fus</f>
        <v>24.27149490023011</v>
      </c>
      <c r="E134" s="237" t="s">
        <v>179</v>
      </c>
      <c r="F134" s="238">
        <f ca="1">V_para*(H47-T_para)/Alt_para</f>
        <v>1</v>
      </c>
    </row>
    <row r="135" spans="2:6" x14ac:dyDescent="0.2">
      <c r="B135" s="213">
        <f ca="1">H47</f>
        <v>296.64438047653039</v>
      </c>
      <c r="C135" s="216">
        <f ca="1">Alt_para-V_para*(H47-T_para)</f>
        <v>0</v>
      </c>
    </row>
    <row r="136" spans="2:6" x14ac:dyDescent="0.2">
      <c r="B136" s="213">
        <f ca="1">H47-E129*sS/2*zZ_fus-E130*sS*tT_fus</f>
        <v>289.58648670596591</v>
      </c>
    </row>
    <row r="137" spans="2:6" x14ac:dyDescent="0.2">
      <c r="B137" s="215">
        <f ca="1">H47</f>
        <v>296.64438047653039</v>
      </c>
      <c r="C137" s="211" t="s">
        <v>49</v>
      </c>
    </row>
    <row r="138" spans="2:6" x14ac:dyDescent="0.2">
      <c r="C138" s="214" t="b">
        <f>IF(Nb_sat="1 satellite",Alt_sat)</f>
        <v>0</v>
      </c>
    </row>
    <row r="139" spans="2:6" x14ac:dyDescent="0.2">
      <c r="B139" s="210" t="s">
        <v>54</v>
      </c>
      <c r="C139" s="214" t="b">
        <f>IF(Nb_sat="1 satellite",Alt_sat*1/4)</f>
        <v>0</v>
      </c>
    </row>
    <row r="140" spans="2:6" x14ac:dyDescent="0.2">
      <c r="B140" s="217" t="b">
        <f>IF(Nb_sat="1 satellite",X_satellite)</f>
        <v>0</v>
      </c>
      <c r="C140" s="214" t="b">
        <f>IF(Nb_sat="1 satellite",0)</f>
        <v>0</v>
      </c>
    </row>
    <row r="141" spans="2:6" x14ac:dyDescent="0.2">
      <c r="B141" s="217" t="b">
        <f>IF(Nb_sat="1 satellite",X_satellite)</f>
        <v>0</v>
      </c>
      <c r="C141" s="214" t="b">
        <f>IF(Nb_sat="1 satellite",Alt_sat/20)</f>
        <v>0</v>
      </c>
    </row>
    <row r="142" spans="2:6" x14ac:dyDescent="0.2">
      <c r="B142" s="217" t="b">
        <f>IF(Nb_sat="1 satellite",X_satellite)</f>
        <v>0</v>
      </c>
      <c r="C142" s="214" t="b">
        <f>IF(Nb_sat="1 satellite",0)</f>
        <v>0</v>
      </c>
    </row>
    <row r="143" spans="2:6" x14ac:dyDescent="0.2">
      <c r="B143" s="217" t="b">
        <f>IF(Nb_sat="1 satellite",X_satellite+Alt_sat/40)</f>
        <v>0</v>
      </c>
      <c r="C143" s="214" t="b">
        <f>IF(Nb_sat="1 satellite",Alt_sat/20)</f>
        <v>0</v>
      </c>
    </row>
    <row r="144" spans="2:6" x14ac:dyDescent="0.2">
      <c r="B144" s="217" t="b">
        <f>IF(Nb_sat="1 satellite",X_satellite)</f>
        <v>0</v>
      </c>
      <c r="C144" s="214" t="b">
        <f>IF(Nb_sat="1 satellite",0)</f>
        <v>0</v>
      </c>
    </row>
    <row r="145" spans="2:6" x14ac:dyDescent="0.2">
      <c r="B145" s="217" t="b">
        <f>IF(Nb_sat="1 satellite",X_satellite-Alt_sat/40)</f>
        <v>0</v>
      </c>
      <c r="C145" s="211" t="s">
        <v>49</v>
      </c>
    </row>
    <row r="146" spans="2:6" x14ac:dyDescent="0.2">
      <c r="B146" s="218" t="b">
        <f>IF(Nb_sat="1 satellite",X_satellite)</f>
        <v>0</v>
      </c>
      <c r="C146" s="214" t="b">
        <f>IF(Nb_sat="1 satellite",Alt_sat)</f>
        <v>0</v>
      </c>
      <c r="D146" s="221"/>
    </row>
    <row r="147" spans="2:6" x14ac:dyDescent="0.2">
      <c r="B147" s="210" t="s">
        <v>53</v>
      </c>
      <c r="C147" s="214">
        <f>(C146+C148)/2</f>
        <v>0</v>
      </c>
      <c r="D147" s="221"/>
    </row>
    <row r="148" spans="2:6" x14ac:dyDescent="0.2">
      <c r="B148" s="213" t="b">
        <f>IF(Nb_sat="1 satellite",T_satellite)</f>
        <v>0</v>
      </c>
      <c r="C148" s="214" t="b">
        <f>IF(Nb_sat="1 satellite",0)</f>
        <v>0</v>
      </c>
    </row>
    <row r="149" spans="2:6" x14ac:dyDescent="0.2">
      <c r="B149" s="213">
        <f>(B148+B150)/2</f>
        <v>0</v>
      </c>
      <c r="C149" s="214" t="b">
        <f>IF(Nb_sat="1 satellite",Alt_sat-V_satellite*(H49-T_satellite)+E129*sS*Altitude_culmi/H49*zZ_sat+E130*sS/2*Altitude_culmi/H49*tT_sat)</f>
        <v>0</v>
      </c>
      <c r="D149" s="221"/>
    </row>
    <row r="150" spans="2:6" x14ac:dyDescent="0.2">
      <c r="B150" s="213" t="b">
        <f>IF(Nb_sat="1 satellite",H49)</f>
        <v>0</v>
      </c>
      <c r="C150" s="214" t="b">
        <f>IF(Nb_sat="1 satellite",0)</f>
        <v>0</v>
      </c>
      <c r="E150" s="239" t="s">
        <v>178</v>
      </c>
      <c r="F150" s="240">
        <f ca="1">(T_balistique-T_satellite)/T_balistique</f>
        <v>0.92929292929292984</v>
      </c>
    </row>
    <row r="151" spans="2:6" x14ac:dyDescent="0.2">
      <c r="B151" s="213" t="b">
        <f>IF(Nb_sat="1 satellite",H49+E129*sS/2*zZ_sat-E130*sS*tT_sat)</f>
        <v>0</v>
      </c>
      <c r="C151" s="214" t="b">
        <f>IF(Nb_sat="1 satellite",Alt_sat-V_satellite*(H49-T_satellite)+E129*sS*Altitude_culmi/H49*zZ_sat-E130*sS/2*Altitude_culmi/H49*tT_sat)</f>
        <v>0</v>
      </c>
      <c r="E151" s="237" t="s">
        <v>179</v>
      </c>
      <c r="F151" s="238">
        <f ca="1">V_satellite*(T_balistique-T_satellite)/Alt_sat</f>
        <v>1.2091085295141777</v>
      </c>
    </row>
    <row r="152" spans="2:6" x14ac:dyDescent="0.2">
      <c r="B152" s="213" t="b">
        <f>IF(Nb_sat="1 satellite",H49)</f>
        <v>0</v>
      </c>
      <c r="C152" s="216" t="b">
        <f>IF(Nb_sat="1 satellite",0)</f>
        <v>0</v>
      </c>
    </row>
    <row r="153" spans="2:6" x14ac:dyDescent="0.2">
      <c r="B153" s="213" t="b">
        <f>IF(Nb_sat="1 satellite",H49-sS/2*zZ_sat-E130*sS*tT_sat)</f>
        <v>0</v>
      </c>
    </row>
    <row r="154" spans="2:6" x14ac:dyDescent="0.2">
      <c r="B154" s="215" t="b">
        <f>IF(Nb_sat="1 satellite",H49)</f>
        <v>0</v>
      </c>
      <c r="C154" s="228" t="s">
        <v>29</v>
      </c>
      <c r="D154" s="211" t="s">
        <v>3</v>
      </c>
    </row>
    <row r="155" spans="2:6" x14ac:dyDescent="0.2">
      <c r="C155" s="82">
        <f ca="1">Alt_para/2</f>
        <v>1353.2885554089967</v>
      </c>
      <c r="D155" s="214">
        <f ca="1">X_para/4</f>
        <v>117.61212939926348</v>
      </c>
    </row>
    <row r="156" spans="2:6" x14ac:dyDescent="0.2">
      <c r="B156" s="210" t="s">
        <v>2</v>
      </c>
      <c r="C156" s="230">
        <f ca="1">Altitude_culmi/2</f>
        <v>1354.1205041303517</v>
      </c>
      <c r="D156" s="216">
        <f ca="1">X_culmi+(Portee_balistique-X_culmi)*2/3</f>
        <v>725.53090024651692</v>
      </c>
    </row>
    <row r="157" spans="2:6" x14ac:dyDescent="0.2">
      <c r="B157" s="231">
        <f>T_para/4</f>
        <v>5.5</v>
      </c>
    </row>
    <row r="158" spans="2:6" x14ac:dyDescent="0.2">
      <c r="B158" s="229">
        <f ca="1">Temps_culmi + (T_balistique-Temps_culmi)/2</f>
        <v>36.000000000000178</v>
      </c>
      <c r="C158" s="228" t="s">
        <v>308</v>
      </c>
      <c r="D158" s="422" t="s">
        <v>310</v>
      </c>
      <c r="E158" s="422"/>
      <c r="F158" s="423" t="s">
        <v>310</v>
      </c>
    </row>
    <row r="159" spans="2:6" x14ac:dyDescent="0.2">
      <c r="C159" s="5">
        <v>0</v>
      </c>
      <c r="D159" s="82">
        <f t="shared" ref="D159:D174" ca="1" si="0">X_culmi+C159</f>
        <v>479.4544914761434</v>
      </c>
      <c r="E159" s="82"/>
      <c r="F159" s="214">
        <f t="shared" ref="F159:F174" ca="1" si="1">X_culmi-C159</f>
        <v>479.4544914761434</v>
      </c>
    </row>
    <row r="160" spans="2:6" x14ac:dyDescent="0.2">
      <c r="B160" s="210" t="s">
        <v>309</v>
      </c>
      <c r="C160" s="5">
        <v>23</v>
      </c>
      <c r="D160" s="82">
        <f t="shared" ca="1" si="0"/>
        <v>502.4544914761434</v>
      </c>
      <c r="E160" s="82"/>
      <c r="F160" s="214">
        <f t="shared" ca="1" si="1"/>
        <v>456.4544914761434</v>
      </c>
    </row>
    <row r="161" spans="2:6" x14ac:dyDescent="0.2">
      <c r="B161" s="231" t="e">
        <f ca="1">IF(AND(Altitude_culmi&gt;80, Altitude_culmi&lt;=350), 49, NA())</f>
        <v>#N/A</v>
      </c>
      <c r="C161" s="5">
        <v>23</v>
      </c>
      <c r="D161" s="82">
        <f t="shared" ca="1" si="0"/>
        <v>502.4544914761434</v>
      </c>
      <c r="E161" s="82"/>
      <c r="F161" s="214">
        <f t="shared" ca="1" si="1"/>
        <v>456.4544914761434</v>
      </c>
    </row>
    <row r="162" spans="2:6" x14ac:dyDescent="0.2">
      <c r="B162" s="231" t="e">
        <f ca="1">IF(AND(Altitude_culmi&gt;80, Altitude_culmi&lt;=350), 49, NA())</f>
        <v>#N/A</v>
      </c>
      <c r="C162" s="5">
        <v>0</v>
      </c>
      <c r="D162" s="82">
        <f t="shared" ca="1" si="0"/>
        <v>479.4544914761434</v>
      </c>
      <c r="E162" s="82"/>
      <c r="F162" s="214">
        <f t="shared" ca="1" si="1"/>
        <v>479.4544914761434</v>
      </c>
    </row>
    <row r="163" spans="2:6" x14ac:dyDescent="0.2">
      <c r="B163" s="231" t="e">
        <f ca="1">IF(AND(Altitude_culmi&gt;80, Altitude_culmi&lt;=350), 43, NA())</f>
        <v>#N/A</v>
      </c>
      <c r="C163" s="5">
        <v>23</v>
      </c>
      <c r="D163" s="82">
        <f t="shared" ca="1" si="0"/>
        <v>502.4544914761434</v>
      </c>
      <c r="E163" s="82"/>
      <c r="F163" s="214">
        <f t="shared" ca="1" si="1"/>
        <v>456.4544914761434</v>
      </c>
    </row>
    <row r="164" spans="2:6" x14ac:dyDescent="0.2">
      <c r="B164" s="231" t="e">
        <f ca="1">IF(AND(Altitude_culmi&gt;80, Altitude_culmi&lt;=350), 43, NA())</f>
        <v>#N/A</v>
      </c>
      <c r="C164" s="5">
        <v>23</v>
      </c>
      <c r="D164" s="82">
        <f t="shared" ca="1" si="0"/>
        <v>502.4544914761434</v>
      </c>
      <c r="E164" s="82"/>
      <c r="F164" s="214">
        <f t="shared" ca="1" si="1"/>
        <v>456.4544914761434</v>
      </c>
    </row>
    <row r="165" spans="2:6" x14ac:dyDescent="0.2">
      <c r="B165" s="231" t="e">
        <f ca="1">IF(AND(Altitude_culmi&gt;80, Altitude_culmi&lt;=350), 43, NA())</f>
        <v>#N/A</v>
      </c>
      <c r="C165" s="5">
        <v>8</v>
      </c>
      <c r="D165" s="82">
        <f t="shared" ca="1" si="0"/>
        <v>487.4544914761434</v>
      </c>
      <c r="E165" s="82"/>
      <c r="F165" s="214">
        <f t="shared" ca="1" si="1"/>
        <v>471.4544914761434</v>
      </c>
    </row>
    <row r="166" spans="2:6" x14ac:dyDescent="0.2">
      <c r="B166" s="231" t="e">
        <f ca="1">IF(AND(Altitude_culmi&gt;80, Altitude_culmi&lt;=350), 0.5, NA())</f>
        <v>#N/A</v>
      </c>
      <c r="C166" s="5">
        <v>8</v>
      </c>
      <c r="D166" s="82">
        <f t="shared" ca="1" si="0"/>
        <v>487.4544914761434</v>
      </c>
      <c r="E166" s="82"/>
      <c r="F166" s="214">
        <f t="shared" ca="1" si="1"/>
        <v>471.4544914761434</v>
      </c>
    </row>
    <row r="167" spans="2:6" x14ac:dyDescent="0.2">
      <c r="B167" s="231" t="e">
        <f ca="1">IF(AND(Altitude_culmi&gt;80, Altitude_culmi&lt;=350), 0.5, NA())</f>
        <v>#N/A</v>
      </c>
      <c r="C167" s="5">
        <v>23</v>
      </c>
      <c r="D167" s="82">
        <f t="shared" ca="1" si="0"/>
        <v>502.4544914761434</v>
      </c>
      <c r="E167" s="82"/>
      <c r="F167" s="214">
        <f t="shared" ca="1" si="1"/>
        <v>456.4544914761434</v>
      </c>
    </row>
    <row r="168" spans="2:6" x14ac:dyDescent="0.2">
      <c r="B168" s="231" t="e">
        <f ca="1">IF(AND(Altitude_culmi&gt;80, Altitude_culmi&lt;=350), 27, NA())</f>
        <v>#N/A</v>
      </c>
      <c r="C168" s="5">
        <v>8</v>
      </c>
      <c r="D168" s="82">
        <f t="shared" ca="1" si="0"/>
        <v>487.4544914761434</v>
      </c>
      <c r="E168" s="82"/>
      <c r="F168" s="214">
        <f t="shared" ca="1" si="1"/>
        <v>471.4544914761434</v>
      </c>
    </row>
    <row r="169" spans="2:6" x14ac:dyDescent="0.2">
      <c r="B169" s="231" t="e">
        <f ca="1">IF(AND(Altitude_culmi&gt;80, Altitude_culmi&lt;=350), 27, NA())</f>
        <v>#N/A</v>
      </c>
      <c r="C169" s="5">
        <v>7.6</v>
      </c>
      <c r="D169" s="82">
        <f t="shared" ca="1" si="0"/>
        <v>487.05449147614343</v>
      </c>
      <c r="E169" s="82"/>
      <c r="F169" s="214">
        <f t="shared" ca="1" si="1"/>
        <v>471.85449147614338</v>
      </c>
    </row>
    <row r="170" spans="2:6" x14ac:dyDescent="0.2">
      <c r="B170" s="231" t="e">
        <f ca="1">IF(AND(Altitude_culmi&gt;80, Altitude_culmi&lt;=350), 27, NA())</f>
        <v>#N/A</v>
      </c>
      <c r="C170" s="5">
        <v>6.8</v>
      </c>
      <c r="D170" s="82">
        <f t="shared" ca="1" si="0"/>
        <v>486.25449147614341</v>
      </c>
      <c r="E170" s="82"/>
      <c r="F170" s="214">
        <f t="shared" ca="1" si="1"/>
        <v>472.65449147614339</v>
      </c>
    </row>
    <row r="171" spans="2:6" x14ac:dyDescent="0.2">
      <c r="B171" s="231" t="e">
        <f ca="1">IF(AND(Altitude_culmi&gt;80, Altitude_culmi&lt;=350), 29, NA())</f>
        <v>#N/A</v>
      </c>
      <c r="C171" s="5">
        <v>6</v>
      </c>
      <c r="D171" s="82">
        <f t="shared" ca="1" si="0"/>
        <v>485.4544914761434</v>
      </c>
      <c r="E171" s="82"/>
      <c r="F171" s="214">
        <f t="shared" ca="1" si="1"/>
        <v>473.4544914761434</v>
      </c>
    </row>
    <row r="172" spans="2:6" x14ac:dyDescent="0.2">
      <c r="B172" s="231" t="e">
        <f ca="1">IF(AND(Altitude_culmi&gt;80, Altitude_culmi&lt;=350), 31, NA())</f>
        <v>#N/A</v>
      </c>
      <c r="C172" s="5">
        <v>5</v>
      </c>
      <c r="D172" s="82">
        <f t="shared" ca="1" si="0"/>
        <v>484.4544914761434</v>
      </c>
      <c r="E172" s="82"/>
      <c r="F172" s="214">
        <f t="shared" ca="1" si="1"/>
        <v>474.4544914761434</v>
      </c>
    </row>
    <row r="173" spans="2:6" x14ac:dyDescent="0.2">
      <c r="B173" s="231" t="e">
        <f ca="1">IF(AND(Altitude_culmi&gt;80, Altitude_culmi&lt;=350), 32, NA())</f>
        <v>#N/A</v>
      </c>
      <c r="C173" s="5">
        <v>3.8</v>
      </c>
      <c r="D173" s="82">
        <f t="shared" ca="1" si="0"/>
        <v>483.25449147614341</v>
      </c>
      <c r="E173" s="82"/>
      <c r="F173" s="214">
        <f t="shared" ca="1" si="1"/>
        <v>475.65449147614339</v>
      </c>
    </row>
    <row r="174" spans="2:6" x14ac:dyDescent="0.2">
      <c r="B174" s="231" t="e">
        <f ca="1">IF(AND(Altitude_culmi&gt;80, Altitude_culmi&lt;=350), 33, NA())</f>
        <v>#N/A</v>
      </c>
      <c r="C174" s="421">
        <v>0</v>
      </c>
      <c r="D174" s="230">
        <f t="shared" ca="1" si="0"/>
        <v>479.4544914761434</v>
      </c>
      <c r="E174" s="230"/>
      <c r="F174" s="216">
        <f t="shared" ca="1" si="1"/>
        <v>479.4544914761434</v>
      </c>
    </row>
    <row r="175" spans="2:6" x14ac:dyDescent="0.2">
      <c r="B175" s="231" t="e">
        <f ca="1">IF(AND(Altitude_culmi&gt;80, Altitude_culmi&lt;=350), 34, NA())</f>
        <v>#N/A</v>
      </c>
    </row>
    <row r="176" spans="2:6" x14ac:dyDescent="0.2">
      <c r="B176" s="229" t="e">
        <f ca="1">IF(AND(Altitude_culmi&gt;80, Altitude_culmi&lt;=350), 35, NA())</f>
        <v>#N/A</v>
      </c>
      <c r="C176" s="228" t="s">
        <v>312</v>
      </c>
      <c r="D176" s="228" t="s">
        <v>313</v>
      </c>
      <c r="E176" s="228"/>
      <c r="F176" s="211" t="s">
        <v>313</v>
      </c>
    </row>
    <row r="177" spans="2:6" x14ac:dyDescent="0.2">
      <c r="C177" s="5">
        <v>0</v>
      </c>
      <c r="D177" s="82">
        <f t="shared" ref="D177:D197" ca="1" si="2">X_culmi+C177</f>
        <v>479.4544914761434</v>
      </c>
      <c r="E177" s="82"/>
      <c r="F177" s="214">
        <f t="shared" ref="F177:F197" ca="1" si="3">X_culmi-C177</f>
        <v>479.4544914761434</v>
      </c>
    </row>
    <row r="178" spans="2:6" x14ac:dyDescent="0.2">
      <c r="B178" s="210" t="s">
        <v>311</v>
      </c>
      <c r="C178" s="5">
        <v>0</v>
      </c>
      <c r="D178" s="82">
        <f t="shared" ca="1" si="2"/>
        <v>479.4544914761434</v>
      </c>
      <c r="E178" s="82"/>
      <c r="F178" s="214">
        <f t="shared" ca="1" si="3"/>
        <v>479.4544914761434</v>
      </c>
    </row>
    <row r="179" spans="2:6" x14ac:dyDescent="0.2">
      <c r="B179" s="231">
        <f ca="1">IF(Altitude_culmi&gt;350, 324, NA())</f>
        <v>324</v>
      </c>
      <c r="C179" s="5">
        <v>10</v>
      </c>
      <c r="D179" s="82">
        <f t="shared" ca="1" si="2"/>
        <v>489.4544914761434</v>
      </c>
      <c r="E179" s="82"/>
      <c r="F179" s="214">
        <f t="shared" ca="1" si="3"/>
        <v>469.4544914761434</v>
      </c>
    </row>
    <row r="180" spans="2:6" x14ac:dyDescent="0.2">
      <c r="B180" s="231">
        <f ca="1">IF(Altitude_culmi&gt;350, 300, NA())</f>
        <v>300</v>
      </c>
      <c r="C180" s="5">
        <v>0</v>
      </c>
      <c r="D180" s="82">
        <f t="shared" ca="1" si="2"/>
        <v>479.4544914761434</v>
      </c>
      <c r="E180" s="82"/>
      <c r="F180" s="214">
        <f t="shared" ca="1" si="3"/>
        <v>479.4544914761434</v>
      </c>
    </row>
    <row r="181" spans="2:6" x14ac:dyDescent="0.2">
      <c r="B181" s="231">
        <f ca="1">IF(Altitude_culmi&gt;350, 280, NA())</f>
        <v>280</v>
      </c>
      <c r="C181" s="5">
        <v>10</v>
      </c>
      <c r="D181" s="82">
        <f t="shared" ca="1" si="2"/>
        <v>489.4544914761434</v>
      </c>
      <c r="E181" s="82"/>
      <c r="F181" s="214">
        <f t="shared" ca="1" si="3"/>
        <v>469.4544914761434</v>
      </c>
    </row>
    <row r="182" spans="2:6" x14ac:dyDescent="0.2">
      <c r="B182" s="231">
        <f ca="1">IF(Altitude_culmi&gt;350, 280, NA())</f>
        <v>280</v>
      </c>
      <c r="C182" s="5">
        <v>13</v>
      </c>
      <c r="D182" s="82">
        <f t="shared" ca="1" si="2"/>
        <v>492.4544914761434</v>
      </c>
      <c r="E182" s="82"/>
      <c r="F182" s="214">
        <f t="shared" ca="1" si="3"/>
        <v>466.4544914761434</v>
      </c>
    </row>
    <row r="183" spans="2:6" x14ac:dyDescent="0.2">
      <c r="B183" s="231">
        <f ca="1">IF(Altitude_culmi&gt;350, 280, NA())</f>
        <v>280</v>
      </c>
      <c r="C183" s="5">
        <v>17</v>
      </c>
      <c r="D183" s="82">
        <f t="shared" ca="1" si="2"/>
        <v>496.4544914761434</v>
      </c>
      <c r="E183" s="82"/>
      <c r="F183" s="214">
        <f t="shared" ca="1" si="3"/>
        <v>462.4544914761434</v>
      </c>
    </row>
    <row r="184" spans="2:6" x14ac:dyDescent="0.2">
      <c r="B184" s="231">
        <f ca="1">IF(Altitude_culmi&gt;350, 200, NA())</f>
        <v>200</v>
      </c>
      <c r="C184" s="5">
        <v>20</v>
      </c>
      <c r="D184" s="82">
        <f t="shared" ca="1" si="2"/>
        <v>499.4544914761434</v>
      </c>
      <c r="E184" s="82"/>
      <c r="F184" s="214">
        <f t="shared" ca="1" si="3"/>
        <v>459.4544914761434</v>
      </c>
    </row>
    <row r="185" spans="2:6" x14ac:dyDescent="0.2">
      <c r="B185" s="231">
        <f ca="1">IF(Altitude_culmi&gt;350, 160, NA())</f>
        <v>160</v>
      </c>
      <c r="C185" s="5">
        <v>25</v>
      </c>
      <c r="D185" s="82">
        <f t="shared" ca="1" si="2"/>
        <v>504.4544914761434</v>
      </c>
      <c r="E185" s="82"/>
      <c r="F185" s="214">
        <f t="shared" ca="1" si="3"/>
        <v>454.4544914761434</v>
      </c>
    </row>
    <row r="186" spans="2:6" x14ac:dyDescent="0.2">
      <c r="B186" s="231">
        <f ca="1">IF(Altitude_culmi&gt;350, 115, NA())</f>
        <v>115</v>
      </c>
      <c r="C186" s="5">
        <v>30</v>
      </c>
      <c r="D186" s="82">
        <f t="shared" ca="1" si="2"/>
        <v>509.4544914761434</v>
      </c>
      <c r="E186" s="82"/>
      <c r="F186" s="214">
        <f t="shared" ca="1" si="3"/>
        <v>449.4544914761434</v>
      </c>
    </row>
    <row r="187" spans="2:6" x14ac:dyDescent="0.2">
      <c r="B187" s="231">
        <f ca="1">IF(Altitude_culmi&gt;350, 90, NA())</f>
        <v>90</v>
      </c>
      <c r="C187" s="5">
        <v>36</v>
      </c>
      <c r="D187" s="82">
        <f t="shared" ca="1" si="2"/>
        <v>515.4544914761434</v>
      </c>
      <c r="E187" s="82"/>
      <c r="F187" s="214">
        <f t="shared" ca="1" si="3"/>
        <v>443.4544914761434</v>
      </c>
    </row>
    <row r="188" spans="2:6" x14ac:dyDescent="0.2">
      <c r="B188" s="231">
        <f ca="1">IF(Altitude_culmi&gt;350, 57, NA())</f>
        <v>57</v>
      </c>
      <c r="C188" s="5">
        <v>48</v>
      </c>
      <c r="D188" s="82">
        <f t="shared" ca="1" si="2"/>
        <v>527.4544914761434</v>
      </c>
      <c r="E188" s="82"/>
      <c r="F188" s="214">
        <f t="shared" ca="1" si="3"/>
        <v>431.4544914761434</v>
      </c>
    </row>
    <row r="189" spans="2:6" x14ac:dyDescent="0.2">
      <c r="B189" s="231">
        <f ca="1">IF(Altitude_culmi&gt;350, 40, NA())</f>
        <v>40</v>
      </c>
      <c r="C189" s="5">
        <v>62</v>
      </c>
      <c r="D189" s="82">
        <f t="shared" ca="1" si="2"/>
        <v>541.4544914761434</v>
      </c>
      <c r="E189" s="82"/>
      <c r="F189" s="214">
        <f t="shared" ca="1" si="3"/>
        <v>417.4544914761434</v>
      </c>
    </row>
    <row r="190" spans="2:6" x14ac:dyDescent="0.2">
      <c r="B190" s="231">
        <f ca="1">IF(Altitude_culmi&gt;350, 20, NA())</f>
        <v>20</v>
      </c>
      <c r="C190" s="5">
        <v>37</v>
      </c>
      <c r="D190" s="82">
        <f t="shared" ca="1" si="2"/>
        <v>516.4544914761434</v>
      </c>
      <c r="E190" s="82"/>
      <c r="F190" s="214">
        <f t="shared" ca="1" si="3"/>
        <v>442.4544914761434</v>
      </c>
    </row>
    <row r="191" spans="2:6" x14ac:dyDescent="0.2">
      <c r="B191" s="231">
        <f ca="1">IF(Altitude_culmi&gt;350, 0.5, NA())</f>
        <v>0.5</v>
      </c>
      <c r="C191" s="5">
        <v>30</v>
      </c>
      <c r="D191" s="82">
        <f t="shared" ca="1" si="2"/>
        <v>509.4544914761434</v>
      </c>
      <c r="E191" s="82"/>
      <c r="F191" s="214">
        <f t="shared" ca="1" si="3"/>
        <v>449.4544914761434</v>
      </c>
    </row>
    <row r="192" spans="2:6" x14ac:dyDescent="0.2">
      <c r="B192" s="231">
        <f ca="1">IF(Altitude_culmi&gt;350, 0.5, NA())</f>
        <v>0.5</v>
      </c>
      <c r="C192" s="5">
        <v>15</v>
      </c>
      <c r="D192" s="82">
        <f t="shared" ca="1" si="2"/>
        <v>494.4544914761434</v>
      </c>
      <c r="E192" s="82"/>
      <c r="F192" s="214">
        <f t="shared" ca="1" si="3"/>
        <v>464.4544914761434</v>
      </c>
    </row>
    <row r="193" spans="2:6" x14ac:dyDescent="0.2">
      <c r="B193" s="231">
        <f ca="1">IF(Altitude_culmi&gt;350, 15, NA())</f>
        <v>15</v>
      </c>
      <c r="C193" s="5">
        <v>0</v>
      </c>
      <c r="D193" s="82">
        <f t="shared" ca="1" si="2"/>
        <v>479.4544914761434</v>
      </c>
      <c r="E193" s="82"/>
      <c r="F193" s="214">
        <f t="shared" ca="1" si="3"/>
        <v>479.4544914761434</v>
      </c>
    </row>
    <row r="194" spans="2:6" x14ac:dyDescent="0.2">
      <c r="B194" s="231">
        <f ca="1">IF(Altitude_culmi&gt;350, 30, NA())</f>
        <v>30</v>
      </c>
      <c r="C194" s="5">
        <v>0</v>
      </c>
      <c r="D194" s="82">
        <f t="shared" ca="1" si="2"/>
        <v>479.4544914761434</v>
      </c>
      <c r="E194" s="82"/>
      <c r="F194" s="214">
        <f t="shared" ca="1" si="3"/>
        <v>479.4544914761434</v>
      </c>
    </row>
    <row r="195" spans="2:6" x14ac:dyDescent="0.2">
      <c r="B195" s="231">
        <f ca="1">IF(Altitude_culmi&gt;350, 37, NA())</f>
        <v>37</v>
      </c>
      <c r="C195" s="5">
        <v>17</v>
      </c>
      <c r="D195" s="82">
        <f t="shared" ca="1" si="2"/>
        <v>496.4544914761434</v>
      </c>
      <c r="E195" s="82"/>
      <c r="F195" s="214">
        <f t="shared" ca="1" si="3"/>
        <v>462.4544914761434</v>
      </c>
    </row>
    <row r="196" spans="2:6" x14ac:dyDescent="0.2">
      <c r="B196" s="231">
        <f ca="1">IF(Altitude_culmi&gt;350, 67, NA())</f>
        <v>67</v>
      </c>
      <c r="C196" s="5">
        <v>11</v>
      </c>
      <c r="D196" s="82">
        <f t="shared" ca="1" si="2"/>
        <v>490.4544914761434</v>
      </c>
      <c r="E196" s="82"/>
      <c r="F196" s="214">
        <f t="shared" ca="1" si="3"/>
        <v>468.4544914761434</v>
      </c>
    </row>
    <row r="197" spans="2:6" x14ac:dyDescent="0.2">
      <c r="B197" s="231">
        <f ca="1">IF(Altitude_culmi&gt;350, 67, NA())</f>
        <v>67</v>
      </c>
      <c r="C197" s="421">
        <v>0</v>
      </c>
      <c r="D197" s="230">
        <f t="shared" ca="1" si="2"/>
        <v>479.4544914761434</v>
      </c>
      <c r="E197" s="230"/>
      <c r="F197" s="216">
        <f t="shared" ca="1" si="3"/>
        <v>479.4544914761434</v>
      </c>
    </row>
    <row r="198" spans="2:6" x14ac:dyDescent="0.2">
      <c r="B198" s="231">
        <f ca="1">IF(Altitude_culmi&gt;350, 100, NA())</f>
        <v>100</v>
      </c>
    </row>
    <row r="199" spans="2:6" x14ac:dyDescent="0.2">
      <c r="B199" s="229">
        <f ca="1">IF(Altitude_culmi&gt;350, 100, NA())</f>
        <v>100</v>
      </c>
    </row>
  </sheetData>
  <sheetProtection password="C6AC" sheet="1"/>
  <protectedRanges>
    <protectedRange sqref="C25" name="Plage1"/>
  </protectedRanges>
  <mergeCells count="41">
    <mergeCell ref="F49:G49"/>
    <mergeCell ref="F40:G40"/>
    <mergeCell ref="F41:G41"/>
    <mergeCell ref="F42:G42"/>
    <mergeCell ref="F43:G43"/>
    <mergeCell ref="F48:G48"/>
    <mergeCell ref="F44:G44"/>
    <mergeCell ref="F45:G45"/>
    <mergeCell ref="F47:G47"/>
    <mergeCell ref="F46:G46"/>
    <mergeCell ref="C15:D15"/>
    <mergeCell ref="C10:D10"/>
    <mergeCell ref="C19:D19"/>
    <mergeCell ref="C20:D20"/>
    <mergeCell ref="C11:D11"/>
    <mergeCell ref="C13:D13"/>
    <mergeCell ref="C14:D14"/>
    <mergeCell ref="C18:D18"/>
    <mergeCell ref="C22:D22"/>
    <mergeCell ref="C17:D17"/>
    <mergeCell ref="F23:G23"/>
    <mergeCell ref="F27:G27"/>
    <mergeCell ref="F26:G26"/>
    <mergeCell ref="F24:G24"/>
    <mergeCell ref="F25:G25"/>
    <mergeCell ref="H33:I33"/>
    <mergeCell ref="H32:I32"/>
    <mergeCell ref="F28:G28"/>
    <mergeCell ref="H31:I31"/>
    <mergeCell ref="A38:D38"/>
    <mergeCell ref="H34:I34"/>
    <mergeCell ref="F34:G34"/>
    <mergeCell ref="F33:G33"/>
    <mergeCell ref="F32:G32"/>
    <mergeCell ref="F38:G38"/>
    <mergeCell ref="C2:D3"/>
    <mergeCell ref="C7:D7"/>
    <mergeCell ref="C8:D8"/>
    <mergeCell ref="C9:D9"/>
    <mergeCell ref="C6:D6"/>
    <mergeCell ref="C4:D4"/>
  </mergeCells>
  <phoneticPr fontId="8" type="noConversion"/>
  <conditionalFormatting sqref="B26">
    <cfRule type="expression" dxfId="26" priority="89" stopIfTrue="1">
      <formula>NOT(OR(C25=F108,C25=F102,Nb_sat="1 satellite"))</formula>
    </cfRule>
  </conditionalFormatting>
  <conditionalFormatting sqref="C26">
    <cfRule type="expression" dxfId="25" priority="91" stopIfTrue="1">
      <formula>NOT(OR(C25=F108,C25=F102))</formula>
    </cfRule>
  </conditionalFormatting>
  <conditionalFormatting sqref="C30">
    <cfRule type="cellIs" dxfId="24" priority="42" stopIfTrue="1" operator="notBetween">
      <formula>5</formula>
      <formula>15</formula>
    </cfRule>
  </conditionalFormatting>
  <conditionalFormatting sqref="D24">
    <cfRule type="expression" dxfId="23" priority="39" stopIfTrue="1">
      <formula>Nb_sat="0 satellite"</formula>
    </cfRule>
  </conditionalFormatting>
  <conditionalFormatting sqref="D25">
    <cfRule type="expression" dxfId="22" priority="2" stopIfTrue="1">
      <formula>Nb_sat="0 satellite"</formula>
    </cfRule>
  </conditionalFormatting>
  <conditionalFormatting sqref="D26:D29 D31:D33">
    <cfRule type="expression" dxfId="21" priority="59" stopIfTrue="1">
      <formula>Nb_sat="0 satellite"</formula>
    </cfRule>
  </conditionalFormatting>
  <conditionalFormatting sqref="D30">
    <cfRule type="expression" dxfId="20" priority="40" stopIfTrue="1">
      <formula>Nb_sat="0 satellite"</formula>
    </cfRule>
    <cfRule type="cellIs" dxfId="19" priority="49" stopIfTrue="1" operator="notBetween">
      <formula>5</formula>
      <formula>15</formula>
    </cfRule>
  </conditionalFormatting>
  <conditionalFormatting sqref="F25">
    <cfRule type="expression" dxfId="18" priority="26" stopIfTrue="1">
      <formula>Nb_sat="0 satellite"</formula>
    </cfRule>
  </conditionalFormatting>
  <conditionalFormatting sqref="F34:I34 F48:M48">
    <cfRule type="expression" dxfId="17" priority="22" stopIfTrue="1">
      <formula>Nb_sat="0 satellite"</formula>
    </cfRule>
  </conditionalFormatting>
  <conditionalFormatting sqref="F49:M49">
    <cfRule type="expression" dxfId="16" priority="21" stopIfTrue="1">
      <formula>Nb_sat="0 satellite"</formula>
    </cfRule>
  </conditionalFormatting>
  <conditionalFormatting sqref="H27 H46">
    <cfRule type="expression" dxfId="15" priority="4" stopIfTrue="1">
      <formula>ABS(Temps_culmi-T_para)&gt;2</formula>
    </cfRule>
  </conditionalFormatting>
  <conditionalFormatting sqref="H32:I32">
    <cfRule type="cellIs" dxfId="14" priority="14" stopIfTrue="1" operator="equal">
      <formula>"Brun/Orange…"</formula>
    </cfRule>
  </conditionalFormatting>
  <conditionalFormatting sqref="H33:I33">
    <cfRule type="cellIs" dxfId="13" priority="13" stopIfTrue="1" operator="equal">
      <formula>"Rouge…"</formula>
    </cfRule>
  </conditionalFormatting>
  <conditionalFormatting sqref="H25:M25">
    <cfRule type="expression" dxfId="12" priority="41" stopIfTrue="1">
      <formula>Nb_sat="0 satellite"</formula>
    </cfRule>
  </conditionalFormatting>
  <conditionalFormatting sqref="J28 J45">
    <cfRule type="expression" dxfId="11" priority="6" stopIfTrue="1">
      <formula>AND(Portee_balistique&gt;200,LEFT(Propu,2)="p2")</formula>
    </cfRule>
  </conditionalFormatting>
  <conditionalFormatting sqref="K23 K41">
    <cfRule type="expression" dxfId="10" priority="44" stopIfTrue="1">
      <formula>AND(Vsortie_de_rampe&lt;18, OR(LEFT(Type_fusee,1)=",",LEFT(Type_fusee,4)="Mini",LEFT(Type_fusee,1)="R"))</formula>
    </cfRule>
    <cfRule type="expression" dxfId="9" priority="45" stopIfTrue="1">
      <formula>AND(Vsortie_de_rampe&lt;20, RIGHT(Type_fusee,1)=".")</formula>
    </cfRule>
  </conditionalFormatting>
  <conditionalFormatting sqref="K40">
    <cfRule type="expression" dxfId="8" priority="34" stopIfTrue="1">
      <formula>AND( $K$21=0, OR( $I$21&gt;0, $J$21&gt;0 ) )</formula>
    </cfRule>
  </conditionalFormatting>
  <conditionalFormatting sqref="N33">
    <cfRule type="expression" dxfId="7" priority="15" stopIfTrue="1">
      <formula>ROUND(SUM(C23:L34),0)=1914</formula>
    </cfRule>
  </conditionalFormatting>
  <conditionalFormatting sqref="N34">
    <cfRule type="expression" dxfId="6" priority="16" stopIfTrue="1">
      <formula>$N$34="propu NOK"</formula>
    </cfRule>
  </conditionalFormatting>
  <dataValidations count="14">
    <dataValidation type="decimal" operator="greaterThanOrEqual" showErrorMessage="1" sqref="H40:K40 C29 C26 D26:D27" xr:uid="{F73B2C6C-FF1F-9541-B294-581EAE03940D}">
      <formula1>0</formula1>
    </dataValidation>
    <dataValidation type="list" allowBlank="1" showInputMessage="1" showErrorMessage="1" sqref="H50" xr:uid="{7F77F225-6D03-4D40-9887-F691460AB89F}">
      <formula1>gao</formula1>
    </dataValidation>
    <dataValidation operator="greaterThanOrEqual" showErrorMessage="1" sqref="D29 C27" xr:uid="{7893EC0B-AF40-0E45-B830-EB69405F86AA}"/>
    <dataValidation type="decimal" errorStyle="warning" allowBlank="1" showErrorMessage="1" errorTitle="Cx para" error="Le Cx du parachute est souvent compris entre 0 et 2._x000a_Cx of parachute might be between 0 a 2." sqref="C28:D28" xr:uid="{DB73182A-CBAE-CB4E-B0FB-F47D9396DDDF}">
      <formula1>0</formula1>
      <formula2>2</formula2>
    </dataValidation>
    <dataValidation sqref="C11:D11" xr:uid="{20D451B8-BC72-254B-B59C-F134150F4F1C}"/>
    <dataValidation operator="greaterThanOrEqual" sqref="C10:D10" xr:uid="{1AA622F8-B2C5-5649-BDD2-36BFF6D9DFFC}"/>
    <dataValidation type="decimal" errorStyle="warning" showErrorMessage="1" errorTitle="Cx" error="Le Cx est souvent compris entre 0,3 et 0,7._x000a_Cx may be between 0,3 &amp; 0,7." sqref="C15:D15" xr:uid="{0869A7A3-B452-5042-B523-27BE48ABC27A}">
      <formula1>0.3</formula1>
      <formula2>0.7</formula2>
    </dataValidation>
    <dataValidation type="decimal" operator="greaterThanOrEqual" allowBlank="1" showErrorMessage="1" sqref="C18:D18" xr:uid="{0E5A810C-381A-5946-8F4C-1E03524CCFA7}">
      <formula1>0</formula1>
    </dataValidation>
    <dataValidation type="decimal" errorStyle="information" allowBlank="1" showInputMessage="1" showErrorMessage="1" errorTitle="Angle de la rampe" error="Il est conseillé d'incliner à rampe entre 75° et 85° par rapport à l'horizontale._x000a_This Angle is recommended between 75° &amp; 85°." sqref="C19:D19" xr:uid="{FB0E1075-A2F8-A445-A1E3-BFA576042875}">
      <formula1>75</formula1>
      <formula2>85</formula2>
    </dataValidation>
    <dataValidation type="whole" operator="greaterThanOrEqual" allowBlank="1" showErrorMessage="1" sqref="C20:D20" xr:uid="{05AE5CAE-EEC9-5144-BDF7-AEB5F6768317}">
      <formula1>0</formula1>
    </dataValidation>
    <dataValidation type="whole" allowBlank="1" showErrorMessage="1" sqref="M40" xr:uid="{A53F8416-9C11-FD46-85BC-C07A290F8F05}">
      <formula1>-360</formula1>
      <formula2>360</formula2>
    </dataValidation>
    <dataValidation type="list" showInputMessage="1" showErrorMessage="1" sqref="D23" xr:uid="{4B0E120E-FA21-824C-900D-2346F40E4978}">
      <formula1>Menu_sat</formula1>
    </dataValidation>
    <dataValidation type="whole" operator="greaterThanOrEqual" showErrorMessage="1" sqref="B43 B45 B51 B53" xr:uid="{C264CD69-A1D3-0A47-A6BE-F3F8552A52F0}">
      <formula1>0</formula1>
    </dataValidation>
    <dataValidation type="list" showInputMessage="1" showErrorMessage="1" sqref="C25" xr:uid="{633D7300-3070-4647-B06B-AE4FE1944B00}">
      <formula1>IF(Depotage&lt;&gt;0,IF(LEFT(Type_propu,5)="Micro",$F$108,$F$103:$F$108),$F$102)</formula1>
    </dataValidation>
  </dataValidations>
  <hyperlinks>
    <hyperlink ref="B11" location="Stabilito!C17" display="Stabilito!C17" xr:uid="{95E1AAD1-320C-B54A-A31C-70F8CC967851}"/>
  </hyperlinks>
  <printOptions horizontalCentered="1" verticalCentered="1"/>
  <pageMargins left="7.874015748031496E-2" right="7.874015748031496E-2" top="7.874015748031496E-2" bottom="7.874015748031496E-2" header="0" footer="0"/>
  <pageSetup paperSize="9" firstPageNumber="0" orientation="landscape" horizontalDpi="300" verticalDpi="300"/>
  <headerFooter alignWithMargins="0"/>
  <ignoredErrors>
    <ignoredError sqref="B126:B132 B138:B149 C149 C151 C136:C138 C140:C147 C124:C130" formula="1"/>
    <ignoredError sqref="H44:I44 H47 J44:M44" evalError="1"/>
    <ignoredError sqref="G103:G107" numberStoredAsText="1"/>
    <ignoredError sqref="D24" unlockedFormula="1"/>
  </ignoredErrors>
  <drawing r:id="rId1"/>
  <legacyDrawing r:id="rId2"/>
  <oleObjects>
    <mc:AlternateContent xmlns:mc="http://schemas.openxmlformats.org/markup-compatibility/2006">
      <mc:Choice Requires="x14">
        <oleObject progId="Equation.3" shapeId="1425294" r:id="rId3">
          <objectPr defaultSize="0" autoPict="0" r:id="rId4">
            <anchor moveWithCells="1">
              <from>
                <xdr:col>1</xdr:col>
                <xdr:colOff>28575</xdr:colOff>
                <xdr:row>93</xdr:row>
                <xdr:rowOff>66675</xdr:rowOff>
              </from>
              <to>
                <xdr:col>4</xdr:col>
                <xdr:colOff>66675</xdr:colOff>
                <xdr:row>99</xdr:row>
                <xdr:rowOff>76200</xdr:rowOff>
              </to>
            </anchor>
          </objectPr>
        </oleObject>
      </mc:Choice>
      <mc:Fallback>
        <oleObject progId="Equation.3" shapeId="1425294" r:id="rId3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24424" r:id="rId5" name="Spinner 1064">
              <controlPr defaultSize="0" print="0" autoPict="0">
                <anchor moveWithCells="1" sizeWithCells="1">
                  <from>
                    <xdr:col>3</xdr:col>
                    <xdr:colOff>695325</xdr:colOff>
                    <xdr:row>9</xdr:row>
                    <xdr:rowOff>9525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89" r:id="rId6" name="Spinner 1229">
              <controlPr defaultSize="0" print="0" autoPict="0">
                <anchor moveWithCells="1" sizeWithCells="1">
                  <from>
                    <xdr:col>1</xdr:col>
                    <xdr:colOff>1076325</xdr:colOff>
                    <xdr:row>42</xdr:row>
                    <xdr:rowOff>9525</xdr:rowOff>
                  </from>
                  <to>
                    <xdr:col>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90" r:id="rId7" name="Spinner 1230">
              <controlPr defaultSize="0" print="0" autoPict="0">
                <anchor moveWithCells="1" sizeWithCells="1">
                  <from>
                    <xdr:col>1</xdr:col>
                    <xdr:colOff>1076325</xdr:colOff>
                    <xdr:row>44</xdr:row>
                    <xdr:rowOff>9525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91" r:id="rId8" name="Spinner 1231">
              <controlPr defaultSize="0" print="0" autoPict="0">
                <anchor moveWithCells="1" sizeWithCells="1">
                  <from>
                    <xdr:col>1</xdr:col>
                    <xdr:colOff>1076325</xdr:colOff>
                    <xdr:row>50</xdr:row>
                    <xdr:rowOff>9525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462" r:id="rId9" name="Spinner 4550">
              <controlPr defaultSize="0" print="0" autoPict="0">
                <anchor moveWithCells="1" sizeWithCells="1">
                  <from>
                    <xdr:col>1</xdr:col>
                    <xdr:colOff>1076325</xdr:colOff>
                    <xdr:row>52</xdr:row>
                    <xdr:rowOff>9525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A0A7-AD4E-E44C-BCAC-AA55AD3B74D4}">
  <sheetPr codeName="Feuil3">
    <pageSetUpPr fitToPage="1"/>
  </sheetPr>
  <dimension ref="B75:B146"/>
  <sheetViews>
    <sheetView showGridLines="0" topLeftCell="A10" zoomScaleNormal="100" workbookViewId="0"/>
  </sheetViews>
  <sheetFormatPr baseColWidth="10" defaultRowHeight="12.75" x14ac:dyDescent="0.2"/>
  <sheetData>
    <row r="75" spans="2:2" x14ac:dyDescent="0.2">
      <c r="B75" t="s">
        <v>44</v>
      </c>
    </row>
    <row r="76" spans="2:2" x14ac:dyDescent="0.2">
      <c r="B76" t="str">
        <f>IF(Lang="Français","Ces courbes représentent la trajectoire de la fusée dans l'hypothèse d'une descente balistique (sans ouverture du parachute). ","These curves show the rocket trajectory in case of ballistic fall (without parachute).")</f>
        <v xml:space="preserve">Ces courbes représentent la trajectoire de la fusée dans l'hypothèse d'une descente balistique (sans ouverture du parachute). </v>
      </c>
    </row>
    <row r="77" spans="2:2" x14ac:dyDescent="0.2">
      <c r="B77" t="str">
        <f>IF(Lang="Français","L'accélération longitudinale gravitationnelle définit le mouvement (dérivée de la vitesse) : Acc = (Poussee - Traînée ± Poids) / m",IF(Lang="English","Longitudinal Gravitaionnal Acceleration defines the motion (velocity derivative) : Acc = (Thrust - Drag ± Weight)/m",""))</f>
        <v>L'accélération longitudinale gravitationnelle définit le mouvement (dérivée de la vitesse) : Acc = (Poussee - Traînée ± Poids) / m</v>
      </c>
    </row>
    <row r="78" spans="2:2" x14ac:dyDescent="0.2">
      <c r="B78" t="str">
        <f>IF(Lang="Français","La charge ''non-gravitationnelle'' vue par un capteur d'accélération (masse-ressort) est : Charge = (Poussée - Traînée) / m",IF(Lang="English","''Non-Gravitaionnal'' Load seen by an acceleration sensor (mass-spring) is : Load = (Thrust - Drag) / m",""))</f>
        <v>La charge ''non-gravitationnelle'' vue par un capteur d'accélération (masse-ressort) est : Charge = (Poussée - Traînée) / m</v>
      </c>
    </row>
    <row r="79" spans="2:2" x14ac:dyDescent="0.2">
      <c r="B79" t="str">
        <f>IF(Lang="Français","Exemples : Si Poussée = Poids, Vitesse constante, Acc nulle, Charge = 1G ; En chute libre, Acc = -1G, Charge = 0",IF(Lang="English","",""))</f>
        <v>Exemples : Si Poussée = Poids, Vitesse constante, Acc nulle, Charge = 1G ; En chute libre, Acc = -1G, Charge = 0</v>
      </c>
    </row>
    <row r="131" spans="2:2" x14ac:dyDescent="0.2">
      <c r="B131" s="24" t="str">
        <f>IF(Lang="Français","Textes pour les graphiques :","Texts for graphics :")</f>
        <v>Textes pour les graphiques :</v>
      </c>
    </row>
    <row r="133" spans="2:2" x14ac:dyDescent="0.2">
      <c r="B133" t="str">
        <f>IF(Lang="Français","Traînée",IF(Lang="English","Drag",""))</f>
        <v>Traînée</v>
      </c>
    </row>
    <row r="134" spans="2:2" x14ac:dyDescent="0.2">
      <c r="B134" t="str">
        <f>IF(Lang="Français","Poussée",IF(Lang="English","Thrust",""))</f>
        <v>Poussée</v>
      </c>
    </row>
    <row r="135" spans="2:2" x14ac:dyDescent="0.2">
      <c r="B135" t="str">
        <f>IF(Lang="Français","Poids",IF(Lang="English","Weight",""))</f>
        <v>Poids</v>
      </c>
    </row>
    <row r="137" spans="2:2" x14ac:dyDescent="0.2">
      <c r="B137" t="str">
        <f>IF(Lang="Français","Accélération longitudinale",IF(Lang="English","Longitudinal Acceleration",""))</f>
        <v>Accélération longitudinale</v>
      </c>
    </row>
    <row r="138" spans="2:2" x14ac:dyDescent="0.2">
      <c r="B138" t="str">
        <f>IF(Lang="Français","Charge vue par un capteur",IF(Lang="English","Load seen by a sensor",""))</f>
        <v>Charge vue par un capteur</v>
      </c>
    </row>
    <row r="140" spans="2:2" x14ac:dyDescent="0.2">
      <c r="B140" t="str">
        <f>IF(Lang="Français","Vitesse",IF(Lang="English","Velocity",""))</f>
        <v>Vitesse</v>
      </c>
    </row>
    <row r="141" spans="2:2" x14ac:dyDescent="0.2">
      <c r="B141" t="str">
        <f>IF(Lang="Français","Vitesse [m/s]",IF(Lang="English","Velocity [m/s]",""))</f>
        <v>Vitesse [m/s]</v>
      </c>
    </row>
    <row r="143" spans="2:2" x14ac:dyDescent="0.2">
      <c r="B143" t="s">
        <v>6</v>
      </c>
    </row>
    <row r="144" spans="2:2" x14ac:dyDescent="0.2">
      <c r="B144" t="str">
        <f>IF(Lang="Français","Portée",IF(Lang="English","Range",""))</f>
        <v>Portée</v>
      </c>
    </row>
    <row r="146" spans="2:2" x14ac:dyDescent="0.2">
      <c r="B146" t="str">
        <f>IF(Lang="Français","Temps [s]",IF(Lang="English","Time [s]",""))</f>
        <v>Temps [s]</v>
      </c>
    </row>
  </sheetData>
  <sheetProtection password="C6AC" sheet="1"/>
  <phoneticPr fontId="8" type="noConversion"/>
  <printOptions horizontalCentered="1" verticalCentered="1"/>
  <pageMargins left="0.39370078740157483" right="0.39370078740157483" top="0.39370078740157483" bottom="0.39370078740157483" header="0" footer="0"/>
  <pageSetup scale="76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CF22-6776-D543-B528-C84391F2E860}">
  <sheetPr codeName="Feuil5">
    <pageSetUpPr fitToPage="1"/>
  </sheetPr>
  <dimension ref="A1:Z336"/>
  <sheetViews>
    <sheetView showGridLines="0" topLeftCell="A200" zoomScale="169" zoomScaleNormal="80" workbookViewId="0">
      <selection activeCell="V194" sqref="V194"/>
    </sheetView>
  </sheetViews>
  <sheetFormatPr baseColWidth="10" defaultRowHeight="12.75" x14ac:dyDescent="0.2"/>
  <cols>
    <col min="1" max="1" width="22.7109375" bestFit="1" customWidth="1"/>
  </cols>
  <sheetData>
    <row r="1" spans="1:26" ht="13.5" thickBot="1" x14ac:dyDescent="0.25">
      <c r="A1" s="362" t="str">
        <f>IF(Lang="Français","Moteur sélectionné","Selected motor")</f>
        <v>Moteur sélectionné</v>
      </c>
      <c r="B1" s="362" t="s">
        <v>32</v>
      </c>
    </row>
    <row r="2" spans="1:26" ht="13.5" thickBot="1" x14ac:dyDescent="0.25">
      <c r="A2" s="352" t="str">
        <f>Propu</f>
        <v>Orignal (Pro75-3G)</v>
      </c>
      <c r="B2" s="352">
        <f>VLOOKUP(A2,A26:B304,2,FALSE)</f>
        <v>284</v>
      </c>
      <c r="C2" s="363" t="s">
        <v>118</v>
      </c>
      <c r="D2" s="353">
        <f ca="1">INDIRECT(ADDRESS(B2,4))</f>
        <v>3739.0284999999994</v>
      </c>
      <c r="E2" s="363" t="s">
        <v>117</v>
      </c>
      <c r="F2" s="354">
        <f ca="1">INDIRECT(ADDRESS(B2,6))</f>
        <v>203.4941790441234</v>
      </c>
      <c r="G2" s="363" t="s">
        <v>59</v>
      </c>
      <c r="H2" s="355">
        <f ca="1">INDIRECT(ADDRESS(B2,8))</f>
        <v>3.5110000000000001</v>
      </c>
      <c r="I2" s="363" t="s">
        <v>278</v>
      </c>
      <c r="J2" s="356">
        <f ca="1">INDIRECT(ADDRESS(B2,10))</f>
        <v>1.8730000000000002</v>
      </c>
      <c r="K2" s="363" t="s">
        <v>61</v>
      </c>
      <c r="L2" s="355">
        <f ca="1">INDIRECT(ADDRESS(B2,12))</f>
        <v>1.6379999999999999</v>
      </c>
      <c r="M2" s="363" t="s">
        <v>60</v>
      </c>
      <c r="N2" s="357">
        <f ca="1">INDIRECT(ADDRESS(B2,14))</f>
        <v>243</v>
      </c>
      <c r="O2" s="363" t="s">
        <v>62</v>
      </c>
      <c r="P2" s="357">
        <f ca="1">INDIRECT(ADDRESS(B2,16))</f>
        <v>243</v>
      </c>
      <c r="Q2" s="363" t="s">
        <v>63</v>
      </c>
      <c r="R2" s="357">
        <f ca="1">INDIRECT(ADDRESS(B2,18))</f>
        <v>486</v>
      </c>
      <c r="S2" s="363" t="s">
        <v>64</v>
      </c>
      <c r="T2" s="357">
        <f ca="1">INDIRECT(ADDRESS(B2,20))</f>
        <v>75</v>
      </c>
      <c r="U2" s="363" t="s">
        <v>57</v>
      </c>
      <c r="V2" s="358" t="str">
        <f ca="1">INDIRECT(ADDRESS(B2,22))</f>
        <v>Fusex</v>
      </c>
      <c r="W2" s="463" t="s">
        <v>400</v>
      </c>
      <c r="X2" s="464">
        <f ca="1">INDIRECT(ADDRESS(B2,24))</f>
        <v>0</v>
      </c>
      <c r="Y2" s="463" t="s">
        <v>399</v>
      </c>
      <c r="Z2" s="358">
        <f ca="1">INDIRECT(ADDRESS(B2,26))</f>
        <v>0</v>
      </c>
    </row>
    <row r="3" spans="1:26" x14ac:dyDescent="0.2">
      <c r="A3" s="362" t="str">
        <f>IF(Lang="Français","Temps (en s)","Time (s)")</f>
        <v>Temps (en s)</v>
      </c>
      <c r="B3" s="364">
        <f t="shared" ref="B3:Y3" ca="1" si="0">INDIRECT(ADDRESS($B2+1,COLUMN(B3)))</f>
        <v>0</v>
      </c>
      <c r="C3" s="365">
        <f t="shared" ca="1" si="0"/>
        <v>0.01</v>
      </c>
      <c r="D3" s="365">
        <f t="shared" ca="1" si="0"/>
        <v>0.1</v>
      </c>
      <c r="E3" s="365">
        <f t="shared" ca="1" si="0"/>
        <v>0.12</v>
      </c>
      <c r="F3" s="365">
        <f t="shared" ca="1" si="0"/>
        <v>0.26</v>
      </c>
      <c r="G3" s="365">
        <f t="shared" ca="1" si="0"/>
        <v>0.71</v>
      </c>
      <c r="H3" s="365">
        <f t="shared" ca="1" si="0"/>
        <v>1.28</v>
      </c>
      <c r="I3" s="365">
        <f t="shared" ca="1" si="0"/>
        <v>2.0499999999999998</v>
      </c>
      <c r="J3" s="365">
        <f t="shared" ca="1" si="0"/>
        <v>2.41</v>
      </c>
      <c r="K3" s="365">
        <f t="shared" ca="1" si="0"/>
        <v>2.83</v>
      </c>
      <c r="L3" s="365">
        <f t="shared" ca="1" si="0"/>
        <v>3.25</v>
      </c>
      <c r="M3" s="365">
        <f t="shared" ca="1" si="0"/>
        <v>3.65</v>
      </c>
      <c r="N3" s="365">
        <f t="shared" ca="1" si="0"/>
        <v>3.8</v>
      </c>
      <c r="O3" s="365">
        <f t="shared" ca="1" si="0"/>
        <v>4</v>
      </c>
      <c r="P3" s="365">
        <f t="shared" ca="1" si="0"/>
        <v>4.0999999999999996</v>
      </c>
      <c r="Q3" s="365">
        <f t="shared" ca="1" si="0"/>
        <v>4.1900000000000004</v>
      </c>
      <c r="R3" s="365">
        <f t="shared" ca="1" si="0"/>
        <v>4.3099999999999996</v>
      </c>
      <c r="S3" s="365">
        <f t="shared" ca="1" si="0"/>
        <v>4.41</v>
      </c>
      <c r="T3" s="365">
        <f t="shared" ca="1" si="0"/>
        <v>4.5199999999999996</v>
      </c>
      <c r="U3" s="365">
        <f t="shared" ca="1" si="0"/>
        <v>4.5999999999999996</v>
      </c>
      <c r="V3" s="365">
        <f t="shared" ca="1" si="0"/>
        <v>4.6500000000000004</v>
      </c>
      <c r="W3" s="365">
        <f t="shared" ca="1" si="0"/>
        <v>4.67</v>
      </c>
      <c r="X3" s="365">
        <f ca="1">INDIRECT(ADDRESS($B2+1,COLUMN(X3)))</f>
        <v>4.68</v>
      </c>
      <c r="Y3" s="366">
        <f t="shared" ca="1" si="0"/>
        <v>1000</v>
      </c>
    </row>
    <row r="4" spans="1:26" ht="13.5" thickBot="1" x14ac:dyDescent="0.25">
      <c r="A4" s="379" t="str">
        <f>IF(Lang="Français","Poussée (en N)","Thrust (N)")</f>
        <v>Poussée (en N)</v>
      </c>
      <c r="B4" s="367">
        <f t="shared" ref="B4:Y4" ca="1" si="1">INDIRECT(ADDRESS($B2+2,COLUMN(B3)))</f>
        <v>27</v>
      </c>
      <c r="C4" s="368">
        <f t="shared" ca="1" si="1"/>
        <v>402.4</v>
      </c>
      <c r="D4" s="368">
        <f t="shared" ca="1" si="1"/>
        <v>1286</v>
      </c>
      <c r="E4" s="368">
        <f t="shared" ca="1" si="1"/>
        <v>1257</v>
      </c>
      <c r="F4" s="368">
        <f t="shared" ca="1" si="1"/>
        <v>1042</v>
      </c>
      <c r="G4" s="368">
        <f t="shared" ca="1" si="1"/>
        <v>1027</v>
      </c>
      <c r="H4" s="368">
        <f t="shared" ca="1" si="1"/>
        <v>998.4</v>
      </c>
      <c r="I4" s="368">
        <f t="shared" ca="1" si="1"/>
        <v>901.4</v>
      </c>
      <c r="J4" s="368">
        <f t="shared" ca="1" si="1"/>
        <v>849.6</v>
      </c>
      <c r="K4" s="368">
        <f t="shared" ca="1" si="1"/>
        <v>763.5</v>
      </c>
      <c r="L4" s="368">
        <f t="shared" ca="1" si="1"/>
        <v>707.1</v>
      </c>
      <c r="M4" s="368">
        <f t="shared" ca="1" si="1"/>
        <v>655.1</v>
      </c>
      <c r="N4" s="368">
        <f t="shared" ca="1" si="1"/>
        <v>651.70000000000005</v>
      </c>
      <c r="O4" s="368">
        <f t="shared" ca="1" si="1"/>
        <v>624.1</v>
      </c>
      <c r="P4" s="368">
        <f t="shared" ca="1" si="1"/>
        <v>601.29999999999995</v>
      </c>
      <c r="Q4" s="368">
        <f t="shared" ca="1" si="1"/>
        <v>536.20000000000005</v>
      </c>
      <c r="R4" s="368">
        <f t="shared" ca="1" si="1"/>
        <v>415.7</v>
      </c>
      <c r="S4" s="368">
        <f t="shared" ca="1" si="1"/>
        <v>270.2</v>
      </c>
      <c r="T4" s="368">
        <f t="shared" ca="1" si="1"/>
        <v>140.19999999999999</v>
      </c>
      <c r="U4" s="368">
        <f t="shared" ca="1" si="1"/>
        <v>76.900000000000006</v>
      </c>
      <c r="V4" s="368">
        <f t="shared" ca="1" si="1"/>
        <v>54.9</v>
      </c>
      <c r="W4" s="368">
        <f t="shared" ca="1" si="1"/>
        <v>40.200000000000003</v>
      </c>
      <c r="X4" s="368">
        <f ca="1">INDIRECT(ADDRESS($B2+2,COLUMN(X3)))</f>
        <v>0</v>
      </c>
      <c r="Y4" s="369">
        <f t="shared" ca="1" si="1"/>
        <v>0</v>
      </c>
    </row>
    <row r="5" spans="1:26" x14ac:dyDescent="0.2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6" x14ac:dyDescent="0.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6" x14ac:dyDescent="0.2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26" x14ac:dyDescent="0.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26" x14ac:dyDescent="0.2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26" x14ac:dyDescent="0.2">
      <c r="B10" s="12"/>
      <c r="C10" s="12"/>
      <c r="D10" s="12"/>
      <c r="E10" s="12"/>
      <c r="F10" s="12"/>
      <c r="G10" s="12"/>
      <c r="H10" s="12"/>
      <c r="I10" s="12"/>
      <c r="J10" s="12"/>
    </row>
    <row r="11" spans="1:26" x14ac:dyDescent="0.2">
      <c r="B11" s="12"/>
      <c r="C11" s="12"/>
      <c r="D11" s="12"/>
      <c r="E11" s="12"/>
      <c r="F11" s="12"/>
      <c r="G11" s="12"/>
      <c r="H11" s="12"/>
      <c r="I11" s="12"/>
      <c r="J11" s="12"/>
    </row>
    <row r="12" spans="1:26" x14ac:dyDescent="0.2">
      <c r="B12" s="12"/>
      <c r="C12" s="12"/>
      <c r="D12" s="12"/>
      <c r="E12" s="12"/>
      <c r="F12" s="12"/>
      <c r="G12" s="12"/>
      <c r="H12" s="12"/>
      <c r="I12" s="12"/>
      <c r="J12" s="12"/>
    </row>
    <row r="13" spans="1:26" x14ac:dyDescent="0.2">
      <c r="B13" s="12"/>
      <c r="C13" s="12"/>
      <c r="D13" s="12"/>
      <c r="E13" s="12"/>
      <c r="F13" s="12"/>
      <c r="G13" s="12"/>
      <c r="H13" s="12"/>
      <c r="I13" s="12"/>
      <c r="J13" s="12"/>
    </row>
    <row r="14" spans="1:26" x14ac:dyDescent="0.2">
      <c r="B14" s="12"/>
      <c r="C14" s="12"/>
      <c r="D14" s="12"/>
      <c r="E14" s="12"/>
      <c r="F14" s="12"/>
      <c r="G14" s="12"/>
      <c r="H14" s="12"/>
      <c r="I14" s="12"/>
      <c r="J14" s="12"/>
    </row>
    <row r="15" spans="1:26" x14ac:dyDescent="0.2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26" x14ac:dyDescent="0.2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25" x14ac:dyDescent="0.2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25" x14ac:dyDescent="0.2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2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2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x14ac:dyDescent="0.2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x14ac:dyDescent="0.2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x14ac:dyDescent="0.2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5" spans="1:25" ht="13.5" thickBot="1" x14ac:dyDescent="0.25">
      <c r="A25" s="6" t="s">
        <v>281</v>
      </c>
    </row>
    <row r="26" spans="1:25" ht="13.5" thickBot="1" x14ac:dyDescent="0.25">
      <c r="A26" s="361" t="s">
        <v>314</v>
      </c>
      <c r="B26" s="359">
        <f>ROW(A26)</f>
        <v>26</v>
      </c>
      <c r="C26" s="363" t="s">
        <v>118</v>
      </c>
      <c r="D26" s="353">
        <f>SUM(B29:Y29)</f>
        <v>9.8449999999999989</v>
      </c>
      <c r="E26" s="363" t="s">
        <v>117</v>
      </c>
      <c r="F26" s="399">
        <f>D26/g/J26</f>
        <v>3.3452259599048584</v>
      </c>
      <c r="G26" s="363" t="s">
        <v>59</v>
      </c>
      <c r="H26" s="64">
        <v>0.3</v>
      </c>
      <c r="I26" s="363" t="s">
        <v>276</v>
      </c>
      <c r="J26" s="355">
        <f>H26-L26</f>
        <v>0.3</v>
      </c>
      <c r="K26" s="363" t="s">
        <v>277</v>
      </c>
      <c r="L26" s="64">
        <v>0</v>
      </c>
      <c r="M26" s="363" t="s">
        <v>60</v>
      </c>
      <c r="N26" s="65">
        <f>0.2*R26</f>
        <v>60</v>
      </c>
      <c r="O26" s="363" t="s">
        <v>62</v>
      </c>
      <c r="P26" s="65">
        <v>150</v>
      </c>
      <c r="Q26" s="363" t="s">
        <v>63</v>
      </c>
      <c r="R26" s="65">
        <v>300</v>
      </c>
      <c r="S26" s="363" t="s">
        <v>64</v>
      </c>
      <c r="T26" s="65">
        <v>90</v>
      </c>
      <c r="U26" s="363" t="s">
        <v>57</v>
      </c>
      <c r="V26" s="66" t="s">
        <v>281</v>
      </c>
      <c r="W26" s="12"/>
      <c r="X26" s="12"/>
      <c r="Y26" s="12"/>
    </row>
    <row r="27" spans="1:25" x14ac:dyDescent="0.2">
      <c r="A27" s="362" t="s">
        <v>33</v>
      </c>
      <c r="B27" s="370">
        <v>0</v>
      </c>
      <c r="C27" s="371">
        <v>1E-3</v>
      </c>
      <c r="D27" s="371">
        <v>0.02</v>
      </c>
      <c r="E27" s="371">
        <v>3.7999999999999999E-2</v>
      </c>
      <c r="F27" s="371">
        <v>0.04</v>
      </c>
      <c r="G27" s="371">
        <v>0.04</v>
      </c>
      <c r="H27" s="371">
        <v>0.04</v>
      </c>
      <c r="I27" s="371">
        <v>0.04</v>
      </c>
      <c r="J27" s="371">
        <v>0.04</v>
      </c>
      <c r="K27" s="371">
        <v>0.04</v>
      </c>
      <c r="L27" s="371">
        <v>0.04</v>
      </c>
      <c r="M27" s="371">
        <v>0.04</v>
      </c>
      <c r="N27" s="371">
        <v>0.04</v>
      </c>
      <c r="O27" s="371">
        <v>0.04</v>
      </c>
      <c r="P27" s="371">
        <v>0.04</v>
      </c>
      <c r="Q27" s="371">
        <v>0.04</v>
      </c>
      <c r="R27" s="371">
        <v>0.04</v>
      </c>
      <c r="S27" s="371">
        <v>0.04</v>
      </c>
      <c r="T27" s="371">
        <v>0.04</v>
      </c>
      <c r="U27" s="371">
        <v>0.04</v>
      </c>
      <c r="V27" s="371">
        <v>0.04</v>
      </c>
      <c r="W27" s="371">
        <v>0.04</v>
      </c>
      <c r="X27" s="371">
        <v>0.04</v>
      </c>
      <c r="Y27" s="381">
        <v>1000</v>
      </c>
    </row>
    <row r="28" spans="1:25" x14ac:dyDescent="0.2">
      <c r="A28" s="378" t="s">
        <v>34</v>
      </c>
      <c r="B28" s="372">
        <v>0</v>
      </c>
      <c r="C28" s="373">
        <v>310</v>
      </c>
      <c r="D28" s="373">
        <v>250</v>
      </c>
      <c r="E28" s="373">
        <v>212</v>
      </c>
      <c r="F28" s="373">
        <v>0</v>
      </c>
      <c r="G28" s="373">
        <v>0</v>
      </c>
      <c r="H28" s="373">
        <v>0</v>
      </c>
      <c r="I28" s="373">
        <v>0</v>
      </c>
      <c r="J28" s="373">
        <v>0</v>
      </c>
      <c r="K28" s="373">
        <v>0</v>
      </c>
      <c r="L28" s="373">
        <v>0</v>
      </c>
      <c r="M28" s="373">
        <v>0</v>
      </c>
      <c r="N28" s="373">
        <v>0</v>
      </c>
      <c r="O28" s="373">
        <v>0</v>
      </c>
      <c r="P28" s="373">
        <v>0</v>
      </c>
      <c r="Q28" s="373">
        <v>0</v>
      </c>
      <c r="R28" s="373">
        <v>0</v>
      </c>
      <c r="S28" s="373">
        <v>0</v>
      </c>
      <c r="T28" s="373">
        <v>0</v>
      </c>
      <c r="U28" s="373">
        <v>0</v>
      </c>
      <c r="V28" s="373">
        <v>0</v>
      </c>
      <c r="W28" s="373">
        <v>0</v>
      </c>
      <c r="X28" s="373">
        <v>0</v>
      </c>
      <c r="Y28" s="382">
        <v>0</v>
      </c>
    </row>
    <row r="29" spans="1:25" ht="13.5" thickBot="1" x14ac:dyDescent="0.25">
      <c r="A29" s="379" t="s">
        <v>119</v>
      </c>
      <c r="B29" s="374">
        <f t="shared" ref="B29:X29" si="2">(C28+B28)*(C27-B27)/2</f>
        <v>0.155</v>
      </c>
      <c r="C29" s="375">
        <f t="shared" si="2"/>
        <v>5.32</v>
      </c>
      <c r="D29" s="375">
        <f t="shared" si="2"/>
        <v>4.1579999999999995</v>
      </c>
      <c r="E29" s="375">
        <f t="shared" si="2"/>
        <v>0.21200000000000019</v>
      </c>
      <c r="F29" s="375">
        <f t="shared" si="2"/>
        <v>0</v>
      </c>
      <c r="G29" s="375">
        <f t="shared" si="2"/>
        <v>0</v>
      </c>
      <c r="H29" s="375">
        <f t="shared" si="2"/>
        <v>0</v>
      </c>
      <c r="I29" s="375">
        <f t="shared" si="2"/>
        <v>0</v>
      </c>
      <c r="J29" s="375">
        <f t="shared" si="2"/>
        <v>0</v>
      </c>
      <c r="K29" s="375">
        <f t="shared" si="2"/>
        <v>0</v>
      </c>
      <c r="L29" s="375">
        <f t="shared" si="2"/>
        <v>0</v>
      </c>
      <c r="M29" s="375">
        <f t="shared" si="2"/>
        <v>0</v>
      </c>
      <c r="N29" s="375">
        <f t="shared" si="2"/>
        <v>0</v>
      </c>
      <c r="O29" s="375">
        <f t="shared" si="2"/>
        <v>0</v>
      </c>
      <c r="P29" s="375">
        <f t="shared" si="2"/>
        <v>0</v>
      </c>
      <c r="Q29" s="375">
        <f t="shared" si="2"/>
        <v>0</v>
      </c>
      <c r="R29" s="375">
        <f t="shared" si="2"/>
        <v>0</v>
      </c>
      <c r="S29" s="375">
        <f t="shared" si="2"/>
        <v>0</v>
      </c>
      <c r="T29" s="375">
        <f t="shared" si="2"/>
        <v>0</v>
      </c>
      <c r="U29" s="375">
        <f t="shared" si="2"/>
        <v>0</v>
      </c>
      <c r="V29" s="375">
        <f t="shared" si="2"/>
        <v>0</v>
      </c>
      <c r="W29" s="375">
        <f t="shared" si="2"/>
        <v>0</v>
      </c>
      <c r="X29" s="375">
        <f t="shared" si="2"/>
        <v>0</v>
      </c>
      <c r="Y29" s="369"/>
    </row>
    <row r="30" spans="1:25" ht="13.5" thickBot="1" x14ac:dyDescent="0.25">
      <c r="A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3.5" thickBot="1" x14ac:dyDescent="0.25">
      <c r="A31" s="361" t="s">
        <v>315</v>
      </c>
      <c r="B31" s="359">
        <f>ROW(A31)</f>
        <v>31</v>
      </c>
      <c r="C31" s="363" t="s">
        <v>118</v>
      </c>
      <c r="D31" s="353">
        <f>SUM(B34:Y34)</f>
        <v>13.814500000000002</v>
      </c>
      <c r="E31" s="363" t="s">
        <v>117</v>
      </c>
      <c r="F31" s="399">
        <f>D31/g/J31</f>
        <v>3.1293464718541175</v>
      </c>
      <c r="G31" s="363" t="s">
        <v>59</v>
      </c>
      <c r="H31" s="64">
        <v>0.45</v>
      </c>
      <c r="I31" s="363" t="s">
        <v>276</v>
      </c>
      <c r="J31" s="355">
        <f>H31-L31</f>
        <v>0.45</v>
      </c>
      <c r="K31" s="363" t="s">
        <v>277</v>
      </c>
      <c r="L31" s="64">
        <v>0</v>
      </c>
      <c r="M31" s="363" t="s">
        <v>60</v>
      </c>
      <c r="N31" s="65">
        <f>0.3*R31</f>
        <v>90</v>
      </c>
      <c r="O31" s="363" t="s">
        <v>62</v>
      </c>
      <c r="P31" s="65">
        <v>150</v>
      </c>
      <c r="Q31" s="363" t="s">
        <v>63</v>
      </c>
      <c r="R31" s="65">
        <v>300</v>
      </c>
      <c r="S31" s="363" t="s">
        <v>64</v>
      </c>
      <c r="T31" s="65">
        <v>90</v>
      </c>
      <c r="U31" s="363" t="s">
        <v>57</v>
      </c>
      <c r="V31" s="66" t="s">
        <v>281</v>
      </c>
      <c r="W31" s="12"/>
      <c r="X31" s="12"/>
      <c r="Y31" s="12"/>
    </row>
    <row r="32" spans="1:25" x14ac:dyDescent="0.2">
      <c r="A32" s="362" t="s">
        <v>33</v>
      </c>
      <c r="B32" s="370">
        <v>0</v>
      </c>
      <c r="C32" s="371">
        <v>1E-3</v>
      </c>
      <c r="D32" s="371">
        <v>0.02</v>
      </c>
      <c r="E32" s="371">
        <v>0.04</v>
      </c>
      <c r="F32" s="371">
        <v>6.0999999999999999E-2</v>
      </c>
      <c r="G32" s="371">
        <v>6.2E-2</v>
      </c>
      <c r="H32" s="371">
        <v>6.2E-2</v>
      </c>
      <c r="I32" s="371">
        <v>6.2E-2</v>
      </c>
      <c r="J32" s="371">
        <v>6.2E-2</v>
      </c>
      <c r="K32" s="371">
        <v>6.2E-2</v>
      </c>
      <c r="L32" s="371">
        <v>6.2E-2</v>
      </c>
      <c r="M32" s="371">
        <v>6.2E-2</v>
      </c>
      <c r="N32" s="371">
        <v>6.2E-2</v>
      </c>
      <c r="O32" s="371">
        <v>6.2E-2</v>
      </c>
      <c r="P32" s="371">
        <v>6.2E-2</v>
      </c>
      <c r="Q32" s="371">
        <v>6.2E-2</v>
      </c>
      <c r="R32" s="371">
        <v>6.2E-2</v>
      </c>
      <c r="S32" s="371">
        <v>6.2E-2</v>
      </c>
      <c r="T32" s="371">
        <v>6.2E-2</v>
      </c>
      <c r="U32" s="371">
        <v>6.2E-2</v>
      </c>
      <c r="V32" s="371">
        <v>6.2E-2</v>
      </c>
      <c r="W32" s="371">
        <v>6.2E-2</v>
      </c>
      <c r="X32" s="371">
        <v>6.2E-2</v>
      </c>
      <c r="Y32" s="381">
        <v>1000</v>
      </c>
    </row>
    <row r="33" spans="1:25" x14ac:dyDescent="0.2">
      <c r="A33" s="378" t="s">
        <v>34</v>
      </c>
      <c r="B33" s="372">
        <v>0</v>
      </c>
      <c r="C33" s="373">
        <v>310</v>
      </c>
      <c r="D33" s="373">
        <v>245</v>
      </c>
      <c r="E33" s="373">
        <v>200</v>
      </c>
      <c r="F33" s="373">
        <v>167</v>
      </c>
      <c r="G33" s="373">
        <v>0</v>
      </c>
      <c r="H33" s="373">
        <v>0</v>
      </c>
      <c r="I33" s="373">
        <v>0</v>
      </c>
      <c r="J33" s="373">
        <v>0</v>
      </c>
      <c r="K33" s="373">
        <v>0</v>
      </c>
      <c r="L33" s="373">
        <v>0</v>
      </c>
      <c r="M33" s="373">
        <v>0</v>
      </c>
      <c r="N33" s="373">
        <v>0</v>
      </c>
      <c r="O33" s="373">
        <v>0</v>
      </c>
      <c r="P33" s="373">
        <v>0</v>
      </c>
      <c r="Q33" s="373">
        <v>0</v>
      </c>
      <c r="R33" s="373">
        <v>0</v>
      </c>
      <c r="S33" s="373">
        <v>0</v>
      </c>
      <c r="T33" s="373">
        <v>0</v>
      </c>
      <c r="U33" s="373">
        <v>0</v>
      </c>
      <c r="V33" s="373">
        <v>0</v>
      </c>
      <c r="W33" s="373">
        <v>0</v>
      </c>
      <c r="X33" s="373">
        <v>0</v>
      </c>
      <c r="Y33" s="382">
        <v>0</v>
      </c>
    </row>
    <row r="34" spans="1:25" ht="13.5" thickBot="1" x14ac:dyDescent="0.25">
      <c r="A34" s="379" t="s">
        <v>119</v>
      </c>
      <c r="B34" s="374">
        <f t="shared" ref="B34:X34" si="3">(C33+B33)*(C32-B32)/2</f>
        <v>0.155</v>
      </c>
      <c r="C34" s="375">
        <f t="shared" si="3"/>
        <v>5.2725</v>
      </c>
      <c r="D34" s="375">
        <f t="shared" si="3"/>
        <v>4.45</v>
      </c>
      <c r="E34" s="375">
        <f t="shared" si="3"/>
        <v>3.8534999999999995</v>
      </c>
      <c r="F34" s="375">
        <f t="shared" si="3"/>
        <v>8.3500000000000074E-2</v>
      </c>
      <c r="G34" s="375">
        <f t="shared" si="3"/>
        <v>0</v>
      </c>
      <c r="H34" s="375">
        <f t="shared" si="3"/>
        <v>0</v>
      </c>
      <c r="I34" s="375">
        <f t="shared" si="3"/>
        <v>0</v>
      </c>
      <c r="J34" s="375">
        <f t="shared" si="3"/>
        <v>0</v>
      </c>
      <c r="K34" s="375">
        <f t="shared" si="3"/>
        <v>0</v>
      </c>
      <c r="L34" s="375">
        <f t="shared" si="3"/>
        <v>0</v>
      </c>
      <c r="M34" s="375">
        <f t="shared" si="3"/>
        <v>0</v>
      </c>
      <c r="N34" s="375">
        <f t="shared" si="3"/>
        <v>0</v>
      </c>
      <c r="O34" s="375">
        <f t="shared" si="3"/>
        <v>0</v>
      </c>
      <c r="P34" s="375">
        <f t="shared" si="3"/>
        <v>0</v>
      </c>
      <c r="Q34" s="375">
        <f t="shared" si="3"/>
        <v>0</v>
      </c>
      <c r="R34" s="375">
        <f t="shared" si="3"/>
        <v>0</v>
      </c>
      <c r="S34" s="375">
        <f t="shared" si="3"/>
        <v>0</v>
      </c>
      <c r="T34" s="375">
        <f t="shared" si="3"/>
        <v>0</v>
      </c>
      <c r="U34" s="375">
        <f t="shared" si="3"/>
        <v>0</v>
      </c>
      <c r="V34" s="375">
        <f t="shared" si="3"/>
        <v>0</v>
      </c>
      <c r="W34" s="375">
        <f t="shared" si="3"/>
        <v>0</v>
      </c>
      <c r="X34" s="375">
        <f t="shared" si="3"/>
        <v>0</v>
      </c>
      <c r="Y34" s="369"/>
    </row>
    <row r="35" spans="1:25" ht="13.5" thickBot="1" x14ac:dyDescent="0.2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3.5" thickBot="1" x14ac:dyDescent="0.25">
      <c r="A36" s="361" t="s">
        <v>316</v>
      </c>
      <c r="B36" s="359">
        <f>ROW(A36)</f>
        <v>36</v>
      </c>
      <c r="C36" s="363" t="s">
        <v>118</v>
      </c>
      <c r="D36" s="353">
        <f>SUM(B39:Y39)</f>
        <v>17.144499999999997</v>
      </c>
      <c r="E36" s="363" t="s">
        <v>117</v>
      </c>
      <c r="F36" s="399">
        <f>D36/g/J36</f>
        <v>2.9127590893645934</v>
      </c>
      <c r="G36" s="363" t="s">
        <v>59</v>
      </c>
      <c r="H36" s="64">
        <v>0.6</v>
      </c>
      <c r="I36" s="363" t="s">
        <v>276</v>
      </c>
      <c r="J36" s="355">
        <f>H36-L36</f>
        <v>0.6</v>
      </c>
      <c r="K36" s="363" t="s">
        <v>277</v>
      </c>
      <c r="L36" s="64">
        <v>0</v>
      </c>
      <c r="M36" s="363" t="s">
        <v>60</v>
      </c>
      <c r="N36" s="65">
        <f>0.4*R36</f>
        <v>120</v>
      </c>
      <c r="O36" s="363" t="s">
        <v>62</v>
      </c>
      <c r="P36" s="65">
        <v>150</v>
      </c>
      <c r="Q36" s="363" t="s">
        <v>63</v>
      </c>
      <c r="R36" s="65">
        <v>300</v>
      </c>
      <c r="S36" s="363" t="s">
        <v>64</v>
      </c>
      <c r="T36" s="65">
        <v>90</v>
      </c>
      <c r="U36" s="363" t="s">
        <v>57</v>
      </c>
      <c r="V36" s="66" t="s">
        <v>281</v>
      </c>
      <c r="W36" s="12"/>
      <c r="X36" s="12"/>
      <c r="Y36" s="12"/>
    </row>
    <row r="37" spans="1:25" x14ac:dyDescent="0.2">
      <c r="A37" s="362" t="s">
        <v>33</v>
      </c>
      <c r="B37" s="370">
        <v>0</v>
      </c>
      <c r="C37" s="371">
        <v>1E-3</v>
      </c>
      <c r="D37" s="371">
        <v>0.02</v>
      </c>
      <c r="E37" s="371">
        <v>0.04</v>
      </c>
      <c r="F37" s="371">
        <v>0.06</v>
      </c>
      <c r="G37" s="371">
        <v>0.08</v>
      </c>
      <c r="H37" s="371">
        <v>8.7999999999999995E-2</v>
      </c>
      <c r="I37" s="371">
        <v>8.8999999999999996E-2</v>
      </c>
      <c r="J37" s="371">
        <v>8.8999999999999996E-2</v>
      </c>
      <c r="K37" s="371">
        <v>8.8999999999999996E-2</v>
      </c>
      <c r="L37" s="371">
        <v>8.8999999999999996E-2</v>
      </c>
      <c r="M37" s="371">
        <v>8.8999999999999996E-2</v>
      </c>
      <c r="N37" s="371">
        <v>8.8999999999999996E-2</v>
      </c>
      <c r="O37" s="371">
        <v>8.8999999999999996E-2</v>
      </c>
      <c r="P37" s="371">
        <v>8.8999999999999996E-2</v>
      </c>
      <c r="Q37" s="371">
        <v>8.8999999999999996E-2</v>
      </c>
      <c r="R37" s="371">
        <v>8.8999999999999996E-2</v>
      </c>
      <c r="S37" s="371">
        <v>8.8999999999999996E-2</v>
      </c>
      <c r="T37" s="371">
        <v>8.8999999999999996E-2</v>
      </c>
      <c r="U37" s="371">
        <v>8.8999999999999996E-2</v>
      </c>
      <c r="V37" s="371">
        <v>8.8999999999999996E-2</v>
      </c>
      <c r="W37" s="371">
        <v>8.8999999999999996E-2</v>
      </c>
      <c r="X37" s="371">
        <v>8.8999999999999996E-2</v>
      </c>
      <c r="Y37" s="381">
        <v>1000</v>
      </c>
    </row>
    <row r="38" spans="1:25" x14ac:dyDescent="0.2">
      <c r="A38" s="378" t="s">
        <v>34</v>
      </c>
      <c r="B38" s="372">
        <v>0</v>
      </c>
      <c r="C38" s="373">
        <v>310</v>
      </c>
      <c r="D38" s="373">
        <v>240</v>
      </c>
      <c r="E38" s="373">
        <v>190</v>
      </c>
      <c r="F38" s="373">
        <v>157</v>
      </c>
      <c r="G38" s="373">
        <v>133</v>
      </c>
      <c r="H38" s="373">
        <v>125</v>
      </c>
      <c r="I38" s="373">
        <v>0</v>
      </c>
      <c r="J38" s="373">
        <v>0</v>
      </c>
      <c r="K38" s="373">
        <v>0</v>
      </c>
      <c r="L38" s="373">
        <v>0</v>
      </c>
      <c r="M38" s="373">
        <v>0</v>
      </c>
      <c r="N38" s="373">
        <v>0</v>
      </c>
      <c r="O38" s="373">
        <v>0</v>
      </c>
      <c r="P38" s="373">
        <v>0</v>
      </c>
      <c r="Q38" s="373">
        <v>0</v>
      </c>
      <c r="R38" s="373">
        <v>0</v>
      </c>
      <c r="S38" s="373">
        <v>0</v>
      </c>
      <c r="T38" s="373">
        <v>0</v>
      </c>
      <c r="U38" s="373">
        <v>0</v>
      </c>
      <c r="V38" s="373">
        <v>0</v>
      </c>
      <c r="W38" s="373">
        <v>0</v>
      </c>
      <c r="X38" s="373">
        <v>0</v>
      </c>
      <c r="Y38" s="382">
        <v>0</v>
      </c>
    </row>
    <row r="39" spans="1:25" ht="13.5" thickBot="1" x14ac:dyDescent="0.25">
      <c r="A39" s="379" t="s">
        <v>119</v>
      </c>
      <c r="B39" s="374">
        <f t="shared" ref="B39:X39" si="4">(C38+B38)*(C37-B37)/2</f>
        <v>0.155</v>
      </c>
      <c r="C39" s="375">
        <f t="shared" si="4"/>
        <v>5.2249999999999996</v>
      </c>
      <c r="D39" s="375">
        <f t="shared" si="4"/>
        <v>4.3</v>
      </c>
      <c r="E39" s="375">
        <f t="shared" si="4"/>
        <v>3.4699999999999993</v>
      </c>
      <c r="F39" s="375">
        <f t="shared" si="4"/>
        <v>2.9000000000000004</v>
      </c>
      <c r="G39" s="375">
        <f t="shared" si="4"/>
        <v>1.0319999999999991</v>
      </c>
      <c r="H39" s="375">
        <f t="shared" si="4"/>
        <v>6.2500000000000056E-2</v>
      </c>
      <c r="I39" s="375">
        <f t="shared" si="4"/>
        <v>0</v>
      </c>
      <c r="J39" s="375">
        <f t="shared" si="4"/>
        <v>0</v>
      </c>
      <c r="K39" s="375">
        <f t="shared" si="4"/>
        <v>0</v>
      </c>
      <c r="L39" s="375">
        <f t="shared" si="4"/>
        <v>0</v>
      </c>
      <c r="M39" s="375">
        <f t="shared" si="4"/>
        <v>0</v>
      </c>
      <c r="N39" s="375">
        <f t="shared" si="4"/>
        <v>0</v>
      </c>
      <c r="O39" s="375">
        <f t="shared" si="4"/>
        <v>0</v>
      </c>
      <c r="P39" s="375">
        <f t="shared" si="4"/>
        <v>0</v>
      </c>
      <c r="Q39" s="375">
        <f t="shared" si="4"/>
        <v>0</v>
      </c>
      <c r="R39" s="375">
        <f t="shared" si="4"/>
        <v>0</v>
      </c>
      <c r="S39" s="375">
        <f t="shared" si="4"/>
        <v>0</v>
      </c>
      <c r="T39" s="375">
        <f t="shared" si="4"/>
        <v>0</v>
      </c>
      <c r="U39" s="375">
        <f t="shared" si="4"/>
        <v>0</v>
      </c>
      <c r="V39" s="375">
        <f t="shared" si="4"/>
        <v>0</v>
      </c>
      <c r="W39" s="375">
        <f t="shared" si="4"/>
        <v>0</v>
      </c>
      <c r="X39" s="375">
        <f t="shared" si="4"/>
        <v>0</v>
      </c>
      <c r="Y39" s="369"/>
    </row>
    <row r="40" spans="1:25" ht="13.5" thickBot="1" x14ac:dyDescent="0.25">
      <c r="A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3.5" thickBot="1" x14ac:dyDescent="0.25">
      <c r="A41" s="361" t="s">
        <v>317</v>
      </c>
      <c r="B41" s="359">
        <f>ROW(A41)</f>
        <v>41</v>
      </c>
      <c r="C41" s="363" t="s">
        <v>118</v>
      </c>
      <c r="D41" s="353">
        <f>SUM(B44:Y44)</f>
        <v>19.415000000000003</v>
      </c>
      <c r="E41" s="363" t="s">
        <v>117</v>
      </c>
      <c r="F41" s="399">
        <f>D41/g/J41</f>
        <v>2.6388039415562354</v>
      </c>
      <c r="G41" s="363" t="s">
        <v>59</v>
      </c>
      <c r="H41" s="64">
        <v>0.75</v>
      </c>
      <c r="I41" s="363" t="s">
        <v>276</v>
      </c>
      <c r="J41" s="355">
        <f>H41-L41</f>
        <v>0.75</v>
      </c>
      <c r="K41" s="363" t="s">
        <v>277</v>
      </c>
      <c r="L41" s="64">
        <v>0</v>
      </c>
      <c r="M41" s="363" t="s">
        <v>60</v>
      </c>
      <c r="N41" s="65">
        <f>0.5*R41</f>
        <v>150</v>
      </c>
      <c r="O41" s="363" t="s">
        <v>62</v>
      </c>
      <c r="P41" s="65">
        <v>150</v>
      </c>
      <c r="Q41" s="363" t="s">
        <v>63</v>
      </c>
      <c r="R41" s="65">
        <v>300</v>
      </c>
      <c r="S41" s="363" t="s">
        <v>64</v>
      </c>
      <c r="T41" s="65">
        <v>90</v>
      </c>
      <c r="U41" s="363" t="s">
        <v>57</v>
      </c>
      <c r="V41" s="66" t="s">
        <v>281</v>
      </c>
      <c r="W41" s="12"/>
      <c r="X41" s="12"/>
      <c r="Y41" s="12"/>
    </row>
    <row r="42" spans="1:25" x14ac:dyDescent="0.2">
      <c r="A42" s="362" t="s">
        <v>33</v>
      </c>
      <c r="B42" s="370">
        <v>0</v>
      </c>
      <c r="C42" s="371">
        <v>1E-3</v>
      </c>
      <c r="D42" s="371">
        <v>0.02</v>
      </c>
      <c r="E42" s="371">
        <v>0.04</v>
      </c>
      <c r="F42" s="371">
        <v>0.06</v>
      </c>
      <c r="G42" s="371">
        <v>0.08</v>
      </c>
      <c r="H42" s="371">
        <v>0.1</v>
      </c>
      <c r="I42" s="371">
        <v>0.123</v>
      </c>
      <c r="J42" s="371">
        <v>0.124</v>
      </c>
      <c r="K42" s="371">
        <v>0.124</v>
      </c>
      <c r="L42" s="371">
        <v>0.124</v>
      </c>
      <c r="M42" s="371">
        <v>0.124</v>
      </c>
      <c r="N42" s="371">
        <v>0.124</v>
      </c>
      <c r="O42" s="371">
        <v>0.124</v>
      </c>
      <c r="P42" s="371">
        <v>0.124</v>
      </c>
      <c r="Q42" s="371">
        <v>0.124</v>
      </c>
      <c r="R42" s="371">
        <v>0.124</v>
      </c>
      <c r="S42" s="371">
        <v>0.124</v>
      </c>
      <c r="T42" s="371">
        <v>0.124</v>
      </c>
      <c r="U42" s="371">
        <v>0.124</v>
      </c>
      <c r="V42" s="371">
        <v>0.124</v>
      </c>
      <c r="W42" s="371">
        <v>0.124</v>
      </c>
      <c r="X42" s="371">
        <v>0.124</v>
      </c>
      <c r="Y42" s="381">
        <v>1000</v>
      </c>
    </row>
    <row r="43" spans="1:25" x14ac:dyDescent="0.2">
      <c r="A43" s="378" t="s">
        <v>34</v>
      </c>
      <c r="B43" s="372">
        <v>0</v>
      </c>
      <c r="C43" s="373">
        <v>310</v>
      </c>
      <c r="D43" s="373">
        <v>230</v>
      </c>
      <c r="E43" s="373">
        <v>175</v>
      </c>
      <c r="F43" s="373">
        <v>140</v>
      </c>
      <c r="G43" s="373">
        <v>118</v>
      </c>
      <c r="H43" s="373">
        <v>100</v>
      </c>
      <c r="I43" s="373">
        <v>85</v>
      </c>
      <c r="J43" s="373">
        <v>0</v>
      </c>
      <c r="K43" s="373">
        <v>0</v>
      </c>
      <c r="L43" s="373">
        <v>0</v>
      </c>
      <c r="M43" s="373">
        <v>0</v>
      </c>
      <c r="N43" s="373">
        <v>0</v>
      </c>
      <c r="O43" s="373">
        <v>0</v>
      </c>
      <c r="P43" s="373">
        <v>0</v>
      </c>
      <c r="Q43" s="373">
        <v>0</v>
      </c>
      <c r="R43" s="373">
        <v>0</v>
      </c>
      <c r="S43" s="373">
        <v>0</v>
      </c>
      <c r="T43" s="373">
        <v>0</v>
      </c>
      <c r="U43" s="373">
        <v>0</v>
      </c>
      <c r="V43" s="373">
        <v>0</v>
      </c>
      <c r="W43" s="373">
        <v>0</v>
      </c>
      <c r="X43" s="373">
        <v>0</v>
      </c>
      <c r="Y43" s="382">
        <v>0</v>
      </c>
    </row>
    <row r="44" spans="1:25" ht="13.5" thickBot="1" x14ac:dyDescent="0.25">
      <c r="A44" s="379" t="s">
        <v>119</v>
      </c>
      <c r="B44" s="374">
        <f t="shared" ref="B44:X44" si="5">(C43+B43)*(C42-B42)/2</f>
        <v>0.155</v>
      </c>
      <c r="C44" s="375">
        <f t="shared" si="5"/>
        <v>5.13</v>
      </c>
      <c r="D44" s="375">
        <f t="shared" si="5"/>
        <v>4.05</v>
      </c>
      <c r="E44" s="375">
        <f t="shared" si="5"/>
        <v>3.1499999999999995</v>
      </c>
      <c r="F44" s="375">
        <f t="shared" si="5"/>
        <v>2.5800000000000005</v>
      </c>
      <c r="G44" s="375">
        <f t="shared" si="5"/>
        <v>2.1800000000000006</v>
      </c>
      <c r="H44" s="375">
        <f t="shared" si="5"/>
        <v>2.1274999999999995</v>
      </c>
      <c r="I44" s="375">
        <f t="shared" si="5"/>
        <v>4.2500000000000038E-2</v>
      </c>
      <c r="J44" s="375">
        <f t="shared" si="5"/>
        <v>0</v>
      </c>
      <c r="K44" s="375">
        <f t="shared" si="5"/>
        <v>0</v>
      </c>
      <c r="L44" s="375">
        <f t="shared" si="5"/>
        <v>0</v>
      </c>
      <c r="M44" s="375">
        <f t="shared" si="5"/>
        <v>0</v>
      </c>
      <c r="N44" s="375">
        <f t="shared" si="5"/>
        <v>0</v>
      </c>
      <c r="O44" s="375">
        <f t="shared" si="5"/>
        <v>0</v>
      </c>
      <c r="P44" s="375">
        <f t="shared" si="5"/>
        <v>0</v>
      </c>
      <c r="Q44" s="375">
        <f t="shared" si="5"/>
        <v>0</v>
      </c>
      <c r="R44" s="375">
        <f t="shared" si="5"/>
        <v>0</v>
      </c>
      <c r="S44" s="375">
        <f t="shared" si="5"/>
        <v>0</v>
      </c>
      <c r="T44" s="375">
        <f t="shared" si="5"/>
        <v>0</v>
      </c>
      <c r="U44" s="375">
        <f t="shared" si="5"/>
        <v>0</v>
      </c>
      <c r="V44" s="375">
        <f t="shared" si="5"/>
        <v>0</v>
      </c>
      <c r="W44" s="375">
        <f t="shared" si="5"/>
        <v>0</v>
      </c>
      <c r="X44" s="375">
        <f t="shared" si="5"/>
        <v>0</v>
      </c>
      <c r="Y44" s="369"/>
    </row>
    <row r="45" spans="1:25" ht="13.5" thickBot="1" x14ac:dyDescent="0.25"/>
    <row r="46" spans="1:25" ht="13.5" thickBot="1" x14ac:dyDescent="0.25">
      <c r="A46" s="361" t="s">
        <v>282</v>
      </c>
      <c r="B46" s="359">
        <f>ROW(A46)</f>
        <v>46</v>
      </c>
      <c r="C46" s="363" t="s">
        <v>118</v>
      </c>
      <c r="D46" s="353">
        <f>SUM(B49:Y49)</f>
        <v>12.8695</v>
      </c>
      <c r="E46" s="363" t="s">
        <v>117</v>
      </c>
      <c r="F46" s="399">
        <f>D46/g/J46</f>
        <v>3.2796890927624869</v>
      </c>
      <c r="G46" s="363" t="s">
        <v>59</v>
      </c>
      <c r="H46" s="64">
        <v>0.5</v>
      </c>
      <c r="I46" s="363" t="s">
        <v>276</v>
      </c>
      <c r="J46" s="355">
        <f>H46-L46</f>
        <v>0.4</v>
      </c>
      <c r="K46" s="363" t="s">
        <v>277</v>
      </c>
      <c r="L46" s="64">
        <v>0.1</v>
      </c>
      <c r="M46" s="363" t="s">
        <v>60</v>
      </c>
      <c r="N46" s="65">
        <f>0.2*R46</f>
        <v>60</v>
      </c>
      <c r="O46" s="363" t="s">
        <v>62</v>
      </c>
      <c r="P46" s="65">
        <v>150</v>
      </c>
      <c r="Q46" s="363" t="s">
        <v>63</v>
      </c>
      <c r="R46" s="65">
        <v>300</v>
      </c>
      <c r="S46" s="363" t="s">
        <v>64</v>
      </c>
      <c r="T46" s="65">
        <v>98</v>
      </c>
      <c r="U46" s="363" t="s">
        <v>57</v>
      </c>
      <c r="V46" s="66" t="s">
        <v>281</v>
      </c>
      <c r="W46" s="12"/>
      <c r="X46" s="12"/>
      <c r="Y46" s="12"/>
    </row>
    <row r="47" spans="1:25" x14ac:dyDescent="0.2">
      <c r="A47" s="362" t="s">
        <v>33</v>
      </c>
      <c r="B47" s="370">
        <v>0</v>
      </c>
      <c r="C47" s="371">
        <v>1E-3</v>
      </c>
      <c r="D47" s="371">
        <v>0.02</v>
      </c>
      <c r="E47" s="371">
        <v>0.04</v>
      </c>
      <c r="F47" s="371">
        <v>0.05</v>
      </c>
      <c r="G47" s="371">
        <v>5.0999999999999997E-2</v>
      </c>
      <c r="H47" s="371">
        <v>5.0999999999999997E-2</v>
      </c>
      <c r="I47" s="371">
        <v>5.0999999999999997E-2</v>
      </c>
      <c r="J47" s="371">
        <v>5.0999999999999997E-2</v>
      </c>
      <c r="K47" s="371">
        <v>5.0999999999999997E-2</v>
      </c>
      <c r="L47" s="371">
        <v>5.0999999999999997E-2</v>
      </c>
      <c r="M47" s="371">
        <v>5.0999999999999997E-2</v>
      </c>
      <c r="N47" s="371">
        <v>5.0999999999999997E-2</v>
      </c>
      <c r="O47" s="371">
        <v>5.0999999999999997E-2</v>
      </c>
      <c r="P47" s="371">
        <v>5.0999999999999997E-2</v>
      </c>
      <c r="Q47" s="371">
        <v>5.0999999999999997E-2</v>
      </c>
      <c r="R47" s="371">
        <v>5.0999999999999997E-2</v>
      </c>
      <c r="S47" s="371">
        <v>5.0999999999999997E-2</v>
      </c>
      <c r="T47" s="371">
        <v>5.0999999999999997E-2</v>
      </c>
      <c r="U47" s="371">
        <v>5.0999999999999997E-2</v>
      </c>
      <c r="V47" s="371">
        <v>5.0999999999999997E-2</v>
      </c>
      <c r="W47" s="371">
        <v>5.0999999999999997E-2</v>
      </c>
      <c r="X47" s="371">
        <v>5.0999999999999997E-2</v>
      </c>
      <c r="Y47" s="381">
        <v>1000</v>
      </c>
    </row>
    <row r="48" spans="1:25" x14ac:dyDescent="0.2">
      <c r="A48" s="378" t="s">
        <v>34</v>
      </c>
      <c r="B48" s="372">
        <v>0</v>
      </c>
      <c r="C48" s="373">
        <v>310</v>
      </c>
      <c r="D48" s="373">
        <v>264</v>
      </c>
      <c r="E48" s="373">
        <v>230</v>
      </c>
      <c r="F48" s="373">
        <v>213</v>
      </c>
      <c r="G48" s="373">
        <v>0</v>
      </c>
      <c r="H48" s="373">
        <v>0</v>
      </c>
      <c r="I48" s="373">
        <v>0</v>
      </c>
      <c r="J48" s="373">
        <v>0</v>
      </c>
      <c r="K48" s="373">
        <v>0</v>
      </c>
      <c r="L48" s="373">
        <v>0</v>
      </c>
      <c r="M48" s="373">
        <v>0</v>
      </c>
      <c r="N48" s="373">
        <v>0</v>
      </c>
      <c r="O48" s="373">
        <v>0</v>
      </c>
      <c r="P48" s="373">
        <v>0</v>
      </c>
      <c r="Q48" s="373">
        <v>0</v>
      </c>
      <c r="R48" s="373">
        <v>0</v>
      </c>
      <c r="S48" s="373">
        <v>0</v>
      </c>
      <c r="T48" s="373">
        <v>0</v>
      </c>
      <c r="U48" s="373">
        <v>0</v>
      </c>
      <c r="V48" s="373">
        <v>0</v>
      </c>
      <c r="W48" s="373">
        <v>0</v>
      </c>
      <c r="X48" s="373">
        <v>0</v>
      </c>
      <c r="Y48" s="382">
        <v>0</v>
      </c>
    </row>
    <row r="49" spans="1:25" ht="13.5" thickBot="1" x14ac:dyDescent="0.25">
      <c r="A49" s="379" t="s">
        <v>119</v>
      </c>
      <c r="B49" s="374">
        <f t="shared" ref="B49:X49" si="6">(C48+B48)*(C47-B47)/2</f>
        <v>0.155</v>
      </c>
      <c r="C49" s="375">
        <f t="shared" si="6"/>
        <v>5.4530000000000003</v>
      </c>
      <c r="D49" s="375">
        <f t="shared" si="6"/>
        <v>4.9400000000000004</v>
      </c>
      <c r="E49" s="375">
        <f t="shared" si="6"/>
        <v>2.2150000000000003</v>
      </c>
      <c r="F49" s="375">
        <f t="shared" si="6"/>
        <v>0.10649999999999936</v>
      </c>
      <c r="G49" s="375">
        <f t="shared" si="6"/>
        <v>0</v>
      </c>
      <c r="H49" s="375">
        <f t="shared" si="6"/>
        <v>0</v>
      </c>
      <c r="I49" s="375">
        <f t="shared" si="6"/>
        <v>0</v>
      </c>
      <c r="J49" s="375">
        <f t="shared" si="6"/>
        <v>0</v>
      </c>
      <c r="K49" s="375">
        <f t="shared" si="6"/>
        <v>0</v>
      </c>
      <c r="L49" s="375">
        <f t="shared" si="6"/>
        <v>0</v>
      </c>
      <c r="M49" s="375">
        <f t="shared" si="6"/>
        <v>0</v>
      </c>
      <c r="N49" s="375">
        <f t="shared" si="6"/>
        <v>0</v>
      </c>
      <c r="O49" s="375">
        <f t="shared" si="6"/>
        <v>0</v>
      </c>
      <c r="P49" s="375">
        <f t="shared" si="6"/>
        <v>0</v>
      </c>
      <c r="Q49" s="375">
        <f t="shared" si="6"/>
        <v>0</v>
      </c>
      <c r="R49" s="375">
        <f t="shared" si="6"/>
        <v>0</v>
      </c>
      <c r="S49" s="375">
        <f t="shared" si="6"/>
        <v>0</v>
      </c>
      <c r="T49" s="375">
        <f t="shared" si="6"/>
        <v>0</v>
      </c>
      <c r="U49" s="375">
        <f t="shared" si="6"/>
        <v>0</v>
      </c>
      <c r="V49" s="375">
        <f t="shared" si="6"/>
        <v>0</v>
      </c>
      <c r="W49" s="375">
        <f t="shared" si="6"/>
        <v>0</v>
      </c>
      <c r="X49" s="375">
        <f t="shared" si="6"/>
        <v>0</v>
      </c>
      <c r="Y49" s="369"/>
    </row>
    <row r="50" spans="1:25" ht="13.5" thickBot="1" x14ac:dyDescent="0.25">
      <c r="A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3.5" thickBot="1" x14ac:dyDescent="0.25">
      <c r="A51" s="361" t="s">
        <v>283</v>
      </c>
      <c r="B51" s="359">
        <f>ROW(A51)</f>
        <v>51</v>
      </c>
      <c r="C51" s="363" t="s">
        <v>118</v>
      </c>
      <c r="D51" s="353">
        <f>SUM(B54:Y54)</f>
        <v>18.123500000000003</v>
      </c>
      <c r="E51" s="363" t="s">
        <v>117</v>
      </c>
      <c r="F51" s="399">
        <f>D51/g/J51</f>
        <v>3.0790859667006463</v>
      </c>
      <c r="G51" s="363" t="s">
        <v>59</v>
      </c>
      <c r="H51" s="64">
        <v>0.7</v>
      </c>
      <c r="I51" s="363" t="s">
        <v>276</v>
      </c>
      <c r="J51" s="355">
        <f>H51-L51</f>
        <v>0.6</v>
      </c>
      <c r="K51" s="363" t="s">
        <v>277</v>
      </c>
      <c r="L51" s="64">
        <v>0.1</v>
      </c>
      <c r="M51" s="363" t="s">
        <v>60</v>
      </c>
      <c r="N51" s="65">
        <f>0.3*R51</f>
        <v>90</v>
      </c>
      <c r="O51" s="363" t="s">
        <v>62</v>
      </c>
      <c r="P51" s="65">
        <v>150</v>
      </c>
      <c r="Q51" s="363" t="s">
        <v>63</v>
      </c>
      <c r="R51" s="65">
        <v>300</v>
      </c>
      <c r="S51" s="363" t="s">
        <v>64</v>
      </c>
      <c r="T51" s="65">
        <v>98</v>
      </c>
      <c r="U51" s="363" t="s">
        <v>57</v>
      </c>
      <c r="V51" s="66" t="s">
        <v>281</v>
      </c>
      <c r="W51" s="12"/>
      <c r="X51" s="12"/>
      <c r="Y51" s="12"/>
    </row>
    <row r="52" spans="1:25" x14ac:dyDescent="0.2">
      <c r="A52" s="362" t="s">
        <v>33</v>
      </c>
      <c r="B52" s="370">
        <v>0</v>
      </c>
      <c r="C52" s="371">
        <v>1E-3</v>
      </c>
      <c r="D52" s="371">
        <v>0.02</v>
      </c>
      <c r="E52" s="371">
        <v>0.04</v>
      </c>
      <c r="F52" s="371">
        <v>0.06</v>
      </c>
      <c r="G52" s="371">
        <v>0.08</v>
      </c>
      <c r="H52" s="371">
        <v>8.1000000000000003E-2</v>
      </c>
      <c r="I52" s="371">
        <v>8.1000000000000003E-2</v>
      </c>
      <c r="J52" s="371">
        <v>8.1000000000000003E-2</v>
      </c>
      <c r="K52" s="371">
        <v>8.1000000000000003E-2</v>
      </c>
      <c r="L52" s="371">
        <v>8.1000000000000003E-2</v>
      </c>
      <c r="M52" s="371">
        <v>8.1000000000000003E-2</v>
      </c>
      <c r="N52" s="371">
        <v>8.1000000000000003E-2</v>
      </c>
      <c r="O52" s="371">
        <v>8.1000000000000003E-2</v>
      </c>
      <c r="P52" s="371">
        <v>8.1000000000000003E-2</v>
      </c>
      <c r="Q52" s="371">
        <v>8.1000000000000003E-2</v>
      </c>
      <c r="R52" s="371">
        <v>8.1000000000000003E-2</v>
      </c>
      <c r="S52" s="371">
        <v>8.1000000000000003E-2</v>
      </c>
      <c r="T52" s="371">
        <v>8.1000000000000003E-2</v>
      </c>
      <c r="U52" s="371">
        <v>8.1000000000000003E-2</v>
      </c>
      <c r="V52" s="371">
        <v>8.1000000000000003E-2</v>
      </c>
      <c r="W52" s="371">
        <v>8.1000000000000003E-2</v>
      </c>
      <c r="X52" s="371">
        <v>8.1000000000000003E-2</v>
      </c>
      <c r="Y52" s="381">
        <v>1000</v>
      </c>
    </row>
    <row r="53" spans="1:25" x14ac:dyDescent="0.2">
      <c r="A53" s="378" t="s">
        <v>34</v>
      </c>
      <c r="B53" s="372">
        <v>0</v>
      </c>
      <c r="C53" s="373">
        <v>310</v>
      </c>
      <c r="D53" s="373">
        <v>260</v>
      </c>
      <c r="E53" s="373">
        <v>220</v>
      </c>
      <c r="F53" s="373">
        <v>190</v>
      </c>
      <c r="G53" s="373">
        <v>167</v>
      </c>
      <c r="H53" s="373">
        <v>0</v>
      </c>
      <c r="I53" s="373">
        <v>0</v>
      </c>
      <c r="J53" s="373">
        <v>0</v>
      </c>
      <c r="K53" s="373">
        <v>0</v>
      </c>
      <c r="L53" s="373">
        <v>0</v>
      </c>
      <c r="M53" s="373">
        <v>0</v>
      </c>
      <c r="N53" s="373">
        <v>0</v>
      </c>
      <c r="O53" s="373">
        <v>0</v>
      </c>
      <c r="P53" s="373">
        <v>0</v>
      </c>
      <c r="Q53" s="373">
        <v>0</v>
      </c>
      <c r="R53" s="373">
        <v>0</v>
      </c>
      <c r="S53" s="373">
        <v>0</v>
      </c>
      <c r="T53" s="373">
        <v>0</v>
      </c>
      <c r="U53" s="373">
        <v>0</v>
      </c>
      <c r="V53" s="373">
        <v>0</v>
      </c>
      <c r="W53" s="373">
        <v>0</v>
      </c>
      <c r="X53" s="373">
        <v>0</v>
      </c>
      <c r="Y53" s="382">
        <v>0</v>
      </c>
    </row>
    <row r="54" spans="1:25" ht="13.5" thickBot="1" x14ac:dyDescent="0.25">
      <c r="A54" s="379" t="s">
        <v>119</v>
      </c>
      <c r="B54" s="374">
        <f t="shared" ref="B54:X54" si="7">(C53+B53)*(C52-B52)/2</f>
        <v>0.155</v>
      </c>
      <c r="C54" s="375">
        <f t="shared" si="7"/>
        <v>5.415</v>
      </c>
      <c r="D54" s="375">
        <f t="shared" si="7"/>
        <v>4.8</v>
      </c>
      <c r="E54" s="375">
        <f t="shared" si="7"/>
        <v>4.0999999999999996</v>
      </c>
      <c r="F54" s="375">
        <f t="shared" si="7"/>
        <v>3.5700000000000007</v>
      </c>
      <c r="G54" s="375">
        <f t="shared" si="7"/>
        <v>8.3500000000000074E-2</v>
      </c>
      <c r="H54" s="375">
        <f t="shared" si="7"/>
        <v>0</v>
      </c>
      <c r="I54" s="375">
        <f t="shared" si="7"/>
        <v>0</v>
      </c>
      <c r="J54" s="375">
        <f t="shared" si="7"/>
        <v>0</v>
      </c>
      <c r="K54" s="375">
        <f t="shared" si="7"/>
        <v>0</v>
      </c>
      <c r="L54" s="375">
        <f t="shared" si="7"/>
        <v>0</v>
      </c>
      <c r="M54" s="375">
        <f t="shared" si="7"/>
        <v>0</v>
      </c>
      <c r="N54" s="375">
        <f t="shared" si="7"/>
        <v>0</v>
      </c>
      <c r="O54" s="375">
        <f t="shared" si="7"/>
        <v>0</v>
      </c>
      <c r="P54" s="375">
        <f t="shared" si="7"/>
        <v>0</v>
      </c>
      <c r="Q54" s="375">
        <f t="shared" si="7"/>
        <v>0</v>
      </c>
      <c r="R54" s="375">
        <f t="shared" si="7"/>
        <v>0</v>
      </c>
      <c r="S54" s="375">
        <f t="shared" si="7"/>
        <v>0</v>
      </c>
      <c r="T54" s="375">
        <f t="shared" si="7"/>
        <v>0</v>
      </c>
      <c r="U54" s="375">
        <f t="shared" si="7"/>
        <v>0</v>
      </c>
      <c r="V54" s="375">
        <f t="shared" si="7"/>
        <v>0</v>
      </c>
      <c r="W54" s="375">
        <f t="shared" si="7"/>
        <v>0</v>
      </c>
      <c r="X54" s="375">
        <f t="shared" si="7"/>
        <v>0</v>
      </c>
      <c r="Y54" s="369"/>
    </row>
    <row r="55" spans="1:25" ht="13.5" thickBot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3.5" thickBot="1" x14ac:dyDescent="0.25">
      <c r="A56" s="361" t="s">
        <v>284</v>
      </c>
      <c r="B56" s="359">
        <f>ROW(A56)</f>
        <v>56</v>
      </c>
      <c r="C56" s="363" t="s">
        <v>118</v>
      </c>
      <c r="D56" s="353">
        <f>SUM(B59:Y59)</f>
        <v>22.610000000000003</v>
      </c>
      <c r="E56" s="363" t="s">
        <v>117</v>
      </c>
      <c r="F56" s="399">
        <f>D56/g/J56</f>
        <v>2.88098878695209</v>
      </c>
      <c r="G56" s="363" t="s">
        <v>59</v>
      </c>
      <c r="H56" s="64">
        <v>0.9</v>
      </c>
      <c r="I56" s="363" t="s">
        <v>276</v>
      </c>
      <c r="J56" s="355">
        <f>H56-L56</f>
        <v>0.8</v>
      </c>
      <c r="K56" s="363" t="s">
        <v>277</v>
      </c>
      <c r="L56" s="64">
        <v>0.1</v>
      </c>
      <c r="M56" s="363" t="s">
        <v>60</v>
      </c>
      <c r="N56" s="65">
        <f>0.4*R56</f>
        <v>120</v>
      </c>
      <c r="O56" s="363" t="s">
        <v>62</v>
      </c>
      <c r="P56" s="65">
        <v>150</v>
      </c>
      <c r="Q56" s="363" t="s">
        <v>63</v>
      </c>
      <c r="R56" s="65">
        <v>300</v>
      </c>
      <c r="S56" s="363" t="s">
        <v>64</v>
      </c>
      <c r="T56" s="65">
        <v>98</v>
      </c>
      <c r="U56" s="363" t="s">
        <v>57</v>
      </c>
      <c r="V56" s="66" t="s">
        <v>281</v>
      </c>
      <c r="W56" s="12"/>
      <c r="X56" s="12"/>
      <c r="Y56" s="12"/>
    </row>
    <row r="57" spans="1:25" x14ac:dyDescent="0.2">
      <c r="A57" s="362" t="s">
        <v>33</v>
      </c>
      <c r="B57" s="370">
        <v>0</v>
      </c>
      <c r="C57" s="371">
        <v>1E-3</v>
      </c>
      <c r="D57" s="371">
        <v>0.02</v>
      </c>
      <c r="E57" s="371">
        <v>0.04</v>
      </c>
      <c r="F57" s="371">
        <v>0.06</v>
      </c>
      <c r="G57" s="371">
        <v>0.08</v>
      </c>
      <c r="H57" s="371">
        <v>0.1</v>
      </c>
      <c r="I57" s="371">
        <v>0.11700000000000001</v>
      </c>
      <c r="J57" s="371">
        <v>0.11799999999999999</v>
      </c>
      <c r="K57" s="371">
        <v>0.11799999999999999</v>
      </c>
      <c r="L57" s="371">
        <v>0.11799999999999999</v>
      </c>
      <c r="M57" s="371">
        <v>0.11799999999999999</v>
      </c>
      <c r="N57" s="371">
        <v>0.11799999999999999</v>
      </c>
      <c r="O57" s="371">
        <v>0.11799999999999999</v>
      </c>
      <c r="P57" s="371">
        <v>0.11799999999999999</v>
      </c>
      <c r="Q57" s="371">
        <v>0.11799999999999999</v>
      </c>
      <c r="R57" s="371">
        <v>0.11799999999999999</v>
      </c>
      <c r="S57" s="371">
        <v>0.11799999999999999</v>
      </c>
      <c r="T57" s="371">
        <v>0.11799999999999999</v>
      </c>
      <c r="U57" s="371">
        <v>0.11799999999999999</v>
      </c>
      <c r="V57" s="371">
        <v>0.11799999999999999</v>
      </c>
      <c r="W57" s="371">
        <v>0.11799999999999999</v>
      </c>
      <c r="X57" s="371">
        <v>0.11799999999999999</v>
      </c>
      <c r="Y57" s="381">
        <v>1000</v>
      </c>
    </row>
    <row r="58" spans="1:25" x14ac:dyDescent="0.2">
      <c r="A58" s="378" t="s">
        <v>34</v>
      </c>
      <c r="B58" s="372">
        <v>0</v>
      </c>
      <c r="C58" s="373">
        <v>310</v>
      </c>
      <c r="D58" s="373">
        <v>250</v>
      </c>
      <c r="E58" s="373">
        <v>210</v>
      </c>
      <c r="F58" s="373">
        <v>180</v>
      </c>
      <c r="G58" s="373">
        <v>156</v>
      </c>
      <c r="H58" s="373">
        <v>140</v>
      </c>
      <c r="I58" s="373">
        <v>125</v>
      </c>
      <c r="J58" s="373">
        <v>0</v>
      </c>
      <c r="K58" s="373">
        <v>0</v>
      </c>
      <c r="L58" s="373">
        <v>0</v>
      </c>
      <c r="M58" s="373">
        <v>0</v>
      </c>
      <c r="N58" s="373">
        <v>0</v>
      </c>
      <c r="O58" s="373">
        <v>0</v>
      </c>
      <c r="P58" s="373">
        <v>0</v>
      </c>
      <c r="Q58" s="373">
        <v>0</v>
      </c>
      <c r="R58" s="373">
        <v>0</v>
      </c>
      <c r="S58" s="373">
        <v>0</v>
      </c>
      <c r="T58" s="373">
        <v>0</v>
      </c>
      <c r="U58" s="373">
        <v>0</v>
      </c>
      <c r="V58" s="373">
        <v>0</v>
      </c>
      <c r="W58" s="373">
        <v>0</v>
      </c>
      <c r="X58" s="373">
        <v>0</v>
      </c>
      <c r="Y58" s="382">
        <v>0</v>
      </c>
    </row>
    <row r="59" spans="1:25" ht="13.5" thickBot="1" x14ac:dyDescent="0.25">
      <c r="A59" s="379" t="s">
        <v>119</v>
      </c>
      <c r="B59" s="374">
        <f t="shared" ref="B59:X59" si="8">(C58+B58)*(C57-B57)/2</f>
        <v>0.155</v>
      </c>
      <c r="C59" s="375">
        <f t="shared" si="8"/>
        <v>5.32</v>
      </c>
      <c r="D59" s="375">
        <f t="shared" si="8"/>
        <v>4.6000000000000005</v>
      </c>
      <c r="E59" s="375">
        <f t="shared" si="8"/>
        <v>3.8999999999999995</v>
      </c>
      <c r="F59" s="375">
        <f t="shared" si="8"/>
        <v>3.3600000000000008</v>
      </c>
      <c r="G59" s="375">
        <f t="shared" si="8"/>
        <v>2.9600000000000004</v>
      </c>
      <c r="H59" s="375">
        <f t="shared" si="8"/>
        <v>2.2524999999999999</v>
      </c>
      <c r="I59" s="375">
        <f t="shared" si="8"/>
        <v>6.2499999999999188E-2</v>
      </c>
      <c r="J59" s="375">
        <f t="shared" si="8"/>
        <v>0</v>
      </c>
      <c r="K59" s="375">
        <f t="shared" si="8"/>
        <v>0</v>
      </c>
      <c r="L59" s="375">
        <f t="shared" si="8"/>
        <v>0</v>
      </c>
      <c r="M59" s="375">
        <f t="shared" si="8"/>
        <v>0</v>
      </c>
      <c r="N59" s="375">
        <f t="shared" si="8"/>
        <v>0</v>
      </c>
      <c r="O59" s="375">
        <f t="shared" si="8"/>
        <v>0</v>
      </c>
      <c r="P59" s="375">
        <f t="shared" si="8"/>
        <v>0</v>
      </c>
      <c r="Q59" s="375">
        <f t="shared" si="8"/>
        <v>0</v>
      </c>
      <c r="R59" s="375">
        <f t="shared" si="8"/>
        <v>0</v>
      </c>
      <c r="S59" s="375">
        <f t="shared" si="8"/>
        <v>0</v>
      </c>
      <c r="T59" s="375">
        <f t="shared" si="8"/>
        <v>0</v>
      </c>
      <c r="U59" s="375">
        <f t="shared" si="8"/>
        <v>0</v>
      </c>
      <c r="V59" s="375">
        <f t="shared" si="8"/>
        <v>0</v>
      </c>
      <c r="W59" s="375">
        <f t="shared" si="8"/>
        <v>0</v>
      </c>
      <c r="X59" s="375">
        <f t="shared" si="8"/>
        <v>0</v>
      </c>
      <c r="Y59" s="369"/>
    </row>
    <row r="60" spans="1:25" ht="13.5" thickBot="1" x14ac:dyDescent="0.25">
      <c r="A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3.5" thickBot="1" x14ac:dyDescent="0.25">
      <c r="A61" s="361" t="s">
        <v>285</v>
      </c>
      <c r="B61" s="359">
        <f>ROW(A61)</f>
        <v>61</v>
      </c>
      <c r="C61" s="363" t="s">
        <v>118</v>
      </c>
      <c r="D61" s="353">
        <f>SUM(B64:Y64)</f>
        <v>25.874000000000006</v>
      </c>
      <c r="E61" s="363" t="s">
        <v>117</v>
      </c>
      <c r="F61" s="399">
        <f>D61/g/J61</f>
        <v>2.6375127420998985</v>
      </c>
      <c r="G61" s="363" t="s">
        <v>59</v>
      </c>
      <c r="H61" s="64">
        <v>1.1000000000000001</v>
      </c>
      <c r="I61" s="363" t="s">
        <v>276</v>
      </c>
      <c r="J61" s="355">
        <f>H61-L61</f>
        <v>1</v>
      </c>
      <c r="K61" s="363" t="s">
        <v>277</v>
      </c>
      <c r="L61" s="64">
        <v>0.1</v>
      </c>
      <c r="M61" s="363" t="s">
        <v>60</v>
      </c>
      <c r="N61" s="65">
        <f>0.5*R61</f>
        <v>150</v>
      </c>
      <c r="O61" s="363" t="s">
        <v>62</v>
      </c>
      <c r="P61" s="65">
        <v>150</v>
      </c>
      <c r="Q61" s="363" t="s">
        <v>63</v>
      </c>
      <c r="R61" s="65">
        <v>300</v>
      </c>
      <c r="S61" s="363" t="s">
        <v>64</v>
      </c>
      <c r="T61" s="65">
        <v>98</v>
      </c>
      <c r="U61" s="363" t="s">
        <v>57</v>
      </c>
      <c r="V61" s="66" t="s">
        <v>281</v>
      </c>
      <c r="W61" s="12"/>
      <c r="X61" s="12"/>
      <c r="Y61" s="12"/>
    </row>
    <row r="62" spans="1:25" x14ac:dyDescent="0.2">
      <c r="A62" s="362" t="s">
        <v>33</v>
      </c>
      <c r="B62" s="370">
        <v>0</v>
      </c>
      <c r="C62" s="371">
        <v>1E-3</v>
      </c>
      <c r="D62" s="371">
        <v>0.02</v>
      </c>
      <c r="E62" s="371">
        <v>0.04</v>
      </c>
      <c r="F62" s="371">
        <v>0.06</v>
      </c>
      <c r="G62" s="371">
        <v>0.08</v>
      </c>
      <c r="H62" s="371">
        <v>0.1</v>
      </c>
      <c r="I62" s="371">
        <v>0.12</v>
      </c>
      <c r="J62" s="371">
        <v>0.14000000000000001</v>
      </c>
      <c r="K62" s="371">
        <v>0.16400000000000001</v>
      </c>
      <c r="L62" s="371">
        <v>0.16500000000000001</v>
      </c>
      <c r="M62" s="371">
        <v>0.16500000000000001</v>
      </c>
      <c r="N62" s="371">
        <v>0.16500000000000001</v>
      </c>
      <c r="O62" s="371">
        <v>0.16500000000000001</v>
      </c>
      <c r="P62" s="371">
        <v>0.16500000000000001</v>
      </c>
      <c r="Q62" s="371">
        <v>0.16500000000000001</v>
      </c>
      <c r="R62" s="371">
        <v>0.16500000000000001</v>
      </c>
      <c r="S62" s="371">
        <v>0.16500000000000001</v>
      </c>
      <c r="T62" s="371">
        <v>0.16500000000000001</v>
      </c>
      <c r="U62" s="371">
        <v>0.16500000000000001</v>
      </c>
      <c r="V62" s="371">
        <v>0.16500000000000001</v>
      </c>
      <c r="W62" s="371">
        <v>0.16500000000000001</v>
      </c>
      <c r="X62" s="371">
        <v>0.16500000000000001</v>
      </c>
      <c r="Y62" s="381">
        <v>1000</v>
      </c>
    </row>
    <row r="63" spans="1:25" x14ac:dyDescent="0.2">
      <c r="A63" s="378" t="s">
        <v>34</v>
      </c>
      <c r="B63" s="372">
        <v>0</v>
      </c>
      <c r="C63" s="373">
        <v>310</v>
      </c>
      <c r="D63" s="373">
        <v>245</v>
      </c>
      <c r="E63" s="373">
        <v>200</v>
      </c>
      <c r="F63" s="373">
        <v>165</v>
      </c>
      <c r="G63" s="373">
        <v>143</v>
      </c>
      <c r="H63" s="373">
        <v>124</v>
      </c>
      <c r="I63" s="373">
        <v>108</v>
      </c>
      <c r="J63" s="373">
        <v>97</v>
      </c>
      <c r="K63" s="373">
        <v>85</v>
      </c>
      <c r="L63" s="373">
        <v>0</v>
      </c>
      <c r="M63" s="373">
        <v>0</v>
      </c>
      <c r="N63" s="373">
        <v>0</v>
      </c>
      <c r="O63" s="373">
        <v>0</v>
      </c>
      <c r="P63" s="373">
        <v>0</v>
      </c>
      <c r="Q63" s="373">
        <v>0</v>
      </c>
      <c r="R63" s="373">
        <v>0</v>
      </c>
      <c r="S63" s="373">
        <v>0</v>
      </c>
      <c r="T63" s="373">
        <v>0</v>
      </c>
      <c r="U63" s="373">
        <v>0</v>
      </c>
      <c r="V63" s="373">
        <v>0</v>
      </c>
      <c r="W63" s="373">
        <v>0</v>
      </c>
      <c r="X63" s="373">
        <v>0</v>
      </c>
      <c r="Y63" s="382">
        <v>0</v>
      </c>
    </row>
    <row r="64" spans="1:25" ht="13.5" thickBot="1" x14ac:dyDescent="0.25">
      <c r="A64" s="379" t="s">
        <v>119</v>
      </c>
      <c r="B64" s="374">
        <f t="shared" ref="B64:X64" si="9">(C63+B63)*(C62-B62)/2</f>
        <v>0.155</v>
      </c>
      <c r="C64" s="375">
        <f t="shared" si="9"/>
        <v>5.2725</v>
      </c>
      <c r="D64" s="375">
        <f t="shared" si="9"/>
        <v>4.45</v>
      </c>
      <c r="E64" s="375">
        <f t="shared" si="9"/>
        <v>3.6499999999999995</v>
      </c>
      <c r="F64" s="375">
        <f t="shared" si="9"/>
        <v>3.0800000000000005</v>
      </c>
      <c r="G64" s="375">
        <f t="shared" si="9"/>
        <v>2.6700000000000004</v>
      </c>
      <c r="H64" s="375">
        <f t="shared" si="9"/>
        <v>2.319999999999999</v>
      </c>
      <c r="I64" s="375">
        <f t="shared" si="9"/>
        <v>2.0500000000000016</v>
      </c>
      <c r="J64" s="375">
        <f t="shared" si="9"/>
        <v>2.1839999999999993</v>
      </c>
      <c r="K64" s="375">
        <f t="shared" si="9"/>
        <v>4.2500000000000038E-2</v>
      </c>
      <c r="L64" s="375">
        <f t="shared" si="9"/>
        <v>0</v>
      </c>
      <c r="M64" s="375">
        <f t="shared" si="9"/>
        <v>0</v>
      </c>
      <c r="N64" s="375">
        <f t="shared" si="9"/>
        <v>0</v>
      </c>
      <c r="O64" s="375">
        <f t="shared" si="9"/>
        <v>0</v>
      </c>
      <c r="P64" s="375">
        <f t="shared" si="9"/>
        <v>0</v>
      </c>
      <c r="Q64" s="375">
        <f t="shared" si="9"/>
        <v>0</v>
      </c>
      <c r="R64" s="375">
        <f t="shared" si="9"/>
        <v>0</v>
      </c>
      <c r="S64" s="375">
        <f t="shared" si="9"/>
        <v>0</v>
      </c>
      <c r="T64" s="375">
        <f t="shared" si="9"/>
        <v>0</v>
      </c>
      <c r="U64" s="375">
        <f t="shared" si="9"/>
        <v>0</v>
      </c>
      <c r="V64" s="375">
        <f t="shared" si="9"/>
        <v>0</v>
      </c>
      <c r="W64" s="375">
        <f t="shared" si="9"/>
        <v>0</v>
      </c>
      <c r="X64" s="375">
        <f t="shared" si="9"/>
        <v>0</v>
      </c>
      <c r="Y64" s="369"/>
    </row>
    <row r="66" spans="1:26" ht="13.5" thickBot="1" x14ac:dyDescent="0.25">
      <c r="A66" s="6" t="s">
        <v>186</v>
      </c>
    </row>
    <row r="67" spans="1:26" ht="13.5" thickBot="1" x14ac:dyDescent="0.25">
      <c r="A67" s="361" t="s">
        <v>114</v>
      </c>
      <c r="B67" s="359">
        <f>ROW(A67)</f>
        <v>67</v>
      </c>
      <c r="C67" s="363" t="s">
        <v>118</v>
      </c>
      <c r="D67" s="353">
        <f>SUM(B70:Y70)</f>
        <v>2.65</v>
      </c>
      <c r="E67" s="363" t="s">
        <v>117</v>
      </c>
      <c r="F67" s="354">
        <f>D67/g/J67</f>
        <v>54.026503567787969</v>
      </c>
      <c r="G67" s="363" t="s">
        <v>59</v>
      </c>
      <c r="H67" s="64">
        <v>1.4999999999999999E-2</v>
      </c>
      <c r="I67" s="363" t="s">
        <v>276</v>
      </c>
      <c r="J67" s="355">
        <f>H67-L67</f>
        <v>4.9999999999999992E-3</v>
      </c>
      <c r="K67" s="363" t="s">
        <v>277</v>
      </c>
      <c r="L67" s="64">
        <v>0.01</v>
      </c>
      <c r="M67" s="363" t="s">
        <v>60</v>
      </c>
      <c r="N67" s="65">
        <v>30</v>
      </c>
      <c r="O67" s="363" t="s">
        <v>62</v>
      </c>
      <c r="P67" s="65">
        <v>30</v>
      </c>
      <c r="Q67" s="363" t="s">
        <v>63</v>
      </c>
      <c r="R67" s="65">
        <v>70</v>
      </c>
      <c r="S67" s="363" t="s">
        <v>64</v>
      </c>
      <c r="T67" s="65">
        <v>15</v>
      </c>
      <c r="U67" s="363" t="s">
        <v>57</v>
      </c>
      <c r="V67" s="66" t="s">
        <v>120</v>
      </c>
      <c r="W67" s="463" t="s">
        <v>400</v>
      </c>
      <c r="X67" s="465">
        <v>0.32</v>
      </c>
      <c r="Y67" s="463" t="s">
        <v>399</v>
      </c>
      <c r="Z67" s="358">
        <v>3</v>
      </c>
    </row>
    <row r="68" spans="1:26" x14ac:dyDescent="0.2">
      <c r="A68" s="362" t="s">
        <v>33</v>
      </c>
      <c r="B68" s="370">
        <v>0</v>
      </c>
      <c r="C68" s="371">
        <v>0.2</v>
      </c>
      <c r="D68" s="371">
        <v>0.3</v>
      </c>
      <c r="E68" s="371">
        <v>0.4</v>
      </c>
      <c r="F68" s="371">
        <v>0.5</v>
      </c>
      <c r="G68" s="371">
        <v>0.55000000000000004</v>
      </c>
      <c r="H68" s="371">
        <v>0.6</v>
      </c>
      <c r="I68" s="371">
        <v>0.6</v>
      </c>
      <c r="J68" s="371">
        <v>0.6</v>
      </c>
      <c r="K68" s="371">
        <v>0.6</v>
      </c>
      <c r="L68" s="371">
        <v>0.6</v>
      </c>
      <c r="M68" s="371">
        <v>0.6</v>
      </c>
      <c r="N68" s="371">
        <v>0.6</v>
      </c>
      <c r="O68" s="371">
        <v>0.6</v>
      </c>
      <c r="P68" s="371">
        <v>0.6</v>
      </c>
      <c r="Q68" s="371">
        <v>0.6</v>
      </c>
      <c r="R68" s="371">
        <v>0.6</v>
      </c>
      <c r="S68" s="371">
        <v>0.6</v>
      </c>
      <c r="T68" s="371">
        <v>0.6</v>
      </c>
      <c r="U68" s="371">
        <v>0.6</v>
      </c>
      <c r="V68" s="371">
        <v>0.6</v>
      </c>
      <c r="W68" s="371">
        <v>0.6</v>
      </c>
      <c r="X68" s="371">
        <v>0.6</v>
      </c>
      <c r="Y68" s="381">
        <v>1000</v>
      </c>
    </row>
    <row r="69" spans="1:26" x14ac:dyDescent="0.2">
      <c r="A69" s="378" t="s">
        <v>34</v>
      </c>
      <c r="B69" s="372">
        <v>0</v>
      </c>
      <c r="C69" s="373">
        <v>9</v>
      </c>
      <c r="D69" s="373">
        <v>4.5</v>
      </c>
      <c r="E69" s="373">
        <v>4</v>
      </c>
      <c r="F69" s="373">
        <v>4</v>
      </c>
      <c r="G69" s="373">
        <v>3</v>
      </c>
      <c r="H69" s="373">
        <v>0</v>
      </c>
      <c r="I69" s="373">
        <v>0</v>
      </c>
      <c r="J69" s="373">
        <v>0</v>
      </c>
      <c r="K69" s="373">
        <v>0</v>
      </c>
      <c r="L69" s="373">
        <v>0</v>
      </c>
      <c r="M69" s="373">
        <v>0</v>
      </c>
      <c r="N69" s="373">
        <v>0</v>
      </c>
      <c r="O69" s="373">
        <v>0</v>
      </c>
      <c r="P69" s="373">
        <v>0</v>
      </c>
      <c r="Q69" s="373">
        <v>0</v>
      </c>
      <c r="R69" s="373">
        <v>0</v>
      </c>
      <c r="S69" s="373">
        <v>0</v>
      </c>
      <c r="T69" s="373">
        <v>0</v>
      </c>
      <c r="U69" s="373">
        <v>0</v>
      </c>
      <c r="V69" s="373">
        <v>0</v>
      </c>
      <c r="W69" s="373">
        <v>0</v>
      </c>
      <c r="X69" s="373">
        <v>0</v>
      </c>
      <c r="Y69" s="382">
        <v>0</v>
      </c>
    </row>
    <row r="70" spans="1:26" ht="13.5" thickBot="1" x14ac:dyDescent="0.25">
      <c r="A70" s="379" t="s">
        <v>119</v>
      </c>
      <c r="B70" s="374">
        <f t="shared" ref="B70:X70" si="10">(C69+B69)*(C68-B68)/2</f>
        <v>0.9</v>
      </c>
      <c r="C70" s="375">
        <f t="shared" si="10"/>
        <v>0.67499999999999982</v>
      </c>
      <c r="D70" s="375">
        <f t="shared" si="10"/>
        <v>0.42500000000000016</v>
      </c>
      <c r="E70" s="375">
        <f t="shared" si="10"/>
        <v>0.39999999999999991</v>
      </c>
      <c r="F70" s="375">
        <f t="shared" si="10"/>
        <v>0.17500000000000016</v>
      </c>
      <c r="G70" s="375">
        <f t="shared" si="10"/>
        <v>7.49999999999999E-2</v>
      </c>
      <c r="H70" s="375">
        <f t="shared" si="10"/>
        <v>0</v>
      </c>
      <c r="I70" s="375">
        <f t="shared" si="10"/>
        <v>0</v>
      </c>
      <c r="J70" s="375">
        <f t="shared" si="10"/>
        <v>0</v>
      </c>
      <c r="K70" s="375">
        <f t="shared" si="10"/>
        <v>0</v>
      </c>
      <c r="L70" s="375">
        <f t="shared" si="10"/>
        <v>0</v>
      </c>
      <c r="M70" s="375">
        <f t="shared" si="10"/>
        <v>0</v>
      </c>
      <c r="N70" s="375">
        <f t="shared" si="10"/>
        <v>0</v>
      </c>
      <c r="O70" s="375">
        <f t="shared" si="10"/>
        <v>0</v>
      </c>
      <c r="P70" s="375">
        <f t="shared" si="10"/>
        <v>0</v>
      </c>
      <c r="Q70" s="375">
        <f t="shared" si="10"/>
        <v>0</v>
      </c>
      <c r="R70" s="375">
        <f t="shared" si="10"/>
        <v>0</v>
      </c>
      <c r="S70" s="375">
        <f t="shared" si="10"/>
        <v>0</v>
      </c>
      <c r="T70" s="375">
        <f t="shared" si="10"/>
        <v>0</v>
      </c>
      <c r="U70" s="375">
        <f t="shared" si="10"/>
        <v>0</v>
      </c>
      <c r="V70" s="375">
        <f t="shared" si="10"/>
        <v>0</v>
      </c>
      <c r="W70" s="375">
        <f t="shared" si="10"/>
        <v>0</v>
      </c>
      <c r="X70" s="375">
        <f t="shared" si="10"/>
        <v>0</v>
      </c>
      <c r="Y70" s="369"/>
    </row>
    <row r="71" spans="1:26" ht="13.5" thickBot="1" x14ac:dyDescent="0.25">
      <c r="A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6" ht="13.5" thickBot="1" x14ac:dyDescent="0.25">
      <c r="A72" s="361" t="s">
        <v>115</v>
      </c>
      <c r="B72" s="359">
        <f>ROW(A72)</f>
        <v>72</v>
      </c>
      <c r="C72" s="363" t="s">
        <v>118</v>
      </c>
      <c r="D72" s="353">
        <f>SUM(B75:Y75)</f>
        <v>5.25</v>
      </c>
      <c r="E72" s="363" t="s">
        <v>117</v>
      </c>
      <c r="F72" s="354">
        <f>D72/g/J72</f>
        <v>89.1946992864424</v>
      </c>
      <c r="G72" s="363" t="s">
        <v>59</v>
      </c>
      <c r="H72" s="64">
        <v>0.02</v>
      </c>
      <c r="I72" s="363" t="s">
        <v>276</v>
      </c>
      <c r="J72" s="355">
        <f>H72-L72</f>
        <v>6.0000000000000001E-3</v>
      </c>
      <c r="K72" s="363" t="s">
        <v>277</v>
      </c>
      <c r="L72" s="64">
        <v>1.4E-2</v>
      </c>
      <c r="M72" s="363" t="s">
        <v>60</v>
      </c>
      <c r="N72" s="65">
        <v>30</v>
      </c>
      <c r="O72" s="363" t="s">
        <v>62</v>
      </c>
      <c r="P72" s="65">
        <v>30</v>
      </c>
      <c r="Q72" s="363" t="s">
        <v>63</v>
      </c>
      <c r="R72" s="65">
        <v>70</v>
      </c>
      <c r="S72" s="363" t="s">
        <v>64</v>
      </c>
      <c r="T72" s="65">
        <v>15</v>
      </c>
      <c r="U72" s="363" t="s">
        <v>57</v>
      </c>
      <c r="V72" s="66" t="s">
        <v>120</v>
      </c>
      <c r="W72" s="463" t="s">
        <v>400</v>
      </c>
      <c r="X72" s="465">
        <v>1.2</v>
      </c>
      <c r="Y72" s="463" t="s">
        <v>399</v>
      </c>
      <c r="Z72" s="358">
        <v>4</v>
      </c>
    </row>
    <row r="73" spans="1:26" x14ac:dyDescent="0.2">
      <c r="A73" s="362" t="s">
        <v>33</v>
      </c>
      <c r="B73" s="370">
        <v>0</v>
      </c>
      <c r="C73" s="371">
        <v>0.2</v>
      </c>
      <c r="D73" s="371">
        <v>0.3</v>
      </c>
      <c r="E73" s="371">
        <v>0.55000000000000004</v>
      </c>
      <c r="F73" s="371">
        <v>1.05</v>
      </c>
      <c r="G73" s="371">
        <v>1.1499999999999999</v>
      </c>
      <c r="H73" s="371">
        <v>1.1499999999999999</v>
      </c>
      <c r="I73" s="371">
        <v>1.1499999999999999</v>
      </c>
      <c r="J73" s="371">
        <v>1.1499999999999999</v>
      </c>
      <c r="K73" s="371">
        <v>1.1499999999999999</v>
      </c>
      <c r="L73" s="371">
        <v>1.1499999999999999</v>
      </c>
      <c r="M73" s="371">
        <v>1.1499999999999999</v>
      </c>
      <c r="N73" s="371">
        <v>1.1499999999999999</v>
      </c>
      <c r="O73" s="371">
        <v>1.1499999999999999</v>
      </c>
      <c r="P73" s="371">
        <v>1.1499999999999999</v>
      </c>
      <c r="Q73" s="371">
        <v>1.1499999999999999</v>
      </c>
      <c r="R73" s="371">
        <v>1.1499999999999999</v>
      </c>
      <c r="S73" s="371">
        <v>1.1499999999999999</v>
      </c>
      <c r="T73" s="371">
        <v>1.1499999999999999</v>
      </c>
      <c r="U73" s="371">
        <v>1.1499999999999999</v>
      </c>
      <c r="V73" s="371">
        <v>1.1499999999999999</v>
      </c>
      <c r="W73" s="371">
        <v>1.1499999999999999</v>
      </c>
      <c r="X73" s="371">
        <v>1.1499999999999999</v>
      </c>
      <c r="Y73" s="381">
        <v>1000</v>
      </c>
    </row>
    <row r="74" spans="1:26" x14ac:dyDescent="0.2">
      <c r="A74" s="378" t="s">
        <v>34</v>
      </c>
      <c r="B74" s="372">
        <v>0</v>
      </c>
      <c r="C74" s="373">
        <v>10</v>
      </c>
      <c r="D74" s="373">
        <v>6</v>
      </c>
      <c r="E74" s="373">
        <v>4</v>
      </c>
      <c r="F74" s="373">
        <v>4</v>
      </c>
      <c r="G74" s="373">
        <v>0</v>
      </c>
      <c r="H74" s="373">
        <v>0</v>
      </c>
      <c r="I74" s="373">
        <v>0</v>
      </c>
      <c r="J74" s="373">
        <v>0</v>
      </c>
      <c r="K74" s="373">
        <v>0</v>
      </c>
      <c r="L74" s="373">
        <v>0</v>
      </c>
      <c r="M74" s="373">
        <v>0</v>
      </c>
      <c r="N74" s="373">
        <v>0</v>
      </c>
      <c r="O74" s="373">
        <v>0</v>
      </c>
      <c r="P74" s="373">
        <v>0</v>
      </c>
      <c r="Q74" s="373">
        <v>0</v>
      </c>
      <c r="R74" s="373">
        <v>0</v>
      </c>
      <c r="S74" s="373">
        <v>0</v>
      </c>
      <c r="T74" s="373">
        <v>0</v>
      </c>
      <c r="U74" s="373">
        <v>0</v>
      </c>
      <c r="V74" s="373">
        <v>0</v>
      </c>
      <c r="W74" s="373">
        <v>0</v>
      </c>
      <c r="X74" s="373">
        <v>0</v>
      </c>
      <c r="Y74" s="382">
        <v>0</v>
      </c>
    </row>
    <row r="75" spans="1:26" ht="13.5" thickBot="1" x14ac:dyDescent="0.25">
      <c r="A75" s="379" t="s">
        <v>119</v>
      </c>
      <c r="B75" s="374">
        <f t="shared" ref="B75:V75" si="11">(C74+B74)*(C73-B73)/2</f>
        <v>1</v>
      </c>
      <c r="C75" s="375">
        <f t="shared" si="11"/>
        <v>0.79999999999999982</v>
      </c>
      <c r="D75" s="375">
        <f t="shared" si="11"/>
        <v>1.2500000000000002</v>
      </c>
      <c r="E75" s="375">
        <f t="shared" si="11"/>
        <v>2</v>
      </c>
      <c r="F75" s="375">
        <f t="shared" si="11"/>
        <v>0.19999999999999973</v>
      </c>
      <c r="G75" s="375">
        <f t="shared" si="11"/>
        <v>0</v>
      </c>
      <c r="H75" s="375">
        <f t="shared" si="11"/>
        <v>0</v>
      </c>
      <c r="I75" s="375">
        <f t="shared" si="11"/>
        <v>0</v>
      </c>
      <c r="J75" s="375">
        <f>(K74+J74)*(K73-J73)/2</f>
        <v>0</v>
      </c>
      <c r="K75" s="375">
        <f t="shared" si="11"/>
        <v>0</v>
      </c>
      <c r="L75" s="375">
        <f t="shared" si="11"/>
        <v>0</v>
      </c>
      <c r="M75" s="375">
        <f t="shared" si="11"/>
        <v>0</v>
      </c>
      <c r="N75" s="375">
        <f t="shared" si="11"/>
        <v>0</v>
      </c>
      <c r="O75" s="375">
        <f t="shared" si="11"/>
        <v>0</v>
      </c>
      <c r="P75" s="375">
        <f t="shared" si="11"/>
        <v>0</v>
      </c>
      <c r="Q75" s="375">
        <f t="shared" si="11"/>
        <v>0</v>
      </c>
      <c r="R75" s="375">
        <f t="shared" si="11"/>
        <v>0</v>
      </c>
      <c r="S75" s="375">
        <f>(T74+S74)*(T73-S73)/2</f>
        <v>0</v>
      </c>
      <c r="T75" s="375">
        <f t="shared" si="11"/>
        <v>0</v>
      </c>
      <c r="U75" s="375">
        <f t="shared" si="11"/>
        <v>0</v>
      </c>
      <c r="V75" s="375">
        <f t="shared" si="11"/>
        <v>0</v>
      </c>
      <c r="W75" s="375">
        <f>(X74+W74)*(X73-W73)/2</f>
        <v>0</v>
      </c>
      <c r="X75" s="375">
        <f>(Y74+X74)*(Y73-X73)/2</f>
        <v>0</v>
      </c>
      <c r="Y75" s="369"/>
    </row>
    <row r="76" spans="1:26" ht="13.5" thickBot="1" x14ac:dyDescent="0.2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6" ht="13.5" thickBot="1" x14ac:dyDescent="0.25">
      <c r="A77" s="361" t="s">
        <v>116</v>
      </c>
      <c r="B77" s="359">
        <f>ROW(A77)</f>
        <v>77</v>
      </c>
      <c r="C77" s="363" t="s">
        <v>118</v>
      </c>
      <c r="D77" s="353">
        <f>SUM(B80:Y80)</f>
        <v>10.26</v>
      </c>
      <c r="E77" s="363" t="s">
        <v>117</v>
      </c>
      <c r="F77" s="354">
        <f>D77/g/J77</f>
        <v>80.451658433309802</v>
      </c>
      <c r="G77" s="363" t="s">
        <v>59</v>
      </c>
      <c r="H77" s="64">
        <v>2.4E-2</v>
      </c>
      <c r="I77" s="363" t="s">
        <v>276</v>
      </c>
      <c r="J77" s="355">
        <f>H77-L77</f>
        <v>1.3000000000000001E-2</v>
      </c>
      <c r="K77" s="363" t="s">
        <v>277</v>
      </c>
      <c r="L77" s="64">
        <v>1.0999999999999999E-2</v>
      </c>
      <c r="M77" s="363" t="s">
        <v>60</v>
      </c>
      <c r="N77" s="65">
        <v>30</v>
      </c>
      <c r="O77" s="363" t="s">
        <v>62</v>
      </c>
      <c r="P77" s="65">
        <v>30</v>
      </c>
      <c r="Q77" s="363" t="s">
        <v>63</v>
      </c>
      <c r="R77" s="65">
        <v>70</v>
      </c>
      <c r="S77" s="363" t="s">
        <v>64</v>
      </c>
      <c r="T77" s="65">
        <v>15</v>
      </c>
      <c r="U77" s="363" t="s">
        <v>57</v>
      </c>
      <c r="V77" s="66" t="s">
        <v>120</v>
      </c>
      <c r="W77" s="463" t="s">
        <v>400</v>
      </c>
      <c r="X77" s="465">
        <v>1.7</v>
      </c>
      <c r="Y77" s="463" t="s">
        <v>399</v>
      </c>
      <c r="Z77" s="358">
        <v>3</v>
      </c>
    </row>
    <row r="78" spans="1:26" x14ac:dyDescent="0.2">
      <c r="A78" s="362" t="s">
        <v>33</v>
      </c>
      <c r="B78" s="370">
        <v>0</v>
      </c>
      <c r="C78" s="371">
        <v>0.2</v>
      </c>
      <c r="D78" s="371">
        <v>0.3</v>
      </c>
      <c r="E78" s="371">
        <v>0.6</v>
      </c>
      <c r="F78" s="371">
        <v>0.8</v>
      </c>
      <c r="G78" s="371">
        <v>2</v>
      </c>
      <c r="H78" s="371">
        <v>2.1</v>
      </c>
      <c r="I78" s="371">
        <v>2.1</v>
      </c>
      <c r="J78" s="371">
        <v>2.1</v>
      </c>
      <c r="K78" s="371">
        <v>2.1</v>
      </c>
      <c r="L78" s="371">
        <v>2.1</v>
      </c>
      <c r="M78" s="371">
        <v>2.1</v>
      </c>
      <c r="N78" s="371">
        <v>2.1</v>
      </c>
      <c r="O78" s="371">
        <v>2.1</v>
      </c>
      <c r="P78" s="371">
        <v>2.1</v>
      </c>
      <c r="Q78" s="371">
        <v>2.1</v>
      </c>
      <c r="R78" s="371">
        <v>2.1</v>
      </c>
      <c r="S78" s="371">
        <v>2.1</v>
      </c>
      <c r="T78" s="371">
        <v>2.1</v>
      </c>
      <c r="U78" s="371">
        <v>2.1</v>
      </c>
      <c r="V78" s="371">
        <v>2.1</v>
      </c>
      <c r="W78" s="371">
        <v>2.1</v>
      </c>
      <c r="X78" s="371">
        <v>2.1</v>
      </c>
      <c r="Y78" s="381">
        <v>1000</v>
      </c>
    </row>
    <row r="79" spans="1:26" x14ac:dyDescent="0.2">
      <c r="A79" s="378" t="s">
        <v>34</v>
      </c>
      <c r="B79" s="372">
        <v>0</v>
      </c>
      <c r="C79" s="373">
        <v>11</v>
      </c>
      <c r="D79" s="373">
        <v>7</v>
      </c>
      <c r="E79" s="373">
        <v>4</v>
      </c>
      <c r="F79" s="373">
        <v>4.5999999999999996</v>
      </c>
      <c r="G79" s="373">
        <v>4.5999999999999996</v>
      </c>
      <c r="H79" s="373">
        <v>0</v>
      </c>
      <c r="I79" s="373">
        <v>0</v>
      </c>
      <c r="J79" s="373">
        <v>0</v>
      </c>
      <c r="K79" s="373">
        <v>0</v>
      </c>
      <c r="L79" s="373">
        <v>0</v>
      </c>
      <c r="M79" s="373">
        <v>0</v>
      </c>
      <c r="N79" s="373">
        <v>0</v>
      </c>
      <c r="O79" s="373">
        <v>0</v>
      </c>
      <c r="P79" s="373">
        <v>0</v>
      </c>
      <c r="Q79" s="373">
        <v>0</v>
      </c>
      <c r="R79" s="373">
        <v>0</v>
      </c>
      <c r="S79" s="373">
        <v>0</v>
      </c>
      <c r="T79" s="373">
        <v>0</v>
      </c>
      <c r="U79" s="373">
        <v>0</v>
      </c>
      <c r="V79" s="373">
        <v>0</v>
      </c>
      <c r="W79" s="373">
        <v>0</v>
      </c>
      <c r="X79" s="373">
        <v>0</v>
      </c>
      <c r="Y79" s="382">
        <v>0</v>
      </c>
    </row>
    <row r="80" spans="1:26" ht="13.5" thickBot="1" x14ac:dyDescent="0.25">
      <c r="A80" s="379" t="s">
        <v>119</v>
      </c>
      <c r="B80" s="374">
        <f t="shared" ref="B80:G80" si="12">(C79+B79)*(C78-B78)/2</f>
        <v>1.1000000000000001</v>
      </c>
      <c r="C80" s="375">
        <f t="shared" si="12"/>
        <v>0.8999999999999998</v>
      </c>
      <c r="D80" s="375">
        <f t="shared" si="12"/>
        <v>1.65</v>
      </c>
      <c r="E80" s="375">
        <f t="shared" si="12"/>
        <v>0.86000000000000021</v>
      </c>
      <c r="F80" s="375">
        <f t="shared" si="12"/>
        <v>5.52</v>
      </c>
      <c r="G80" s="375">
        <f t="shared" si="12"/>
        <v>0.23000000000000018</v>
      </c>
      <c r="H80" s="375">
        <f t="shared" ref="H80:V80" si="13">(I79+H79)*(I78-H78)/2</f>
        <v>0</v>
      </c>
      <c r="I80" s="375">
        <f t="shared" si="13"/>
        <v>0</v>
      </c>
      <c r="J80" s="375">
        <f>(K79+J79)*(K78-J78)/2</f>
        <v>0</v>
      </c>
      <c r="K80" s="375">
        <f t="shared" si="13"/>
        <v>0</v>
      </c>
      <c r="L80" s="375">
        <f t="shared" si="13"/>
        <v>0</v>
      </c>
      <c r="M80" s="375">
        <f t="shared" si="13"/>
        <v>0</v>
      </c>
      <c r="N80" s="375">
        <f t="shared" si="13"/>
        <v>0</v>
      </c>
      <c r="O80" s="375">
        <f t="shared" si="13"/>
        <v>0</v>
      </c>
      <c r="P80" s="375">
        <f t="shared" si="13"/>
        <v>0</v>
      </c>
      <c r="Q80" s="375">
        <f t="shared" si="13"/>
        <v>0</v>
      </c>
      <c r="R80" s="375">
        <f t="shared" si="13"/>
        <v>0</v>
      </c>
      <c r="S80" s="375">
        <f>(T79+S79)*(T78-S78)/2</f>
        <v>0</v>
      </c>
      <c r="T80" s="375">
        <f t="shared" si="13"/>
        <v>0</v>
      </c>
      <c r="U80" s="375">
        <f t="shared" si="13"/>
        <v>0</v>
      </c>
      <c r="V80" s="375">
        <f t="shared" si="13"/>
        <v>0</v>
      </c>
      <c r="W80" s="375">
        <f>(X79+W79)*(X78-W78)/2</f>
        <v>0</v>
      </c>
      <c r="X80" s="375">
        <f>(Y79+X79)*(Y78-X78)/2</f>
        <v>0</v>
      </c>
      <c r="Y80" s="369"/>
    </row>
    <row r="81" spans="1:26" ht="13.5" thickBot="1" x14ac:dyDescent="0.25">
      <c r="A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6" ht="13.5" thickBot="1" x14ac:dyDescent="0.25">
      <c r="A82" s="361" t="s">
        <v>335</v>
      </c>
      <c r="B82" s="359">
        <f>ROW(A82)</f>
        <v>82</v>
      </c>
      <c r="C82" s="363" t="s">
        <v>118</v>
      </c>
      <c r="D82" s="353">
        <f>SUM(B85:Y85)</f>
        <v>20.52</v>
      </c>
      <c r="E82" s="363" t="s">
        <v>117</v>
      </c>
      <c r="F82" s="354">
        <f>D82/g/J82</f>
        <v>80.451658433309802</v>
      </c>
      <c r="G82" s="363" t="s">
        <v>59</v>
      </c>
      <c r="H82" s="64">
        <f>H77*2</f>
        <v>4.8000000000000001E-2</v>
      </c>
      <c r="I82" s="363" t="s">
        <v>276</v>
      </c>
      <c r="J82" s="355">
        <f>H82-L82</f>
        <v>2.6000000000000002E-2</v>
      </c>
      <c r="K82" s="363" t="s">
        <v>277</v>
      </c>
      <c r="L82" s="64">
        <f>L77*2</f>
        <v>2.1999999999999999E-2</v>
      </c>
      <c r="M82" s="363" t="s">
        <v>60</v>
      </c>
      <c r="N82" s="65">
        <v>30</v>
      </c>
      <c r="O82" s="363" t="s">
        <v>62</v>
      </c>
      <c r="P82" s="65">
        <v>30</v>
      </c>
      <c r="Q82" s="363" t="s">
        <v>63</v>
      </c>
      <c r="R82" s="65">
        <v>70</v>
      </c>
      <c r="S82" s="363" t="s">
        <v>64</v>
      </c>
      <c r="T82" s="65">
        <v>30</v>
      </c>
      <c r="U82" s="363" t="s">
        <v>57</v>
      </c>
      <c r="V82" s="66" t="s">
        <v>120</v>
      </c>
      <c r="W82" s="463" t="s">
        <v>400</v>
      </c>
      <c r="X82" s="465">
        <v>1.7</v>
      </c>
      <c r="Y82" s="463" t="s">
        <v>399</v>
      </c>
      <c r="Z82" s="358">
        <v>3</v>
      </c>
    </row>
    <row r="83" spans="1:26" x14ac:dyDescent="0.2">
      <c r="A83" s="362" t="s">
        <v>33</v>
      </c>
      <c r="B83" s="370">
        <v>0</v>
      </c>
      <c r="C83" s="371">
        <v>0.2</v>
      </c>
      <c r="D83" s="371">
        <v>0.3</v>
      </c>
      <c r="E83" s="371">
        <v>0.6</v>
      </c>
      <c r="F83" s="371">
        <v>0.8</v>
      </c>
      <c r="G83" s="371">
        <v>2</v>
      </c>
      <c r="H83" s="371">
        <v>2.1</v>
      </c>
      <c r="I83" s="371">
        <v>2.1</v>
      </c>
      <c r="J83" s="371">
        <v>2.1</v>
      </c>
      <c r="K83" s="371">
        <v>2.1</v>
      </c>
      <c r="L83" s="371">
        <v>2.1</v>
      </c>
      <c r="M83" s="371">
        <v>2.1</v>
      </c>
      <c r="N83" s="371">
        <v>2.1</v>
      </c>
      <c r="O83" s="371">
        <v>2.1</v>
      </c>
      <c r="P83" s="371">
        <v>2.1</v>
      </c>
      <c r="Q83" s="371">
        <v>2.1</v>
      </c>
      <c r="R83" s="371">
        <v>2.1</v>
      </c>
      <c r="S83" s="371">
        <v>2.1</v>
      </c>
      <c r="T83" s="371">
        <v>2.1</v>
      </c>
      <c r="U83" s="371">
        <v>2.1</v>
      </c>
      <c r="V83" s="371">
        <v>2.1</v>
      </c>
      <c r="W83" s="371">
        <v>2.1</v>
      </c>
      <c r="X83" s="371">
        <v>2.1</v>
      </c>
      <c r="Y83" s="381">
        <v>1000</v>
      </c>
    </row>
    <row r="84" spans="1:26" x14ac:dyDescent="0.2">
      <c r="A84" s="378" t="s">
        <v>34</v>
      </c>
      <c r="B84" s="372">
        <f>B79*2</f>
        <v>0</v>
      </c>
      <c r="C84" s="373">
        <f t="shared" ref="C84:X84" si="14">C79*2</f>
        <v>22</v>
      </c>
      <c r="D84" s="373">
        <f t="shared" si="14"/>
        <v>14</v>
      </c>
      <c r="E84" s="373">
        <f t="shared" si="14"/>
        <v>8</v>
      </c>
      <c r="F84" s="373">
        <f t="shared" si="14"/>
        <v>9.1999999999999993</v>
      </c>
      <c r="G84" s="373">
        <f t="shared" si="14"/>
        <v>9.1999999999999993</v>
      </c>
      <c r="H84" s="373">
        <f t="shared" si="14"/>
        <v>0</v>
      </c>
      <c r="I84" s="373">
        <f t="shared" si="14"/>
        <v>0</v>
      </c>
      <c r="J84" s="373">
        <f t="shared" si="14"/>
        <v>0</v>
      </c>
      <c r="K84" s="373">
        <f t="shared" si="14"/>
        <v>0</v>
      </c>
      <c r="L84" s="373">
        <f t="shared" si="14"/>
        <v>0</v>
      </c>
      <c r="M84" s="373">
        <f t="shared" si="14"/>
        <v>0</v>
      </c>
      <c r="N84" s="373">
        <f t="shared" si="14"/>
        <v>0</v>
      </c>
      <c r="O84" s="373">
        <f t="shared" si="14"/>
        <v>0</v>
      </c>
      <c r="P84" s="373">
        <f t="shared" si="14"/>
        <v>0</v>
      </c>
      <c r="Q84" s="373">
        <f t="shared" si="14"/>
        <v>0</v>
      </c>
      <c r="R84" s="373">
        <f t="shared" si="14"/>
        <v>0</v>
      </c>
      <c r="S84" s="373">
        <f t="shared" si="14"/>
        <v>0</v>
      </c>
      <c r="T84" s="373">
        <f t="shared" si="14"/>
        <v>0</v>
      </c>
      <c r="U84" s="373">
        <f t="shared" si="14"/>
        <v>0</v>
      </c>
      <c r="V84" s="373">
        <f t="shared" si="14"/>
        <v>0</v>
      </c>
      <c r="W84" s="373">
        <f t="shared" si="14"/>
        <v>0</v>
      </c>
      <c r="X84" s="373">
        <f t="shared" si="14"/>
        <v>0</v>
      </c>
      <c r="Y84" s="382">
        <v>0</v>
      </c>
    </row>
    <row r="85" spans="1:26" ht="13.5" thickBot="1" x14ac:dyDescent="0.25">
      <c r="A85" s="379" t="s">
        <v>119</v>
      </c>
      <c r="B85" s="374">
        <f t="shared" ref="B85:X85" si="15">(C84+B84)*(C83-B83)/2</f>
        <v>2.2000000000000002</v>
      </c>
      <c r="C85" s="375">
        <f t="shared" si="15"/>
        <v>1.7999999999999996</v>
      </c>
      <c r="D85" s="375">
        <f t="shared" si="15"/>
        <v>3.3</v>
      </c>
      <c r="E85" s="375">
        <f t="shared" si="15"/>
        <v>1.7200000000000004</v>
      </c>
      <c r="F85" s="375">
        <f t="shared" si="15"/>
        <v>11.04</v>
      </c>
      <c r="G85" s="375">
        <f t="shared" si="15"/>
        <v>0.46000000000000035</v>
      </c>
      <c r="H85" s="375">
        <f t="shared" si="15"/>
        <v>0</v>
      </c>
      <c r="I85" s="375">
        <f t="shared" si="15"/>
        <v>0</v>
      </c>
      <c r="J85" s="375">
        <f t="shared" si="15"/>
        <v>0</v>
      </c>
      <c r="K85" s="375">
        <f t="shared" si="15"/>
        <v>0</v>
      </c>
      <c r="L85" s="375">
        <f t="shared" si="15"/>
        <v>0</v>
      </c>
      <c r="M85" s="375">
        <f t="shared" si="15"/>
        <v>0</v>
      </c>
      <c r="N85" s="375">
        <f t="shared" si="15"/>
        <v>0</v>
      </c>
      <c r="O85" s="375">
        <f t="shared" si="15"/>
        <v>0</v>
      </c>
      <c r="P85" s="375">
        <f t="shared" si="15"/>
        <v>0</v>
      </c>
      <c r="Q85" s="375">
        <f t="shared" si="15"/>
        <v>0</v>
      </c>
      <c r="R85" s="375">
        <f t="shared" si="15"/>
        <v>0</v>
      </c>
      <c r="S85" s="375">
        <f t="shared" si="15"/>
        <v>0</v>
      </c>
      <c r="T85" s="375">
        <f t="shared" si="15"/>
        <v>0</v>
      </c>
      <c r="U85" s="375">
        <f t="shared" si="15"/>
        <v>0</v>
      </c>
      <c r="V85" s="375">
        <f t="shared" si="15"/>
        <v>0</v>
      </c>
      <c r="W85" s="375">
        <f t="shared" si="15"/>
        <v>0</v>
      </c>
      <c r="X85" s="375">
        <f t="shared" si="15"/>
        <v>0</v>
      </c>
      <c r="Y85" s="369"/>
    </row>
    <row r="86" spans="1:26" ht="13.5" thickBot="1" x14ac:dyDescent="0.2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6" ht="13.5" thickBot="1" x14ac:dyDescent="0.25">
      <c r="A87" s="361" t="s">
        <v>336</v>
      </c>
      <c r="B87" s="359">
        <f>ROW(A87)</f>
        <v>87</v>
      </c>
      <c r="C87" s="363" t="s">
        <v>118</v>
      </c>
      <c r="D87" s="353">
        <f>SUM(B90:Y90)</f>
        <v>30.779999999999998</v>
      </c>
      <c r="E87" s="363" t="s">
        <v>117</v>
      </c>
      <c r="F87" s="354">
        <f>D87/g/J87</f>
        <v>80.451658433309774</v>
      </c>
      <c r="G87" s="363" t="s">
        <v>59</v>
      </c>
      <c r="H87" s="64">
        <f>H77*3</f>
        <v>7.2000000000000008E-2</v>
      </c>
      <c r="I87" s="363" t="s">
        <v>276</v>
      </c>
      <c r="J87" s="355">
        <f>H87-L87</f>
        <v>3.9000000000000007E-2</v>
      </c>
      <c r="K87" s="363" t="s">
        <v>277</v>
      </c>
      <c r="L87" s="64">
        <f>L77*3</f>
        <v>3.3000000000000002E-2</v>
      </c>
      <c r="M87" s="363" t="s">
        <v>60</v>
      </c>
      <c r="N87" s="65">
        <v>30</v>
      </c>
      <c r="O87" s="363" t="s">
        <v>62</v>
      </c>
      <c r="P87" s="65">
        <v>30</v>
      </c>
      <c r="Q87" s="363" t="s">
        <v>63</v>
      </c>
      <c r="R87" s="65">
        <v>70</v>
      </c>
      <c r="S87" s="363" t="s">
        <v>64</v>
      </c>
      <c r="T87" s="65">
        <v>40</v>
      </c>
      <c r="U87" s="363" t="s">
        <v>57</v>
      </c>
      <c r="V87" s="66" t="s">
        <v>120</v>
      </c>
      <c r="W87" s="463" t="s">
        <v>400</v>
      </c>
      <c r="X87" s="465">
        <v>1.7</v>
      </c>
      <c r="Y87" s="463" t="s">
        <v>399</v>
      </c>
      <c r="Z87" s="358">
        <v>3</v>
      </c>
    </row>
    <row r="88" spans="1:26" x14ac:dyDescent="0.2">
      <c r="A88" s="362" t="s">
        <v>33</v>
      </c>
      <c r="B88" s="370">
        <v>0</v>
      </c>
      <c r="C88" s="371">
        <v>0.2</v>
      </c>
      <c r="D88" s="371">
        <v>0.3</v>
      </c>
      <c r="E88" s="371">
        <v>0.6</v>
      </c>
      <c r="F88" s="371">
        <v>0.8</v>
      </c>
      <c r="G88" s="371">
        <v>2</v>
      </c>
      <c r="H88" s="371">
        <v>2.1</v>
      </c>
      <c r="I88" s="371">
        <v>2.1</v>
      </c>
      <c r="J88" s="371">
        <v>2.1</v>
      </c>
      <c r="K88" s="371">
        <v>2.1</v>
      </c>
      <c r="L88" s="371">
        <v>2.1</v>
      </c>
      <c r="M88" s="371">
        <v>2.1</v>
      </c>
      <c r="N88" s="371">
        <v>2.1</v>
      </c>
      <c r="O88" s="371">
        <v>2.1</v>
      </c>
      <c r="P88" s="371">
        <v>2.1</v>
      </c>
      <c r="Q88" s="371">
        <v>2.1</v>
      </c>
      <c r="R88" s="371">
        <v>2.1</v>
      </c>
      <c r="S88" s="371">
        <v>2.1</v>
      </c>
      <c r="T88" s="371">
        <v>2.1</v>
      </c>
      <c r="U88" s="371">
        <v>2.1</v>
      </c>
      <c r="V88" s="371">
        <v>2.1</v>
      </c>
      <c r="W88" s="371">
        <v>2.1</v>
      </c>
      <c r="X88" s="371">
        <v>2.1</v>
      </c>
      <c r="Y88" s="381">
        <v>1000</v>
      </c>
    </row>
    <row r="89" spans="1:26" x14ac:dyDescent="0.2">
      <c r="A89" s="378" t="s">
        <v>34</v>
      </c>
      <c r="B89" s="372">
        <f>B79*3</f>
        <v>0</v>
      </c>
      <c r="C89" s="373">
        <f t="shared" ref="C89:X89" si="16">C79*3</f>
        <v>33</v>
      </c>
      <c r="D89" s="373">
        <f t="shared" si="16"/>
        <v>21</v>
      </c>
      <c r="E89" s="373">
        <f t="shared" si="16"/>
        <v>12</v>
      </c>
      <c r="F89" s="373">
        <f t="shared" si="16"/>
        <v>13.799999999999999</v>
      </c>
      <c r="G89" s="373">
        <f t="shared" si="16"/>
        <v>13.799999999999999</v>
      </c>
      <c r="H89" s="373">
        <f t="shared" si="16"/>
        <v>0</v>
      </c>
      <c r="I89" s="373">
        <f t="shared" si="16"/>
        <v>0</v>
      </c>
      <c r="J89" s="373">
        <f t="shared" si="16"/>
        <v>0</v>
      </c>
      <c r="K89" s="373">
        <f t="shared" si="16"/>
        <v>0</v>
      </c>
      <c r="L89" s="373">
        <f t="shared" si="16"/>
        <v>0</v>
      </c>
      <c r="M89" s="373">
        <f t="shared" si="16"/>
        <v>0</v>
      </c>
      <c r="N89" s="373">
        <f t="shared" si="16"/>
        <v>0</v>
      </c>
      <c r="O89" s="373">
        <f t="shared" si="16"/>
        <v>0</v>
      </c>
      <c r="P89" s="373">
        <f t="shared" si="16"/>
        <v>0</v>
      </c>
      <c r="Q89" s="373">
        <f t="shared" si="16"/>
        <v>0</v>
      </c>
      <c r="R89" s="373">
        <f t="shared" si="16"/>
        <v>0</v>
      </c>
      <c r="S89" s="373">
        <f t="shared" si="16"/>
        <v>0</v>
      </c>
      <c r="T89" s="373">
        <f t="shared" si="16"/>
        <v>0</v>
      </c>
      <c r="U89" s="373">
        <f t="shared" si="16"/>
        <v>0</v>
      </c>
      <c r="V89" s="373">
        <f t="shared" si="16"/>
        <v>0</v>
      </c>
      <c r="W89" s="373">
        <f t="shared" si="16"/>
        <v>0</v>
      </c>
      <c r="X89" s="373">
        <f t="shared" si="16"/>
        <v>0</v>
      </c>
      <c r="Y89" s="382">
        <v>0</v>
      </c>
    </row>
    <row r="90" spans="1:26" ht="13.5" thickBot="1" x14ac:dyDescent="0.25">
      <c r="A90" s="379" t="s">
        <v>119</v>
      </c>
      <c r="B90" s="374">
        <f t="shared" ref="B90:X90" si="17">(C89+B89)*(C88-B88)/2</f>
        <v>3.3000000000000003</v>
      </c>
      <c r="C90" s="375">
        <f t="shared" si="17"/>
        <v>2.6999999999999993</v>
      </c>
      <c r="D90" s="375">
        <f t="shared" si="17"/>
        <v>4.95</v>
      </c>
      <c r="E90" s="375">
        <f t="shared" si="17"/>
        <v>2.5800000000000005</v>
      </c>
      <c r="F90" s="375">
        <f t="shared" si="17"/>
        <v>16.559999999999999</v>
      </c>
      <c r="G90" s="375">
        <f t="shared" si="17"/>
        <v>0.69000000000000061</v>
      </c>
      <c r="H90" s="375">
        <f t="shared" si="17"/>
        <v>0</v>
      </c>
      <c r="I90" s="375">
        <f t="shared" si="17"/>
        <v>0</v>
      </c>
      <c r="J90" s="375">
        <f t="shared" si="17"/>
        <v>0</v>
      </c>
      <c r="K90" s="375">
        <f t="shared" si="17"/>
        <v>0</v>
      </c>
      <c r="L90" s="375">
        <f t="shared" si="17"/>
        <v>0</v>
      </c>
      <c r="M90" s="375">
        <f t="shared" si="17"/>
        <v>0</v>
      </c>
      <c r="N90" s="375">
        <f t="shared" si="17"/>
        <v>0</v>
      </c>
      <c r="O90" s="375">
        <f t="shared" si="17"/>
        <v>0</v>
      </c>
      <c r="P90" s="375">
        <f t="shared" si="17"/>
        <v>0</v>
      </c>
      <c r="Q90" s="375">
        <f t="shared" si="17"/>
        <v>0</v>
      </c>
      <c r="R90" s="375">
        <f t="shared" si="17"/>
        <v>0</v>
      </c>
      <c r="S90" s="375">
        <f t="shared" si="17"/>
        <v>0</v>
      </c>
      <c r="T90" s="375">
        <f t="shared" si="17"/>
        <v>0</v>
      </c>
      <c r="U90" s="375">
        <f t="shared" si="17"/>
        <v>0</v>
      </c>
      <c r="V90" s="375">
        <f t="shared" si="17"/>
        <v>0</v>
      </c>
      <c r="W90" s="375">
        <f t="shared" si="17"/>
        <v>0</v>
      </c>
      <c r="X90" s="375">
        <f t="shared" si="17"/>
        <v>0</v>
      </c>
      <c r="Y90" s="369"/>
    </row>
    <row r="91" spans="1:26" ht="13.5" thickBot="1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6" ht="13.5" thickBot="1" x14ac:dyDescent="0.25">
      <c r="A92" s="361" t="s">
        <v>547</v>
      </c>
      <c r="B92" s="359">
        <f>ROW(A92)</f>
        <v>92</v>
      </c>
      <c r="C92" s="363" t="s">
        <v>118</v>
      </c>
      <c r="D92" s="353">
        <f>SUM(B95:Y95)</f>
        <v>19.961989000000003</v>
      </c>
      <c r="E92" s="363" t="s">
        <v>117</v>
      </c>
      <c r="F92" s="354">
        <f>D92/g/J92</f>
        <v>118.30588744280873</v>
      </c>
      <c r="G92" s="363" t="s">
        <v>59</v>
      </c>
      <c r="H92" s="64">
        <v>2.8199999999999999E-2</v>
      </c>
      <c r="I92" s="363" t="s">
        <v>276</v>
      </c>
      <c r="J92" s="355">
        <f>H92-L92</f>
        <v>1.72E-2</v>
      </c>
      <c r="K92" s="363" t="s">
        <v>277</v>
      </c>
      <c r="L92" s="64">
        <v>1.0999999999999999E-2</v>
      </c>
      <c r="M92" s="363" t="s">
        <v>60</v>
      </c>
      <c r="N92" s="65">
        <v>30</v>
      </c>
      <c r="O92" s="363" t="s">
        <v>62</v>
      </c>
      <c r="P92" s="65">
        <v>30</v>
      </c>
      <c r="Q92" s="363" t="s">
        <v>63</v>
      </c>
      <c r="R92" s="65">
        <v>70</v>
      </c>
      <c r="S92" s="363" t="s">
        <v>64</v>
      </c>
      <c r="T92" s="65">
        <v>18</v>
      </c>
      <c r="U92" s="363" t="s">
        <v>57</v>
      </c>
      <c r="V92" s="66" t="s">
        <v>407</v>
      </c>
      <c r="W92" s="463" t="s">
        <v>400</v>
      </c>
      <c r="X92" s="465">
        <v>2.1</v>
      </c>
      <c r="Y92" s="463" t="s">
        <v>399</v>
      </c>
      <c r="Z92" s="358">
        <v>7</v>
      </c>
    </row>
    <row r="93" spans="1:26" x14ac:dyDescent="0.2">
      <c r="A93" s="362" t="s">
        <v>33</v>
      </c>
      <c r="B93" s="370">
        <v>0</v>
      </c>
      <c r="C93" s="472">
        <v>0.04</v>
      </c>
      <c r="D93" s="472">
        <v>0.11600000000000001</v>
      </c>
      <c r="E93" s="472">
        <v>0.21299999999999999</v>
      </c>
      <c r="F93" s="472">
        <v>0.28599999999999998</v>
      </c>
      <c r="G93" s="472">
        <v>0.32900000000000001</v>
      </c>
      <c r="H93" s="472">
        <v>0.36899999999999999</v>
      </c>
      <c r="I93" s="472">
        <v>0.42</v>
      </c>
      <c r="J93" s="472">
        <v>0.495</v>
      </c>
      <c r="K93" s="472">
        <v>0.59699999999999998</v>
      </c>
      <c r="L93" s="472">
        <v>1.7110000000000001</v>
      </c>
      <c r="M93" s="472">
        <v>1.8260000000000001</v>
      </c>
      <c r="N93" s="472">
        <v>1.917</v>
      </c>
      <c r="O93" s="472">
        <v>1.9750000000000001</v>
      </c>
      <c r="P93" s="472">
        <v>2.206</v>
      </c>
      <c r="Q93" s="472">
        <v>2.242</v>
      </c>
      <c r="R93" s="371">
        <v>2.5</v>
      </c>
      <c r="S93" s="371">
        <v>2.5</v>
      </c>
      <c r="T93" s="371">
        <v>2.5</v>
      </c>
      <c r="U93" s="371">
        <v>2.5</v>
      </c>
      <c r="V93" s="371">
        <v>2.5</v>
      </c>
      <c r="W93" s="371">
        <v>2.5</v>
      </c>
      <c r="X93" s="371">
        <v>2.5</v>
      </c>
      <c r="Y93" s="381">
        <v>1000</v>
      </c>
    </row>
    <row r="94" spans="1:26" x14ac:dyDescent="0.2">
      <c r="A94" s="378" t="s">
        <v>34</v>
      </c>
      <c r="B94" s="372">
        <v>0</v>
      </c>
      <c r="C94" s="472">
        <v>2.1110000000000002</v>
      </c>
      <c r="D94" s="472">
        <v>9.6850000000000005</v>
      </c>
      <c r="E94" s="472">
        <v>25</v>
      </c>
      <c r="F94" s="472">
        <v>15.738</v>
      </c>
      <c r="G94" s="472">
        <v>12.472</v>
      </c>
      <c r="H94" s="472">
        <v>10.67</v>
      </c>
      <c r="I94" s="472">
        <v>9.7129999999999992</v>
      </c>
      <c r="J94" s="472">
        <v>9.1780000000000008</v>
      </c>
      <c r="K94" s="472">
        <v>8.8960000000000008</v>
      </c>
      <c r="L94" s="472">
        <v>8.9250000000000007</v>
      </c>
      <c r="M94" s="472">
        <v>8.6989999999999998</v>
      </c>
      <c r="N94" s="472">
        <v>8.0519999999999996</v>
      </c>
      <c r="O94" s="472">
        <v>6.9539999999999997</v>
      </c>
      <c r="P94" s="472">
        <v>1.07</v>
      </c>
      <c r="Q94" s="472">
        <v>0</v>
      </c>
      <c r="R94" s="373">
        <v>0</v>
      </c>
      <c r="S94" s="373">
        <v>0</v>
      </c>
      <c r="T94" s="373">
        <v>0</v>
      </c>
      <c r="U94" s="373">
        <v>0</v>
      </c>
      <c r="V94" s="373">
        <v>0</v>
      </c>
      <c r="W94" s="373">
        <v>0</v>
      </c>
      <c r="X94" s="373">
        <v>0</v>
      </c>
      <c r="Y94" s="382">
        <v>0</v>
      </c>
    </row>
    <row r="95" spans="1:26" ht="13.5" thickBot="1" x14ac:dyDescent="0.25">
      <c r="A95" s="379" t="s">
        <v>119</v>
      </c>
      <c r="B95" s="374">
        <f t="shared" ref="B95:X95" si="18">(C94+B94)*(C93-B93)/2</f>
        <v>4.2220000000000008E-2</v>
      </c>
      <c r="C95" s="375">
        <f t="shared" si="18"/>
        <v>0.44824800000000009</v>
      </c>
      <c r="D95" s="375">
        <f t="shared" si="18"/>
        <v>1.6822225</v>
      </c>
      <c r="E95" s="375">
        <f t="shared" si="18"/>
        <v>1.4869369999999995</v>
      </c>
      <c r="F95" s="375">
        <f t="shared" si="18"/>
        <v>0.60651500000000058</v>
      </c>
      <c r="G95" s="375">
        <f t="shared" si="18"/>
        <v>0.46283999999999975</v>
      </c>
      <c r="H95" s="375">
        <f t="shared" si="18"/>
        <v>0.51976649999999991</v>
      </c>
      <c r="I95" s="375">
        <f t="shared" si="18"/>
        <v>0.7084125</v>
      </c>
      <c r="J95" s="375">
        <f t="shared" si="18"/>
        <v>0.92177399999999987</v>
      </c>
      <c r="K95" s="375">
        <f t="shared" si="18"/>
        <v>9.9262970000000017</v>
      </c>
      <c r="L95" s="375">
        <f t="shared" si="18"/>
        <v>1.0133799999999999</v>
      </c>
      <c r="M95" s="375">
        <f t="shared" si="18"/>
        <v>0.76217049999999964</v>
      </c>
      <c r="N95" s="375">
        <f t="shared" si="18"/>
        <v>0.43517400000000039</v>
      </c>
      <c r="O95" s="375">
        <f t="shared" si="18"/>
        <v>0.92677199999999937</v>
      </c>
      <c r="P95" s="375">
        <f t="shared" si="18"/>
        <v>1.9260000000000017E-2</v>
      </c>
      <c r="Q95" s="375">
        <f t="shared" si="18"/>
        <v>0</v>
      </c>
      <c r="R95" s="375">
        <f t="shared" si="18"/>
        <v>0</v>
      </c>
      <c r="S95" s="375">
        <f t="shared" si="18"/>
        <v>0</v>
      </c>
      <c r="T95" s="375">
        <f t="shared" si="18"/>
        <v>0</v>
      </c>
      <c r="U95" s="375">
        <f t="shared" si="18"/>
        <v>0</v>
      </c>
      <c r="V95" s="375">
        <f t="shared" si="18"/>
        <v>0</v>
      </c>
      <c r="W95" s="375">
        <f t="shared" si="18"/>
        <v>0</v>
      </c>
      <c r="X95" s="375">
        <f t="shared" si="18"/>
        <v>0</v>
      </c>
      <c r="Y95" s="369"/>
    </row>
    <row r="96" spans="1:26" ht="13.5" thickBot="1" x14ac:dyDescent="0.25">
      <c r="A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6" ht="13.5" thickBot="1" x14ac:dyDescent="0.25">
      <c r="A97" s="361" t="s">
        <v>545</v>
      </c>
      <c r="B97" s="359">
        <f>ROW(A97)</f>
        <v>97</v>
      </c>
      <c r="C97" s="363" t="s">
        <v>118</v>
      </c>
      <c r="D97" s="353">
        <f>SUM(B100:Y100)</f>
        <v>39.923978000000005</v>
      </c>
      <c r="E97" s="363" t="s">
        <v>117</v>
      </c>
      <c r="F97" s="354">
        <f>D97/g/J97</f>
        <v>118.30588744280873</v>
      </c>
      <c r="G97" s="363" t="s">
        <v>59</v>
      </c>
      <c r="H97" s="64">
        <f>H92*2</f>
        <v>5.6399999999999999E-2</v>
      </c>
      <c r="I97" s="363" t="s">
        <v>276</v>
      </c>
      <c r="J97" s="355">
        <f>H97-L97</f>
        <v>3.44E-2</v>
      </c>
      <c r="K97" s="363" t="s">
        <v>277</v>
      </c>
      <c r="L97" s="64">
        <f>L92*2</f>
        <v>2.1999999999999999E-2</v>
      </c>
      <c r="M97" s="363" t="s">
        <v>60</v>
      </c>
      <c r="N97" s="65">
        <v>30</v>
      </c>
      <c r="O97" s="363" t="s">
        <v>62</v>
      </c>
      <c r="P97" s="65">
        <v>30</v>
      </c>
      <c r="Q97" s="363" t="s">
        <v>63</v>
      </c>
      <c r="R97" s="65">
        <v>70</v>
      </c>
      <c r="S97" s="363" t="s">
        <v>64</v>
      </c>
      <c r="T97" s="65">
        <v>30</v>
      </c>
      <c r="U97" s="363" t="s">
        <v>57</v>
      </c>
      <c r="V97" s="66" t="s">
        <v>407</v>
      </c>
      <c r="W97" s="463" t="s">
        <v>400</v>
      </c>
      <c r="X97" s="465">
        <v>2.1</v>
      </c>
      <c r="Y97" s="463" t="s">
        <v>399</v>
      </c>
      <c r="Z97" s="358">
        <v>7</v>
      </c>
    </row>
    <row r="98" spans="1:26" x14ac:dyDescent="0.2">
      <c r="A98" s="362" t="s">
        <v>33</v>
      </c>
      <c r="B98" s="370">
        <v>0</v>
      </c>
      <c r="C98" s="371">
        <f>C93</f>
        <v>0.04</v>
      </c>
      <c r="D98" s="371">
        <f t="shared" ref="D98:X98" si="19">D93</f>
        <v>0.11600000000000001</v>
      </c>
      <c r="E98" s="371">
        <f t="shared" si="19"/>
        <v>0.21299999999999999</v>
      </c>
      <c r="F98" s="371">
        <f t="shared" si="19"/>
        <v>0.28599999999999998</v>
      </c>
      <c r="G98" s="371">
        <f t="shared" si="19"/>
        <v>0.32900000000000001</v>
      </c>
      <c r="H98" s="371">
        <f t="shared" si="19"/>
        <v>0.36899999999999999</v>
      </c>
      <c r="I98" s="371">
        <f t="shared" si="19"/>
        <v>0.42</v>
      </c>
      <c r="J98" s="371">
        <f t="shared" si="19"/>
        <v>0.495</v>
      </c>
      <c r="K98" s="371">
        <f t="shared" si="19"/>
        <v>0.59699999999999998</v>
      </c>
      <c r="L98" s="371">
        <f t="shared" si="19"/>
        <v>1.7110000000000001</v>
      </c>
      <c r="M98" s="371">
        <f t="shared" si="19"/>
        <v>1.8260000000000001</v>
      </c>
      <c r="N98" s="371">
        <f t="shared" si="19"/>
        <v>1.917</v>
      </c>
      <c r="O98" s="371">
        <f t="shared" si="19"/>
        <v>1.9750000000000001</v>
      </c>
      <c r="P98" s="371">
        <f t="shared" si="19"/>
        <v>2.206</v>
      </c>
      <c r="Q98" s="371">
        <f t="shared" si="19"/>
        <v>2.242</v>
      </c>
      <c r="R98" s="371">
        <f t="shared" si="19"/>
        <v>2.5</v>
      </c>
      <c r="S98" s="371">
        <f>S93</f>
        <v>2.5</v>
      </c>
      <c r="T98" s="371">
        <f t="shared" si="19"/>
        <v>2.5</v>
      </c>
      <c r="U98" s="371">
        <f t="shared" si="19"/>
        <v>2.5</v>
      </c>
      <c r="V98" s="371">
        <f t="shared" si="19"/>
        <v>2.5</v>
      </c>
      <c r="W98" s="371">
        <f t="shared" si="19"/>
        <v>2.5</v>
      </c>
      <c r="X98" s="371">
        <f t="shared" si="19"/>
        <v>2.5</v>
      </c>
      <c r="Y98" s="381">
        <v>1000</v>
      </c>
    </row>
    <row r="99" spans="1:26" x14ac:dyDescent="0.2">
      <c r="A99" s="378" t="s">
        <v>34</v>
      </c>
      <c r="B99" s="372">
        <f>B94*2</f>
        <v>0</v>
      </c>
      <c r="C99" s="373">
        <f t="shared" ref="C99:X99" si="20">C94*2</f>
        <v>4.2220000000000004</v>
      </c>
      <c r="D99" s="373">
        <f t="shared" si="20"/>
        <v>19.37</v>
      </c>
      <c r="E99" s="373">
        <f t="shared" si="20"/>
        <v>50</v>
      </c>
      <c r="F99" s="373">
        <f t="shared" si="20"/>
        <v>31.475999999999999</v>
      </c>
      <c r="G99" s="373">
        <f t="shared" si="20"/>
        <v>24.943999999999999</v>
      </c>
      <c r="H99" s="373">
        <f t="shared" si="20"/>
        <v>21.34</v>
      </c>
      <c r="I99" s="373">
        <f t="shared" si="20"/>
        <v>19.425999999999998</v>
      </c>
      <c r="J99" s="373">
        <f t="shared" si="20"/>
        <v>18.356000000000002</v>
      </c>
      <c r="K99" s="373">
        <f t="shared" si="20"/>
        <v>17.792000000000002</v>
      </c>
      <c r="L99" s="373">
        <f t="shared" si="20"/>
        <v>17.850000000000001</v>
      </c>
      <c r="M99" s="373">
        <f t="shared" si="20"/>
        <v>17.398</v>
      </c>
      <c r="N99" s="373">
        <f t="shared" si="20"/>
        <v>16.103999999999999</v>
      </c>
      <c r="O99" s="373">
        <f t="shared" si="20"/>
        <v>13.907999999999999</v>
      </c>
      <c r="P99" s="373">
        <f t="shared" si="20"/>
        <v>2.14</v>
      </c>
      <c r="Q99" s="373">
        <f t="shared" si="20"/>
        <v>0</v>
      </c>
      <c r="R99" s="373">
        <f t="shared" si="20"/>
        <v>0</v>
      </c>
      <c r="S99" s="373">
        <f t="shared" si="20"/>
        <v>0</v>
      </c>
      <c r="T99" s="373">
        <f t="shared" si="20"/>
        <v>0</v>
      </c>
      <c r="U99" s="373">
        <f t="shared" si="20"/>
        <v>0</v>
      </c>
      <c r="V99" s="373">
        <f t="shared" si="20"/>
        <v>0</v>
      </c>
      <c r="W99" s="373">
        <f t="shared" si="20"/>
        <v>0</v>
      </c>
      <c r="X99" s="373">
        <f t="shared" si="20"/>
        <v>0</v>
      </c>
      <c r="Y99" s="382">
        <v>0</v>
      </c>
    </row>
    <row r="100" spans="1:26" ht="13.5" thickBot="1" x14ac:dyDescent="0.25">
      <c r="A100" s="379" t="s">
        <v>119</v>
      </c>
      <c r="B100" s="374">
        <f t="shared" ref="B100:X100" si="21">(C99+B99)*(C98-B98)/2</f>
        <v>8.4440000000000015E-2</v>
      </c>
      <c r="C100" s="375">
        <f t="shared" si="21"/>
        <v>0.89649600000000018</v>
      </c>
      <c r="D100" s="375">
        <f t="shared" si="21"/>
        <v>3.3644449999999999</v>
      </c>
      <c r="E100" s="375">
        <f t="shared" si="21"/>
        <v>2.973873999999999</v>
      </c>
      <c r="F100" s="375">
        <f t="shared" si="21"/>
        <v>1.2130300000000012</v>
      </c>
      <c r="G100" s="375">
        <f t="shared" si="21"/>
        <v>0.9256799999999995</v>
      </c>
      <c r="H100" s="375">
        <f t="shared" si="21"/>
        <v>1.0395329999999998</v>
      </c>
      <c r="I100" s="375">
        <f t="shared" si="21"/>
        <v>1.416825</v>
      </c>
      <c r="J100" s="375">
        <f t="shared" si="21"/>
        <v>1.8435479999999997</v>
      </c>
      <c r="K100" s="375">
        <f t="shared" si="21"/>
        <v>19.852594000000003</v>
      </c>
      <c r="L100" s="375">
        <f t="shared" si="21"/>
        <v>2.0267599999999999</v>
      </c>
      <c r="M100" s="375">
        <f t="shared" si="21"/>
        <v>1.5243409999999993</v>
      </c>
      <c r="N100" s="375">
        <f t="shared" si="21"/>
        <v>0.87034800000000079</v>
      </c>
      <c r="O100" s="375">
        <f t="shared" si="21"/>
        <v>1.8535439999999987</v>
      </c>
      <c r="P100" s="375">
        <f t="shared" si="21"/>
        <v>3.8520000000000033E-2</v>
      </c>
      <c r="Q100" s="375">
        <f t="shared" si="21"/>
        <v>0</v>
      </c>
      <c r="R100" s="375">
        <f t="shared" si="21"/>
        <v>0</v>
      </c>
      <c r="S100" s="375">
        <f t="shared" si="21"/>
        <v>0</v>
      </c>
      <c r="T100" s="375">
        <f t="shared" si="21"/>
        <v>0</v>
      </c>
      <c r="U100" s="375">
        <f t="shared" si="21"/>
        <v>0</v>
      </c>
      <c r="V100" s="375">
        <f t="shared" si="21"/>
        <v>0</v>
      </c>
      <c r="W100" s="375">
        <f t="shared" si="21"/>
        <v>0</v>
      </c>
      <c r="X100" s="375">
        <f t="shared" si="21"/>
        <v>0</v>
      </c>
      <c r="Y100" s="369"/>
    </row>
    <row r="101" spans="1:26" ht="13.5" thickBot="1" x14ac:dyDescent="0.2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6" ht="13.5" thickBot="1" x14ac:dyDescent="0.25">
      <c r="A102" s="361" t="s">
        <v>546</v>
      </c>
      <c r="B102" s="359">
        <f>ROW(A102)</f>
        <v>102</v>
      </c>
      <c r="C102" s="363" t="s">
        <v>118</v>
      </c>
      <c r="D102" s="353">
        <f>SUM(B105:Y105)</f>
        <v>59.885967000000008</v>
      </c>
      <c r="E102" s="363" t="s">
        <v>117</v>
      </c>
      <c r="F102" s="354">
        <f>D102/g/J102</f>
        <v>118.30588744280874</v>
      </c>
      <c r="G102" s="363" t="s">
        <v>59</v>
      </c>
      <c r="H102" s="64">
        <f>H92*3</f>
        <v>8.4599999999999995E-2</v>
      </c>
      <c r="I102" s="363" t="s">
        <v>276</v>
      </c>
      <c r="J102" s="355">
        <f>H102-L102</f>
        <v>5.1599999999999993E-2</v>
      </c>
      <c r="K102" s="363" t="s">
        <v>277</v>
      </c>
      <c r="L102" s="64">
        <f>L92*3</f>
        <v>3.3000000000000002E-2</v>
      </c>
      <c r="M102" s="363" t="s">
        <v>60</v>
      </c>
      <c r="N102" s="65">
        <v>30</v>
      </c>
      <c r="O102" s="363" t="s">
        <v>62</v>
      </c>
      <c r="P102" s="65">
        <v>30</v>
      </c>
      <c r="Q102" s="363" t="s">
        <v>63</v>
      </c>
      <c r="R102" s="65">
        <v>70</v>
      </c>
      <c r="S102" s="363" t="s">
        <v>64</v>
      </c>
      <c r="T102" s="65">
        <v>40</v>
      </c>
      <c r="U102" s="363" t="s">
        <v>57</v>
      </c>
      <c r="V102" s="66" t="s">
        <v>407</v>
      </c>
      <c r="W102" s="463" t="s">
        <v>400</v>
      </c>
      <c r="X102" s="465">
        <v>2.1</v>
      </c>
      <c r="Y102" s="463" t="s">
        <v>399</v>
      </c>
      <c r="Z102" s="358">
        <v>7</v>
      </c>
    </row>
    <row r="103" spans="1:26" x14ac:dyDescent="0.2">
      <c r="A103" s="362" t="s">
        <v>33</v>
      </c>
      <c r="B103" s="370">
        <v>0</v>
      </c>
      <c r="C103" s="371">
        <f>C93</f>
        <v>0.04</v>
      </c>
      <c r="D103" s="371">
        <f t="shared" ref="D103:X103" si="22">D93</f>
        <v>0.11600000000000001</v>
      </c>
      <c r="E103" s="371">
        <f t="shared" si="22"/>
        <v>0.21299999999999999</v>
      </c>
      <c r="F103" s="371">
        <f t="shared" si="22"/>
        <v>0.28599999999999998</v>
      </c>
      <c r="G103" s="371">
        <f t="shared" si="22"/>
        <v>0.32900000000000001</v>
      </c>
      <c r="H103" s="371">
        <f t="shared" si="22"/>
        <v>0.36899999999999999</v>
      </c>
      <c r="I103" s="371">
        <f t="shared" si="22"/>
        <v>0.42</v>
      </c>
      <c r="J103" s="371">
        <f t="shared" si="22"/>
        <v>0.495</v>
      </c>
      <c r="K103" s="371">
        <f t="shared" si="22"/>
        <v>0.59699999999999998</v>
      </c>
      <c r="L103" s="371">
        <f t="shared" si="22"/>
        <v>1.7110000000000001</v>
      </c>
      <c r="M103" s="371">
        <f t="shared" si="22"/>
        <v>1.8260000000000001</v>
      </c>
      <c r="N103" s="371">
        <f t="shared" si="22"/>
        <v>1.917</v>
      </c>
      <c r="O103" s="371">
        <f t="shared" si="22"/>
        <v>1.9750000000000001</v>
      </c>
      <c r="P103" s="371">
        <f t="shared" si="22"/>
        <v>2.206</v>
      </c>
      <c r="Q103" s="371">
        <f t="shared" si="22"/>
        <v>2.242</v>
      </c>
      <c r="R103" s="371">
        <f t="shared" si="22"/>
        <v>2.5</v>
      </c>
      <c r="S103" s="371">
        <f t="shared" si="22"/>
        <v>2.5</v>
      </c>
      <c r="T103" s="371">
        <f t="shared" si="22"/>
        <v>2.5</v>
      </c>
      <c r="U103" s="371">
        <f t="shared" si="22"/>
        <v>2.5</v>
      </c>
      <c r="V103" s="371">
        <f t="shared" si="22"/>
        <v>2.5</v>
      </c>
      <c r="W103" s="371">
        <f t="shared" si="22"/>
        <v>2.5</v>
      </c>
      <c r="X103" s="371">
        <f t="shared" si="22"/>
        <v>2.5</v>
      </c>
      <c r="Y103" s="381">
        <v>1000</v>
      </c>
    </row>
    <row r="104" spans="1:26" x14ac:dyDescent="0.2">
      <c r="A104" s="378" t="s">
        <v>34</v>
      </c>
      <c r="B104" s="372">
        <f>B94*3</f>
        <v>0</v>
      </c>
      <c r="C104" s="373">
        <f t="shared" ref="C104:X104" si="23">C94*3</f>
        <v>6.3330000000000002</v>
      </c>
      <c r="D104" s="373">
        <f t="shared" si="23"/>
        <v>29.055</v>
      </c>
      <c r="E104" s="373">
        <f t="shared" si="23"/>
        <v>75</v>
      </c>
      <c r="F104" s="373">
        <f t="shared" si="23"/>
        <v>47.213999999999999</v>
      </c>
      <c r="G104" s="373">
        <f t="shared" si="23"/>
        <v>37.415999999999997</v>
      </c>
      <c r="H104" s="373">
        <f t="shared" si="23"/>
        <v>32.01</v>
      </c>
      <c r="I104" s="373">
        <f t="shared" si="23"/>
        <v>29.138999999999996</v>
      </c>
      <c r="J104" s="373">
        <f t="shared" si="23"/>
        <v>27.534000000000002</v>
      </c>
      <c r="K104" s="373">
        <f t="shared" si="23"/>
        <v>26.688000000000002</v>
      </c>
      <c r="L104" s="373">
        <f t="shared" si="23"/>
        <v>26.775000000000002</v>
      </c>
      <c r="M104" s="373">
        <f t="shared" si="23"/>
        <v>26.097000000000001</v>
      </c>
      <c r="N104" s="373">
        <f t="shared" si="23"/>
        <v>24.155999999999999</v>
      </c>
      <c r="O104" s="373">
        <f t="shared" si="23"/>
        <v>20.861999999999998</v>
      </c>
      <c r="P104" s="373">
        <f t="shared" si="23"/>
        <v>3.21</v>
      </c>
      <c r="Q104" s="373">
        <f t="shared" si="23"/>
        <v>0</v>
      </c>
      <c r="R104" s="373">
        <f t="shared" si="23"/>
        <v>0</v>
      </c>
      <c r="S104" s="373">
        <f t="shared" si="23"/>
        <v>0</v>
      </c>
      <c r="T104" s="373">
        <f t="shared" si="23"/>
        <v>0</v>
      </c>
      <c r="U104" s="373">
        <f t="shared" si="23"/>
        <v>0</v>
      </c>
      <c r="V104" s="373">
        <f t="shared" si="23"/>
        <v>0</v>
      </c>
      <c r="W104" s="373">
        <f t="shared" si="23"/>
        <v>0</v>
      </c>
      <c r="X104" s="373">
        <f t="shared" si="23"/>
        <v>0</v>
      </c>
      <c r="Y104" s="382">
        <v>0</v>
      </c>
    </row>
    <row r="105" spans="1:26" ht="13.5" thickBot="1" x14ac:dyDescent="0.25">
      <c r="A105" s="379" t="s">
        <v>119</v>
      </c>
      <c r="B105" s="374">
        <f t="shared" ref="B105:X105" si="24">(C104+B104)*(C103-B103)/2</f>
        <v>0.12665999999999999</v>
      </c>
      <c r="C105" s="375">
        <f t="shared" si="24"/>
        <v>1.3447440000000002</v>
      </c>
      <c r="D105" s="375">
        <f t="shared" si="24"/>
        <v>5.0466674999999999</v>
      </c>
      <c r="E105" s="375">
        <f t="shared" si="24"/>
        <v>4.4608109999999987</v>
      </c>
      <c r="F105" s="375">
        <f t="shared" si="24"/>
        <v>1.8195450000000015</v>
      </c>
      <c r="G105" s="375">
        <f t="shared" si="24"/>
        <v>1.3885199999999991</v>
      </c>
      <c r="H105" s="375">
        <f t="shared" si="24"/>
        <v>1.5592994999999996</v>
      </c>
      <c r="I105" s="375">
        <f t="shared" si="24"/>
        <v>2.1252375000000003</v>
      </c>
      <c r="J105" s="375">
        <f t="shared" si="24"/>
        <v>2.7653219999999998</v>
      </c>
      <c r="K105" s="375">
        <f t="shared" si="24"/>
        <v>29.778891000000009</v>
      </c>
      <c r="L105" s="375">
        <f t="shared" si="24"/>
        <v>3.0401399999999996</v>
      </c>
      <c r="M105" s="375">
        <f t="shared" si="24"/>
        <v>2.2865114999999991</v>
      </c>
      <c r="N105" s="375">
        <f t="shared" si="24"/>
        <v>1.3055220000000012</v>
      </c>
      <c r="O105" s="375">
        <f t="shared" si="24"/>
        <v>2.7803159999999982</v>
      </c>
      <c r="P105" s="375">
        <f t="shared" si="24"/>
        <v>5.7780000000000054E-2</v>
      </c>
      <c r="Q105" s="375">
        <f t="shared" si="24"/>
        <v>0</v>
      </c>
      <c r="R105" s="375">
        <f t="shared" si="24"/>
        <v>0</v>
      </c>
      <c r="S105" s="375">
        <f t="shared" si="24"/>
        <v>0</v>
      </c>
      <c r="T105" s="375">
        <f t="shared" si="24"/>
        <v>0</v>
      </c>
      <c r="U105" s="375">
        <f t="shared" si="24"/>
        <v>0</v>
      </c>
      <c r="V105" s="375">
        <f t="shared" si="24"/>
        <v>0</v>
      </c>
      <c r="W105" s="375">
        <f t="shared" si="24"/>
        <v>0</v>
      </c>
      <c r="X105" s="375">
        <f t="shared" si="24"/>
        <v>0</v>
      </c>
      <c r="Y105" s="369"/>
    </row>
    <row r="107" spans="1:26" ht="13.5" thickBot="1" x14ac:dyDescent="0.25">
      <c r="A107" s="6" t="s">
        <v>322</v>
      </c>
    </row>
    <row r="108" spans="1:26" ht="13.5" thickBot="1" x14ac:dyDescent="0.25">
      <c r="A108" s="361" t="s">
        <v>325</v>
      </c>
      <c r="B108" s="359">
        <f>ROW(A108)</f>
        <v>108</v>
      </c>
      <c r="C108" s="363" t="s">
        <v>118</v>
      </c>
      <c r="D108" s="353">
        <f>SUM(B111:Y111)</f>
        <v>24.269519000000003</v>
      </c>
      <c r="E108" s="363" t="s">
        <v>117</v>
      </c>
      <c r="F108" s="354">
        <f>D108/g/J108</f>
        <v>154.62231778797147</v>
      </c>
      <c r="G108" s="363" t="s">
        <v>59</v>
      </c>
      <c r="H108" s="64">
        <v>5.1999999999999998E-2</v>
      </c>
      <c r="I108" s="363" t="s">
        <v>276</v>
      </c>
      <c r="J108" s="355">
        <f>H108-L108</f>
        <v>1.6E-2</v>
      </c>
      <c r="K108" s="363" t="s">
        <v>277</v>
      </c>
      <c r="L108" s="64">
        <v>3.5999999999999997E-2</v>
      </c>
      <c r="M108" s="363" t="s">
        <v>60</v>
      </c>
      <c r="N108" s="396">
        <v>35</v>
      </c>
      <c r="O108" s="363" t="s">
        <v>62</v>
      </c>
      <c r="P108" s="396">
        <v>35</v>
      </c>
      <c r="Q108" s="363" t="s">
        <v>63</v>
      </c>
      <c r="R108" s="65">
        <v>69</v>
      </c>
      <c r="S108" s="363" t="s">
        <v>64</v>
      </c>
      <c r="T108" s="65">
        <v>24</v>
      </c>
      <c r="U108" s="363" t="s">
        <v>57</v>
      </c>
      <c r="V108" s="66" t="s">
        <v>405</v>
      </c>
      <c r="W108" s="463" t="s">
        <v>400</v>
      </c>
      <c r="X108" s="465">
        <v>1</v>
      </c>
      <c r="Y108" s="463" t="s">
        <v>399</v>
      </c>
      <c r="Z108" s="358">
        <v>13</v>
      </c>
    </row>
    <row r="109" spans="1:26" x14ac:dyDescent="0.2">
      <c r="A109" s="362" t="s">
        <v>33</v>
      </c>
      <c r="B109" s="370">
        <v>0</v>
      </c>
      <c r="C109" s="371">
        <v>8.0000000000000002E-3</v>
      </c>
      <c r="D109" s="371">
        <v>2.5999999999999999E-2</v>
      </c>
      <c r="E109" s="371">
        <v>3.7999999999999999E-2</v>
      </c>
      <c r="F109" s="371">
        <v>6.7000000000000004E-2</v>
      </c>
      <c r="G109" s="371">
        <v>0.10100000000000001</v>
      </c>
      <c r="H109" s="371">
        <v>0.33</v>
      </c>
      <c r="I109" s="371">
        <v>0.52800000000000002</v>
      </c>
      <c r="J109" s="371">
        <v>0.71599999999999997</v>
      </c>
      <c r="K109" s="371">
        <v>0.84099999999999997</v>
      </c>
      <c r="L109" s="371">
        <v>0.91200000000000003</v>
      </c>
      <c r="M109" s="371">
        <v>0.98699999999999999</v>
      </c>
      <c r="N109" s="371">
        <v>1.016</v>
      </c>
      <c r="O109" s="371">
        <v>1.0649999999999999</v>
      </c>
      <c r="P109" s="371">
        <v>1.087</v>
      </c>
      <c r="Q109" s="371">
        <v>2</v>
      </c>
      <c r="R109" s="371">
        <v>2</v>
      </c>
      <c r="S109" s="371">
        <v>2</v>
      </c>
      <c r="T109" s="371">
        <v>2</v>
      </c>
      <c r="U109" s="371">
        <v>2</v>
      </c>
      <c r="V109" s="371">
        <v>2</v>
      </c>
      <c r="W109" s="371">
        <v>2</v>
      </c>
      <c r="X109" s="371">
        <v>2</v>
      </c>
      <c r="Y109" s="381">
        <v>1000</v>
      </c>
    </row>
    <row r="110" spans="1:26" x14ac:dyDescent="0.2">
      <c r="A110" s="378" t="s">
        <v>34</v>
      </c>
      <c r="B110" s="372">
        <v>0</v>
      </c>
      <c r="C110" s="373">
        <v>18.292000000000002</v>
      </c>
      <c r="D110" s="373">
        <v>30</v>
      </c>
      <c r="E110" s="373">
        <v>30.792000000000002</v>
      </c>
      <c r="F110" s="373">
        <v>18.707999999999998</v>
      </c>
      <c r="G110" s="373">
        <v>21.875</v>
      </c>
      <c r="H110" s="373">
        <v>26.082999999999998</v>
      </c>
      <c r="I110" s="373">
        <v>28.042000000000002</v>
      </c>
      <c r="J110" s="373">
        <v>27.875</v>
      </c>
      <c r="K110" s="373">
        <v>23.542000000000002</v>
      </c>
      <c r="L110" s="373">
        <v>17.832999999999998</v>
      </c>
      <c r="M110" s="373">
        <v>7</v>
      </c>
      <c r="N110" s="373">
        <v>3.3330000000000002</v>
      </c>
      <c r="O110" s="373">
        <v>1.083</v>
      </c>
      <c r="P110" s="373">
        <v>0</v>
      </c>
      <c r="Q110" s="373">
        <v>0</v>
      </c>
      <c r="R110" s="373">
        <v>0</v>
      </c>
      <c r="S110" s="373">
        <v>0</v>
      </c>
      <c r="T110" s="373">
        <f>S110</f>
        <v>0</v>
      </c>
      <c r="U110" s="373">
        <f>T110</f>
        <v>0</v>
      </c>
      <c r="V110" s="373">
        <f>U110</f>
        <v>0</v>
      </c>
      <c r="W110" s="373">
        <f>V110</f>
        <v>0</v>
      </c>
      <c r="X110" s="373">
        <f>W110</f>
        <v>0</v>
      </c>
      <c r="Y110" s="382">
        <v>0</v>
      </c>
    </row>
    <row r="111" spans="1:26" ht="13.5" thickBot="1" x14ac:dyDescent="0.25">
      <c r="A111" s="379" t="s">
        <v>119</v>
      </c>
      <c r="B111" s="374">
        <f t="shared" ref="B111:V111" si="25">(C110+B110)*(C109-B109)/2</f>
        <v>7.3168000000000011E-2</v>
      </c>
      <c r="C111" s="375">
        <f t="shared" si="25"/>
        <v>0.43462799999999996</v>
      </c>
      <c r="D111" s="375">
        <f t="shared" si="25"/>
        <v>0.36475200000000002</v>
      </c>
      <c r="E111" s="375">
        <f t="shared" si="25"/>
        <v>0.71775000000000011</v>
      </c>
      <c r="F111" s="375">
        <f t="shared" si="25"/>
        <v>0.68991100000000005</v>
      </c>
      <c r="G111" s="375">
        <f t="shared" si="25"/>
        <v>5.4911909999999997</v>
      </c>
      <c r="H111" s="375">
        <f t="shared" si="25"/>
        <v>5.3583750000000006</v>
      </c>
      <c r="I111" s="375">
        <f t="shared" si="25"/>
        <v>5.2561979999999986</v>
      </c>
      <c r="J111" s="375">
        <f>(K110+J110)*(K109-J109)/2</f>
        <v>3.2135625000000001</v>
      </c>
      <c r="K111" s="375">
        <f t="shared" si="25"/>
        <v>1.4688125000000014</v>
      </c>
      <c r="L111" s="375">
        <f t="shared" si="25"/>
        <v>0.93123749999999939</v>
      </c>
      <c r="M111" s="375">
        <f t="shared" si="25"/>
        <v>0.14982850000000014</v>
      </c>
      <c r="N111" s="375">
        <f t="shared" si="25"/>
        <v>0.10819199999999986</v>
      </c>
      <c r="O111" s="375">
        <f t="shared" si="25"/>
        <v>1.191300000000001E-2</v>
      </c>
      <c r="P111" s="375">
        <f t="shared" si="25"/>
        <v>0</v>
      </c>
      <c r="Q111" s="375">
        <f t="shared" si="25"/>
        <v>0</v>
      </c>
      <c r="R111" s="375">
        <f t="shared" si="25"/>
        <v>0</v>
      </c>
      <c r="S111" s="375">
        <f>(T110+S110)*(T109-S109)/2</f>
        <v>0</v>
      </c>
      <c r="T111" s="375">
        <f t="shared" si="25"/>
        <v>0</v>
      </c>
      <c r="U111" s="375">
        <f t="shared" si="25"/>
        <v>0</v>
      </c>
      <c r="V111" s="375">
        <f t="shared" si="25"/>
        <v>0</v>
      </c>
      <c r="W111" s="375">
        <f>(X110+W110)*(X109-W109)/2</f>
        <v>0</v>
      </c>
      <c r="X111" s="375">
        <f>(Y110+X110)*(Y109-X109)/2</f>
        <v>0</v>
      </c>
      <c r="Y111" s="369"/>
    </row>
    <row r="112" spans="1:26" ht="13.5" thickBot="1" x14ac:dyDescent="0.25"/>
    <row r="113" spans="1:26" ht="13.5" thickBot="1" x14ac:dyDescent="0.25">
      <c r="A113" s="361" t="s">
        <v>423</v>
      </c>
      <c r="B113" s="359">
        <f>ROW(A113)</f>
        <v>113</v>
      </c>
      <c r="C113" s="363" t="s">
        <v>118</v>
      </c>
      <c r="D113" s="353">
        <f>SUM(B116:Y116)</f>
        <v>24.488898000000002</v>
      </c>
      <c r="E113" s="363" t="s">
        <v>117</v>
      </c>
      <c r="F113" s="354">
        <f>D113/g/J113</f>
        <v>121.771701350041</v>
      </c>
      <c r="G113" s="363" t="s">
        <v>59</v>
      </c>
      <c r="H113" s="64">
        <v>5.6500000000000002E-2</v>
      </c>
      <c r="I113" s="363" t="s">
        <v>276</v>
      </c>
      <c r="J113" s="355">
        <f>H113-L113</f>
        <v>2.0500000000000004E-2</v>
      </c>
      <c r="K113" s="363" t="s">
        <v>277</v>
      </c>
      <c r="L113" s="64">
        <v>3.5999999999999997E-2</v>
      </c>
      <c r="M113" s="363" t="s">
        <v>60</v>
      </c>
      <c r="N113" s="396">
        <v>35</v>
      </c>
      <c r="O113" s="363" t="s">
        <v>62</v>
      </c>
      <c r="P113" s="396">
        <v>35</v>
      </c>
      <c r="Q113" s="363" t="s">
        <v>63</v>
      </c>
      <c r="R113" s="65">
        <v>69</v>
      </c>
      <c r="S113" s="363" t="s">
        <v>64</v>
      </c>
      <c r="T113" s="65">
        <v>24</v>
      </c>
      <c r="U113" s="363" t="s">
        <v>57</v>
      </c>
      <c r="V113" s="66" t="s">
        <v>406</v>
      </c>
      <c r="W113" s="463" t="s">
        <v>400</v>
      </c>
      <c r="X113" s="465">
        <v>0.33</v>
      </c>
      <c r="Y113" s="463" t="s">
        <v>399</v>
      </c>
      <c r="Z113" s="358">
        <v>17</v>
      </c>
    </row>
    <row r="114" spans="1:26" x14ac:dyDescent="0.2">
      <c r="A114" s="362" t="s">
        <v>33</v>
      </c>
      <c r="B114" s="370">
        <v>0</v>
      </c>
      <c r="C114" s="371">
        <v>8.9999999999999993E-3</v>
      </c>
      <c r="D114" s="371">
        <v>1.2E-2</v>
      </c>
      <c r="E114" s="371">
        <v>2.3E-2</v>
      </c>
      <c r="F114" s="371">
        <v>2.7E-2</v>
      </c>
      <c r="G114" s="371">
        <v>4.7E-2</v>
      </c>
      <c r="H114" s="371">
        <v>9.1999999999999998E-2</v>
      </c>
      <c r="I114" s="371">
        <v>0.11799999999999999</v>
      </c>
      <c r="J114" s="371">
        <v>0.14099999999999999</v>
      </c>
      <c r="K114" s="371">
        <v>0.192</v>
      </c>
      <c r="L114" s="371">
        <v>0.222</v>
      </c>
      <c r="M114" s="371">
        <v>0.25</v>
      </c>
      <c r="N114" s="371">
        <v>0.26</v>
      </c>
      <c r="O114" s="371">
        <v>0.28100000000000003</v>
      </c>
      <c r="P114" s="371">
        <v>0.28699999999999998</v>
      </c>
      <c r="Q114" s="371">
        <v>0.30599999999999999</v>
      </c>
      <c r="R114" s="371">
        <v>0.314</v>
      </c>
      <c r="S114" s="371">
        <v>0.32600000000000001</v>
      </c>
      <c r="T114" s="371">
        <v>0.32900000000000001</v>
      </c>
      <c r="U114" s="371">
        <v>0.5</v>
      </c>
      <c r="V114" s="371">
        <v>1</v>
      </c>
      <c r="W114" s="371">
        <v>2</v>
      </c>
      <c r="X114" s="371">
        <v>2</v>
      </c>
      <c r="Y114" s="381">
        <v>1000</v>
      </c>
    </row>
    <row r="115" spans="1:26" x14ac:dyDescent="0.2">
      <c r="A115" s="378" t="s">
        <v>34</v>
      </c>
      <c r="B115" s="372">
        <v>0</v>
      </c>
      <c r="C115" s="373">
        <v>84.212999999999994</v>
      </c>
      <c r="D115" s="373">
        <v>95.099000000000004</v>
      </c>
      <c r="E115" s="373">
        <v>77.08</v>
      </c>
      <c r="F115" s="373">
        <v>68.697000000000003</v>
      </c>
      <c r="G115" s="373">
        <v>73.451999999999998</v>
      </c>
      <c r="H115" s="373">
        <v>81.834999999999994</v>
      </c>
      <c r="I115" s="373">
        <v>83.837000000000003</v>
      </c>
      <c r="J115" s="373">
        <v>86.465000000000003</v>
      </c>
      <c r="K115" s="373">
        <v>86.965999999999994</v>
      </c>
      <c r="L115" s="373">
        <v>85.338999999999999</v>
      </c>
      <c r="M115" s="373">
        <v>80.082999999999998</v>
      </c>
      <c r="N115" s="373">
        <v>78.331999999999994</v>
      </c>
      <c r="O115" s="373">
        <v>82.960999999999999</v>
      </c>
      <c r="P115" s="373">
        <v>78.206000000000003</v>
      </c>
      <c r="Q115" s="373">
        <v>24.776</v>
      </c>
      <c r="R115" s="373">
        <v>14.14</v>
      </c>
      <c r="S115" s="373">
        <v>8.5090000000000003</v>
      </c>
      <c r="T115" s="373">
        <v>0</v>
      </c>
      <c r="U115" s="373">
        <f>T115</f>
        <v>0</v>
      </c>
      <c r="V115" s="373">
        <f>U115</f>
        <v>0</v>
      </c>
      <c r="W115" s="373">
        <f>V115</f>
        <v>0</v>
      </c>
      <c r="X115" s="373">
        <f>W115</f>
        <v>0</v>
      </c>
      <c r="Y115" s="382">
        <v>0</v>
      </c>
    </row>
    <row r="116" spans="1:26" ht="13.5" thickBot="1" x14ac:dyDescent="0.25">
      <c r="A116" s="379" t="s">
        <v>119</v>
      </c>
      <c r="B116" s="374">
        <f t="shared" ref="B116:V116" si="26">(C115+B115)*(C114-B114)/2</f>
        <v>0.37895849999999992</v>
      </c>
      <c r="C116" s="375">
        <f t="shared" si="26"/>
        <v>0.2689680000000001</v>
      </c>
      <c r="D116" s="375">
        <f t="shared" si="26"/>
        <v>0.94698450000000001</v>
      </c>
      <c r="E116" s="375">
        <f t="shared" si="26"/>
        <v>0.29155399999999998</v>
      </c>
      <c r="F116" s="375">
        <f t="shared" si="26"/>
        <v>1.4214900000000001</v>
      </c>
      <c r="G116" s="375">
        <f t="shared" si="26"/>
        <v>3.4939574999999992</v>
      </c>
      <c r="H116" s="375">
        <f t="shared" si="26"/>
        <v>2.1537359999999994</v>
      </c>
      <c r="I116" s="375">
        <f t="shared" si="26"/>
        <v>1.9584729999999997</v>
      </c>
      <c r="J116" s="375">
        <f>(K115+J115)*(K114-J114)/2</f>
        <v>4.4224905000000012</v>
      </c>
      <c r="K116" s="375">
        <f t="shared" si="26"/>
        <v>2.5845750000000001</v>
      </c>
      <c r="L116" s="375">
        <f t="shared" si="26"/>
        <v>2.3159079999999999</v>
      </c>
      <c r="M116" s="375">
        <f t="shared" si="26"/>
        <v>0.79207500000000064</v>
      </c>
      <c r="N116" s="375">
        <f t="shared" si="26"/>
        <v>1.6935765000000016</v>
      </c>
      <c r="O116" s="375">
        <f t="shared" si="26"/>
        <v>0.48350099999999596</v>
      </c>
      <c r="P116" s="375">
        <f t="shared" si="26"/>
        <v>0.97832900000000089</v>
      </c>
      <c r="Q116" s="375">
        <f t="shared" si="26"/>
        <v>0.15566400000000014</v>
      </c>
      <c r="R116" s="375">
        <f t="shared" si="26"/>
        <v>0.13589400000000013</v>
      </c>
      <c r="S116" s="375">
        <f>(T115+S115)*(T114-S114)/2</f>
        <v>1.2763500000000013E-2</v>
      </c>
      <c r="T116" s="375">
        <f t="shared" si="26"/>
        <v>0</v>
      </c>
      <c r="U116" s="375">
        <f t="shared" si="26"/>
        <v>0</v>
      </c>
      <c r="V116" s="375">
        <f t="shared" si="26"/>
        <v>0</v>
      </c>
      <c r="W116" s="375">
        <f>(X115+W115)*(X114-W114)/2</f>
        <v>0</v>
      </c>
      <c r="X116" s="375">
        <f>(Y115+X115)*(Y114-X114)/2</f>
        <v>0</v>
      </c>
      <c r="Y116" s="369"/>
    </row>
    <row r="117" spans="1:26" ht="13.5" thickBot="1" x14ac:dyDescent="0.25"/>
    <row r="118" spans="1:26" ht="13.5" thickBot="1" x14ac:dyDescent="0.25">
      <c r="A118" s="361" t="s">
        <v>326</v>
      </c>
      <c r="B118" s="359">
        <f>ROW(A118)</f>
        <v>118</v>
      </c>
      <c r="C118" s="363" t="s">
        <v>118</v>
      </c>
      <c r="D118" s="353">
        <f>SUM(B121:Y121)</f>
        <v>26.083982500000001</v>
      </c>
      <c r="E118" s="363" t="s">
        <v>117</v>
      </c>
      <c r="F118" s="354">
        <f>D118/g/J118</f>
        <v>166.18235537716615</v>
      </c>
      <c r="G118" s="363" t="s">
        <v>59</v>
      </c>
      <c r="H118" s="64">
        <v>5.1999999999999998E-2</v>
      </c>
      <c r="I118" s="363" t="s">
        <v>276</v>
      </c>
      <c r="J118" s="355">
        <f>H118-L118</f>
        <v>1.6E-2</v>
      </c>
      <c r="K118" s="363" t="s">
        <v>277</v>
      </c>
      <c r="L118" s="64">
        <v>3.5999999999999997E-2</v>
      </c>
      <c r="M118" s="363" t="s">
        <v>60</v>
      </c>
      <c r="N118" s="396">
        <v>35</v>
      </c>
      <c r="O118" s="363" t="s">
        <v>62</v>
      </c>
      <c r="P118" s="396">
        <v>35</v>
      </c>
      <c r="Q118" s="363" t="s">
        <v>63</v>
      </c>
      <c r="R118" s="65">
        <v>69</v>
      </c>
      <c r="S118" s="363" t="s">
        <v>64</v>
      </c>
      <c r="T118" s="65">
        <v>24</v>
      </c>
      <c r="U118" s="363" t="s">
        <v>57</v>
      </c>
      <c r="V118" s="66" t="s">
        <v>405</v>
      </c>
      <c r="W118" s="463" t="s">
        <v>400</v>
      </c>
      <c r="X118" s="465">
        <v>0.85</v>
      </c>
      <c r="Y118" s="463" t="s">
        <v>399</v>
      </c>
      <c r="Z118" s="358">
        <v>15</v>
      </c>
    </row>
    <row r="119" spans="1:26" x14ac:dyDescent="0.2">
      <c r="A119" s="362" t="s">
        <v>33</v>
      </c>
      <c r="B119" s="370">
        <v>0</v>
      </c>
      <c r="C119" s="371">
        <v>0.02</v>
      </c>
      <c r="D119" s="371">
        <v>2.7E-2</v>
      </c>
      <c r="E119" s="371">
        <v>4.9000000000000002E-2</v>
      </c>
      <c r="F119" s="371">
        <v>0.113</v>
      </c>
      <c r="G119" s="371">
        <v>0.193</v>
      </c>
      <c r="H119" s="371">
        <v>0.28199999999999997</v>
      </c>
      <c r="I119" s="371">
        <v>0.5</v>
      </c>
      <c r="J119" s="371">
        <v>0.72699999999999998</v>
      </c>
      <c r="K119" s="371">
        <v>0.77100000000000002</v>
      </c>
      <c r="L119" s="371">
        <v>0.80700000000000005</v>
      </c>
      <c r="M119" s="371">
        <v>0.84</v>
      </c>
      <c r="N119" s="371">
        <v>0.87</v>
      </c>
      <c r="O119" s="371">
        <v>1</v>
      </c>
      <c r="P119" s="371">
        <v>1</v>
      </c>
      <c r="Q119" s="371">
        <v>1</v>
      </c>
      <c r="R119" s="371">
        <v>1</v>
      </c>
      <c r="S119" s="371">
        <v>1</v>
      </c>
      <c r="T119" s="371">
        <v>1</v>
      </c>
      <c r="U119" s="371">
        <v>1</v>
      </c>
      <c r="V119" s="371">
        <v>1</v>
      </c>
      <c r="W119" s="371">
        <v>1</v>
      </c>
      <c r="X119" s="371">
        <v>2</v>
      </c>
      <c r="Y119" s="381">
        <v>1000</v>
      </c>
    </row>
    <row r="120" spans="1:26" x14ac:dyDescent="0.2">
      <c r="A120" s="378" t="s">
        <v>34</v>
      </c>
      <c r="B120" s="372">
        <v>0</v>
      </c>
      <c r="C120" s="373">
        <v>43.823999999999998</v>
      </c>
      <c r="D120" s="373">
        <v>39.963999999999999</v>
      </c>
      <c r="E120" s="373">
        <v>26.780999999999999</v>
      </c>
      <c r="F120" s="373">
        <v>32.600999999999999</v>
      </c>
      <c r="G120" s="373">
        <v>34.738999999999997</v>
      </c>
      <c r="H120" s="373">
        <v>35.808</v>
      </c>
      <c r="I120" s="373">
        <v>34.442</v>
      </c>
      <c r="J120" s="373">
        <v>29.276</v>
      </c>
      <c r="K120" s="373">
        <v>22.742999999999999</v>
      </c>
      <c r="L120" s="373">
        <v>9.5609999999999999</v>
      </c>
      <c r="M120" s="373">
        <v>3.5630000000000002</v>
      </c>
      <c r="N120" s="373">
        <v>0</v>
      </c>
      <c r="O120" s="373">
        <v>0</v>
      </c>
      <c r="P120" s="373">
        <v>0</v>
      </c>
      <c r="Q120" s="373">
        <v>0</v>
      </c>
      <c r="R120" s="373">
        <v>0</v>
      </c>
      <c r="S120" s="373">
        <v>0</v>
      </c>
      <c r="T120" s="373">
        <f>S120</f>
        <v>0</v>
      </c>
      <c r="U120" s="373">
        <f>T120</f>
        <v>0</v>
      </c>
      <c r="V120" s="373">
        <f>U120</f>
        <v>0</v>
      </c>
      <c r="W120" s="373">
        <f>V120</f>
        <v>0</v>
      </c>
      <c r="X120" s="373">
        <f>W120</f>
        <v>0</v>
      </c>
      <c r="Y120" s="382">
        <v>0</v>
      </c>
    </row>
    <row r="121" spans="1:26" ht="13.5" thickBot="1" x14ac:dyDescent="0.25">
      <c r="A121" s="379" t="s">
        <v>119</v>
      </c>
      <c r="B121" s="374">
        <f t="shared" ref="B121:V121" si="27">(C120+B120)*(C119-B119)/2</f>
        <v>0.43823999999999996</v>
      </c>
      <c r="C121" s="375">
        <f t="shared" si="27"/>
        <v>0.29325799999999996</v>
      </c>
      <c r="D121" s="375">
        <f t="shared" si="27"/>
        <v>0.73419500000000015</v>
      </c>
      <c r="E121" s="375">
        <f t="shared" si="27"/>
        <v>1.9002239999999999</v>
      </c>
      <c r="F121" s="375">
        <f t="shared" si="27"/>
        <v>2.6936</v>
      </c>
      <c r="G121" s="375">
        <f t="shared" si="27"/>
        <v>3.1393414999999987</v>
      </c>
      <c r="H121" s="375">
        <f t="shared" si="27"/>
        <v>7.6572500000000012</v>
      </c>
      <c r="I121" s="375">
        <f t="shared" si="27"/>
        <v>7.2319930000000001</v>
      </c>
      <c r="J121" s="375">
        <f>(K120+J120)*(K119-J119)/2</f>
        <v>1.144418000000001</v>
      </c>
      <c r="K121" s="375">
        <f t="shared" si="27"/>
        <v>0.58147200000000054</v>
      </c>
      <c r="L121" s="375">
        <f t="shared" si="27"/>
        <v>0.21654599999999946</v>
      </c>
      <c r="M121" s="375">
        <f t="shared" si="27"/>
        <v>5.3445000000000048E-2</v>
      </c>
      <c r="N121" s="375">
        <f t="shared" si="27"/>
        <v>0</v>
      </c>
      <c r="O121" s="375">
        <f t="shared" si="27"/>
        <v>0</v>
      </c>
      <c r="P121" s="375">
        <f t="shared" si="27"/>
        <v>0</v>
      </c>
      <c r="Q121" s="375">
        <f t="shared" si="27"/>
        <v>0</v>
      </c>
      <c r="R121" s="375">
        <f t="shared" si="27"/>
        <v>0</v>
      </c>
      <c r="S121" s="375">
        <f>(T120+S120)*(T119-S119)/2</f>
        <v>0</v>
      </c>
      <c r="T121" s="375">
        <f t="shared" si="27"/>
        <v>0</v>
      </c>
      <c r="U121" s="375">
        <f t="shared" si="27"/>
        <v>0</v>
      </c>
      <c r="V121" s="375">
        <f t="shared" si="27"/>
        <v>0</v>
      </c>
      <c r="W121" s="375">
        <f>(X120+W120)*(X119-W119)/2</f>
        <v>0</v>
      </c>
      <c r="X121" s="375">
        <f>(Y120+X120)*(Y119-X119)/2</f>
        <v>0</v>
      </c>
      <c r="Y121" s="369"/>
    </row>
    <row r="122" spans="1:26" ht="13.5" thickBot="1" x14ac:dyDescent="0.25">
      <c r="A122" s="6" t="s">
        <v>395</v>
      </c>
    </row>
    <row r="123" spans="1:26" ht="13.5" thickBot="1" x14ac:dyDescent="0.25">
      <c r="A123" s="361" t="s">
        <v>396</v>
      </c>
      <c r="B123" s="359">
        <f>ROW(A123)</f>
        <v>123</v>
      </c>
      <c r="C123" s="363" t="s">
        <v>118</v>
      </c>
      <c r="D123" s="353">
        <f>SUM(B126:Y126)</f>
        <v>49.788765499999997</v>
      </c>
      <c r="E123" s="363" t="s">
        <v>117</v>
      </c>
      <c r="F123" s="354">
        <v>231</v>
      </c>
      <c r="G123" s="363" t="s">
        <v>59</v>
      </c>
      <c r="H123" s="64">
        <v>7.2999999999999995E-2</v>
      </c>
      <c r="I123" s="363" t="s">
        <v>276</v>
      </c>
      <c r="J123" s="355">
        <f>H123-L123</f>
        <v>2.7999999999999997E-2</v>
      </c>
      <c r="K123" s="363" t="s">
        <v>277</v>
      </c>
      <c r="L123" s="64">
        <v>4.4999999999999998E-2</v>
      </c>
      <c r="M123" s="363" t="s">
        <v>60</v>
      </c>
      <c r="N123" s="396">
        <v>50</v>
      </c>
      <c r="O123" s="363" t="s">
        <v>62</v>
      </c>
      <c r="P123" s="396">
        <v>50</v>
      </c>
      <c r="Q123" s="363" t="s">
        <v>63</v>
      </c>
      <c r="R123" s="65">
        <v>101</v>
      </c>
      <c r="S123" s="363" t="s">
        <v>64</v>
      </c>
      <c r="T123" s="65">
        <v>24</v>
      </c>
      <c r="U123" s="363" t="s">
        <v>57</v>
      </c>
      <c r="V123" s="66" t="s">
        <v>122</v>
      </c>
      <c r="W123" s="463" t="s">
        <v>400</v>
      </c>
      <c r="X123" s="465">
        <v>1</v>
      </c>
      <c r="Y123" s="463" t="s">
        <v>399</v>
      </c>
      <c r="Z123" s="358">
        <v>13</v>
      </c>
    </row>
    <row r="124" spans="1:26" x14ac:dyDescent="0.2">
      <c r="A124" s="362" t="s">
        <v>33</v>
      </c>
      <c r="B124" s="471">
        <v>0</v>
      </c>
      <c r="C124" s="471">
        <v>1E-3</v>
      </c>
      <c r="D124" s="471">
        <v>2.7E-2</v>
      </c>
      <c r="E124" s="471">
        <v>5.0999999999999997E-2</v>
      </c>
      <c r="F124" s="471">
        <v>0.06</v>
      </c>
      <c r="G124" s="471">
        <v>9.1999999999999998E-2</v>
      </c>
      <c r="H124" s="471">
        <v>0.11899999999999999</v>
      </c>
      <c r="I124" s="471">
        <v>0.17</v>
      </c>
      <c r="J124" s="471">
        <v>0.3</v>
      </c>
      <c r="K124" s="471">
        <v>0.46200000000000002</v>
      </c>
      <c r="L124" s="471">
        <v>0.56899999999999995</v>
      </c>
      <c r="M124" s="471">
        <v>0.67500000000000004</v>
      </c>
      <c r="N124" s="471">
        <v>0.77800000000000002</v>
      </c>
      <c r="O124" s="471">
        <v>0.84599999999999997</v>
      </c>
      <c r="P124" s="471">
        <v>0.91700000000000004</v>
      </c>
      <c r="Q124" s="471">
        <v>1.0089999999999999</v>
      </c>
      <c r="R124" s="471">
        <v>1.032</v>
      </c>
      <c r="S124" s="471">
        <v>1.0449999999999999</v>
      </c>
      <c r="T124" s="371">
        <v>2</v>
      </c>
      <c r="U124" s="371">
        <v>2</v>
      </c>
      <c r="V124" s="371">
        <v>2</v>
      </c>
      <c r="W124" s="371">
        <v>2</v>
      </c>
      <c r="X124" s="371">
        <v>2</v>
      </c>
      <c r="Y124" s="381">
        <v>1000</v>
      </c>
    </row>
    <row r="125" spans="1:26" x14ac:dyDescent="0.2">
      <c r="A125" s="378" t="s">
        <v>34</v>
      </c>
      <c r="B125" s="471">
        <v>0</v>
      </c>
      <c r="C125" s="471">
        <v>5.1449999999999996</v>
      </c>
      <c r="D125" s="471">
        <v>67.975999999999999</v>
      </c>
      <c r="E125" s="471">
        <v>53.807000000000002</v>
      </c>
      <c r="F125" s="471">
        <v>52.88</v>
      </c>
      <c r="G125" s="471">
        <v>55.915999999999997</v>
      </c>
      <c r="H125" s="471">
        <v>57.94</v>
      </c>
      <c r="I125" s="471">
        <v>59.710999999999999</v>
      </c>
      <c r="J125" s="471">
        <v>61.145000000000003</v>
      </c>
      <c r="K125" s="471">
        <v>58.951999999999998</v>
      </c>
      <c r="L125" s="471">
        <v>55.578000000000003</v>
      </c>
      <c r="M125" s="471">
        <v>52.204999999999998</v>
      </c>
      <c r="N125" s="471">
        <v>46.386000000000003</v>
      </c>
      <c r="O125" s="471">
        <v>38.119999999999997</v>
      </c>
      <c r="P125" s="471">
        <v>20.324999999999999</v>
      </c>
      <c r="Q125" s="471">
        <v>3.5419999999999998</v>
      </c>
      <c r="R125" s="471">
        <v>1.6020000000000001</v>
      </c>
      <c r="S125" s="471">
        <v>0</v>
      </c>
      <c r="T125" s="373">
        <f>S125</f>
        <v>0</v>
      </c>
      <c r="U125" s="373">
        <f>T125</f>
        <v>0</v>
      </c>
      <c r="V125" s="373">
        <f>U125</f>
        <v>0</v>
      </c>
      <c r="W125" s="373">
        <f>V125</f>
        <v>0</v>
      </c>
      <c r="X125" s="373">
        <f>W125</f>
        <v>0</v>
      </c>
      <c r="Y125" s="382">
        <v>0</v>
      </c>
    </row>
    <row r="126" spans="1:26" ht="13.5" thickBot="1" x14ac:dyDescent="0.25">
      <c r="A126" s="379" t="s">
        <v>119</v>
      </c>
      <c r="B126" s="374">
        <f t="shared" ref="B126:X126" si="28">(C125+B125)*(C124-B124)/2</f>
        <v>2.5724999999999997E-3</v>
      </c>
      <c r="C126" s="375">
        <f t="shared" si="28"/>
        <v>0.95057299999999989</v>
      </c>
      <c r="D126" s="375">
        <f t="shared" si="28"/>
        <v>1.4613959999999999</v>
      </c>
      <c r="E126" s="375">
        <f t="shared" si="28"/>
        <v>0.48009150000000012</v>
      </c>
      <c r="F126" s="375">
        <f t="shared" si="28"/>
        <v>1.7407359999999998</v>
      </c>
      <c r="G126" s="375">
        <f t="shared" si="28"/>
        <v>1.5370559999999998</v>
      </c>
      <c r="H126" s="375">
        <f t="shared" si="28"/>
        <v>3.0001005000000007</v>
      </c>
      <c r="I126" s="375">
        <f t="shared" si="28"/>
        <v>7.8556399999999984</v>
      </c>
      <c r="J126" s="375">
        <f t="shared" si="28"/>
        <v>9.727857000000002</v>
      </c>
      <c r="K126" s="375">
        <f t="shared" si="28"/>
        <v>6.1273549999999961</v>
      </c>
      <c r="L126" s="375">
        <f t="shared" si="28"/>
        <v>5.7124990000000055</v>
      </c>
      <c r="M126" s="375">
        <f t="shared" si="28"/>
        <v>5.0774364999999992</v>
      </c>
      <c r="N126" s="375">
        <f t="shared" si="28"/>
        <v>2.8732039999999976</v>
      </c>
      <c r="O126" s="375">
        <f t="shared" si="28"/>
        <v>2.0747975000000016</v>
      </c>
      <c r="P126" s="375">
        <f t="shared" si="28"/>
        <v>1.0978819999999982</v>
      </c>
      <c r="Q126" s="375">
        <f t="shared" si="28"/>
        <v>5.915600000000034E-2</v>
      </c>
      <c r="R126" s="375">
        <f t="shared" si="28"/>
        <v>1.0412999999999921E-2</v>
      </c>
      <c r="S126" s="375">
        <f t="shared" si="28"/>
        <v>0</v>
      </c>
      <c r="T126" s="375">
        <f t="shared" si="28"/>
        <v>0</v>
      </c>
      <c r="U126" s="375">
        <f t="shared" si="28"/>
        <v>0</v>
      </c>
      <c r="V126" s="375">
        <f t="shared" si="28"/>
        <v>0</v>
      </c>
      <c r="W126" s="375">
        <f t="shared" si="28"/>
        <v>0</v>
      </c>
      <c r="X126" s="375">
        <f t="shared" si="28"/>
        <v>0</v>
      </c>
      <c r="Y126" s="369"/>
    </row>
    <row r="127" spans="1:26" ht="13.5" thickBot="1" x14ac:dyDescent="0.25"/>
    <row r="128" spans="1:26" ht="13.5" thickBot="1" x14ac:dyDescent="0.25">
      <c r="A128" s="361" t="s">
        <v>397</v>
      </c>
      <c r="B128" s="359">
        <f>ROW(A128)</f>
        <v>128</v>
      </c>
      <c r="C128" s="363" t="s">
        <v>118</v>
      </c>
      <c r="D128" s="353">
        <f>SUM(B131:Y131)</f>
        <v>52.815674000000008</v>
      </c>
      <c r="E128" s="363" t="s">
        <v>117</v>
      </c>
      <c r="F128" s="354">
        <v>239</v>
      </c>
      <c r="G128" s="363" t="s">
        <v>59</v>
      </c>
      <c r="H128" s="64">
        <v>7.2999999999999995E-2</v>
      </c>
      <c r="I128" s="363" t="s">
        <v>276</v>
      </c>
      <c r="J128" s="355">
        <f>H128-L128</f>
        <v>2.8999999999999998E-2</v>
      </c>
      <c r="K128" s="363" t="s">
        <v>277</v>
      </c>
      <c r="L128" s="64">
        <v>4.3999999999999997E-2</v>
      </c>
      <c r="M128" s="363" t="s">
        <v>60</v>
      </c>
      <c r="N128" s="396">
        <v>50</v>
      </c>
      <c r="O128" s="363" t="s">
        <v>62</v>
      </c>
      <c r="P128" s="396">
        <v>50</v>
      </c>
      <c r="Q128" s="363" t="s">
        <v>63</v>
      </c>
      <c r="R128" s="65">
        <v>101</v>
      </c>
      <c r="S128" s="363" t="s">
        <v>64</v>
      </c>
      <c r="T128" s="65">
        <v>24</v>
      </c>
      <c r="U128" s="363" t="s">
        <v>57</v>
      </c>
      <c r="V128" s="66" t="s">
        <v>122</v>
      </c>
      <c r="W128" s="463" t="s">
        <v>400</v>
      </c>
      <c r="X128" s="465">
        <v>0.77</v>
      </c>
      <c r="Y128" s="463" t="s">
        <v>399</v>
      </c>
      <c r="Z128" s="358">
        <v>14</v>
      </c>
    </row>
    <row r="129" spans="1:26" x14ac:dyDescent="0.2">
      <c r="A129" s="362" t="s">
        <v>33</v>
      </c>
      <c r="B129" s="471">
        <v>0</v>
      </c>
      <c r="C129" s="471">
        <v>1E-3</v>
      </c>
      <c r="D129" s="471">
        <v>1.2999999999999999E-2</v>
      </c>
      <c r="E129" s="471">
        <v>2.3E-2</v>
      </c>
      <c r="F129" s="471">
        <v>5.1999999999999998E-2</v>
      </c>
      <c r="G129" s="471">
        <v>0.1</v>
      </c>
      <c r="H129" s="471">
        <v>0.379</v>
      </c>
      <c r="I129" s="471">
        <v>0.64100000000000001</v>
      </c>
      <c r="J129" s="471">
        <v>0.66500000000000004</v>
      </c>
      <c r="K129" s="471">
        <v>0.70599999999999996</v>
      </c>
      <c r="L129" s="471">
        <v>0.74399999999999999</v>
      </c>
      <c r="M129" s="471">
        <v>0.78700000000000003</v>
      </c>
      <c r="N129" s="471">
        <v>0.81599999999999995</v>
      </c>
      <c r="O129" s="371">
        <v>1</v>
      </c>
      <c r="P129" s="371">
        <v>1</v>
      </c>
      <c r="Q129" s="371">
        <v>1</v>
      </c>
      <c r="R129" s="371">
        <v>1</v>
      </c>
      <c r="S129" s="371">
        <v>1</v>
      </c>
      <c r="T129" s="371">
        <v>1</v>
      </c>
      <c r="U129" s="371">
        <v>1</v>
      </c>
      <c r="V129" s="371">
        <v>1</v>
      </c>
      <c r="W129" s="371">
        <v>2</v>
      </c>
      <c r="X129" s="371">
        <v>2</v>
      </c>
      <c r="Y129" s="381">
        <v>1000</v>
      </c>
    </row>
    <row r="130" spans="1:26" x14ac:dyDescent="0.2">
      <c r="A130" s="378" t="s">
        <v>34</v>
      </c>
      <c r="B130" s="471">
        <v>0</v>
      </c>
      <c r="C130" s="471">
        <v>8.3030000000000008</v>
      </c>
      <c r="D130" s="471">
        <v>85.68</v>
      </c>
      <c r="E130" s="471">
        <v>96.149000000000001</v>
      </c>
      <c r="F130" s="471">
        <v>78.820999999999998</v>
      </c>
      <c r="G130" s="471">
        <v>83.634</v>
      </c>
      <c r="H130" s="471">
        <v>77.858000000000004</v>
      </c>
      <c r="I130" s="471">
        <v>62.575000000000003</v>
      </c>
      <c r="J130" s="471">
        <v>55.716000000000001</v>
      </c>
      <c r="K130" s="471">
        <v>23.946999999999999</v>
      </c>
      <c r="L130" s="471">
        <v>9.1460000000000008</v>
      </c>
      <c r="M130" s="471">
        <v>2.7679999999999998</v>
      </c>
      <c r="N130" s="471">
        <v>0</v>
      </c>
      <c r="O130" s="373">
        <v>0</v>
      </c>
      <c r="P130" s="373">
        <v>0</v>
      </c>
      <c r="Q130" s="373">
        <v>0</v>
      </c>
      <c r="R130" s="373">
        <v>0</v>
      </c>
      <c r="S130" s="373">
        <v>0</v>
      </c>
      <c r="T130" s="373">
        <v>0</v>
      </c>
      <c r="U130" s="373">
        <v>0</v>
      </c>
      <c r="V130" s="373">
        <f>U130</f>
        <v>0</v>
      </c>
      <c r="W130" s="373">
        <f>V130</f>
        <v>0</v>
      </c>
      <c r="X130" s="373">
        <f>W130</f>
        <v>0</v>
      </c>
      <c r="Y130" s="382">
        <v>0</v>
      </c>
    </row>
    <row r="131" spans="1:26" ht="13.5" thickBot="1" x14ac:dyDescent="0.25">
      <c r="A131" s="379" t="s">
        <v>119</v>
      </c>
      <c r="B131" s="374">
        <f t="shared" ref="B131:X131" si="29">(C130+B130)*(C129-B129)/2</f>
        <v>4.1515000000000007E-3</v>
      </c>
      <c r="C131" s="375">
        <f t="shared" si="29"/>
        <v>0.56389800000000001</v>
      </c>
      <c r="D131" s="375">
        <f t="shared" si="29"/>
        <v>0.90914500000000009</v>
      </c>
      <c r="E131" s="375">
        <f t="shared" si="29"/>
        <v>2.5370649999999997</v>
      </c>
      <c r="F131" s="375">
        <f t="shared" si="29"/>
        <v>3.8989200000000004</v>
      </c>
      <c r="G131" s="375">
        <f t="shared" si="29"/>
        <v>22.528134000000005</v>
      </c>
      <c r="H131" s="375">
        <f t="shared" si="29"/>
        <v>18.396723000000001</v>
      </c>
      <c r="I131" s="375">
        <f t="shared" si="29"/>
        <v>1.4194920000000013</v>
      </c>
      <c r="J131" s="375">
        <f t="shared" si="29"/>
        <v>1.633091499999997</v>
      </c>
      <c r="K131" s="375">
        <f t="shared" si="29"/>
        <v>0.62876700000000063</v>
      </c>
      <c r="L131" s="375">
        <f t="shared" si="29"/>
        <v>0.25615100000000024</v>
      </c>
      <c r="M131" s="375">
        <f t="shared" si="29"/>
        <v>4.013599999999988E-2</v>
      </c>
      <c r="N131" s="375">
        <f t="shared" si="29"/>
        <v>0</v>
      </c>
      <c r="O131" s="375">
        <f t="shared" si="29"/>
        <v>0</v>
      </c>
      <c r="P131" s="375">
        <f t="shared" si="29"/>
        <v>0</v>
      </c>
      <c r="Q131" s="375">
        <f t="shared" si="29"/>
        <v>0</v>
      </c>
      <c r="R131" s="375">
        <f t="shared" si="29"/>
        <v>0</v>
      </c>
      <c r="S131" s="375">
        <f t="shared" si="29"/>
        <v>0</v>
      </c>
      <c r="T131" s="375">
        <f t="shared" si="29"/>
        <v>0</v>
      </c>
      <c r="U131" s="375">
        <f t="shared" si="29"/>
        <v>0</v>
      </c>
      <c r="V131" s="375">
        <f t="shared" si="29"/>
        <v>0</v>
      </c>
      <c r="W131" s="375">
        <f t="shared" si="29"/>
        <v>0</v>
      </c>
      <c r="X131" s="375">
        <f t="shared" si="29"/>
        <v>0</v>
      </c>
      <c r="Y131" s="369"/>
    </row>
    <row r="132" spans="1:26" ht="13.5" thickBot="1" x14ac:dyDescent="0.25">
      <c r="A132" s="6" t="s">
        <v>319</v>
      </c>
    </row>
    <row r="133" spans="1:26" ht="13.5" thickBot="1" x14ac:dyDescent="0.25">
      <c r="A133" s="361" t="s">
        <v>387</v>
      </c>
      <c r="B133" s="359">
        <f>ROW(A133)</f>
        <v>133</v>
      </c>
      <c r="C133" s="363" t="s">
        <v>118</v>
      </c>
      <c r="D133" s="353">
        <f>SUM(B136:Y136)</f>
        <v>41.835000000000015</v>
      </c>
      <c r="E133" s="363" t="s">
        <v>117</v>
      </c>
      <c r="F133" s="354">
        <f>D133/g/J133</f>
        <v>121.84359982525126</v>
      </c>
      <c r="G133" s="363" t="s">
        <v>59</v>
      </c>
      <c r="H133" s="64">
        <v>0.104</v>
      </c>
      <c r="I133" s="363" t="s">
        <v>276</v>
      </c>
      <c r="J133" s="355">
        <f>H133-L133</f>
        <v>3.4999999999999989E-2</v>
      </c>
      <c r="K133" s="363" t="s">
        <v>277</v>
      </c>
      <c r="L133" s="64">
        <v>6.9000000000000006E-2</v>
      </c>
      <c r="M133" s="363" t="s">
        <v>60</v>
      </c>
      <c r="N133" s="65">
        <v>49</v>
      </c>
      <c r="O133" s="363" t="s">
        <v>62</v>
      </c>
      <c r="P133" s="65">
        <v>49</v>
      </c>
      <c r="Q133" s="363" t="s">
        <v>63</v>
      </c>
      <c r="R133" s="65">
        <v>98</v>
      </c>
      <c r="S133" s="363" t="s">
        <v>64</v>
      </c>
      <c r="T133" s="65">
        <v>29</v>
      </c>
      <c r="U133" s="363" t="s">
        <v>57</v>
      </c>
      <c r="V133" s="66" t="s">
        <v>405</v>
      </c>
      <c r="W133" s="463" t="s">
        <v>400</v>
      </c>
      <c r="X133" s="465">
        <v>1.07</v>
      </c>
      <c r="Y133" s="463" t="s">
        <v>399</v>
      </c>
      <c r="Z133" s="358">
        <v>11</v>
      </c>
    </row>
    <row r="134" spans="1:26" x14ac:dyDescent="0.2">
      <c r="A134" s="362" t="s">
        <v>33</v>
      </c>
      <c r="B134" s="370">
        <v>0</v>
      </c>
      <c r="C134" s="371">
        <v>0.01</v>
      </c>
      <c r="D134" s="371">
        <v>0.02</v>
      </c>
      <c r="E134" s="371">
        <v>0.03</v>
      </c>
      <c r="F134" s="371">
        <v>0.04</v>
      </c>
      <c r="G134" s="371">
        <v>0.06</v>
      </c>
      <c r="H134" s="371">
        <v>7.0000000000000007E-2</v>
      </c>
      <c r="I134" s="371">
        <v>0.08</v>
      </c>
      <c r="J134" s="371">
        <v>0.1</v>
      </c>
      <c r="K134" s="371">
        <v>0.2</v>
      </c>
      <c r="L134" s="371">
        <v>0.3</v>
      </c>
      <c r="M134" s="371">
        <v>0.4</v>
      </c>
      <c r="N134" s="371">
        <v>0.5</v>
      </c>
      <c r="O134" s="371">
        <v>0.6</v>
      </c>
      <c r="P134" s="371">
        <v>0.7</v>
      </c>
      <c r="Q134" s="371">
        <v>0.8</v>
      </c>
      <c r="R134" s="371">
        <v>0.85</v>
      </c>
      <c r="S134" s="371">
        <v>0.92</v>
      </c>
      <c r="T134" s="371">
        <v>0.95</v>
      </c>
      <c r="U134" s="371">
        <v>0.99</v>
      </c>
      <c r="V134" s="371">
        <v>1.05</v>
      </c>
      <c r="W134" s="371">
        <v>1.05</v>
      </c>
      <c r="X134" s="371">
        <v>2</v>
      </c>
      <c r="Y134" s="381">
        <v>1000</v>
      </c>
    </row>
    <row r="135" spans="1:26" x14ac:dyDescent="0.2">
      <c r="A135" s="378" t="s">
        <v>34</v>
      </c>
      <c r="B135" s="372">
        <v>0</v>
      </c>
      <c r="C135" s="373">
        <v>12</v>
      </c>
      <c r="D135" s="373">
        <v>46</v>
      </c>
      <c r="E135" s="373">
        <v>75</v>
      </c>
      <c r="F135" s="373">
        <v>79</v>
      </c>
      <c r="G135" s="373">
        <v>77</v>
      </c>
      <c r="H135" s="373">
        <v>62</v>
      </c>
      <c r="I135" s="373">
        <v>32</v>
      </c>
      <c r="J135" s="373">
        <v>35</v>
      </c>
      <c r="K135" s="373">
        <v>38</v>
      </c>
      <c r="L135" s="373">
        <v>39</v>
      </c>
      <c r="M135" s="373">
        <v>41</v>
      </c>
      <c r="N135" s="373">
        <v>43</v>
      </c>
      <c r="O135" s="373">
        <v>43</v>
      </c>
      <c r="P135" s="373">
        <v>43</v>
      </c>
      <c r="Q135" s="373">
        <v>43</v>
      </c>
      <c r="R135" s="373">
        <v>47</v>
      </c>
      <c r="S135" s="373">
        <v>54</v>
      </c>
      <c r="T135" s="373">
        <v>32</v>
      </c>
      <c r="U135" s="373">
        <v>8</v>
      </c>
      <c r="V135" s="373">
        <v>0</v>
      </c>
      <c r="W135" s="373">
        <v>0</v>
      </c>
      <c r="X135" s="373">
        <v>0</v>
      </c>
      <c r="Y135" s="382">
        <v>0</v>
      </c>
    </row>
    <row r="136" spans="1:26" ht="13.5" thickBot="1" x14ac:dyDescent="0.25">
      <c r="A136" s="379" t="s">
        <v>119</v>
      </c>
      <c r="B136" s="374">
        <f t="shared" ref="B136:X136" si="30">(C135+B135)*(C134-B134)/2</f>
        <v>0.06</v>
      </c>
      <c r="C136" s="375">
        <f t="shared" si="30"/>
        <v>0.28999999999999998</v>
      </c>
      <c r="D136" s="375">
        <f t="shared" si="30"/>
        <v>0.60499999999999987</v>
      </c>
      <c r="E136" s="375">
        <f t="shared" si="30"/>
        <v>0.77000000000000013</v>
      </c>
      <c r="F136" s="375">
        <f t="shared" si="30"/>
        <v>1.5599999999999998</v>
      </c>
      <c r="G136" s="375">
        <f t="shared" si="30"/>
        <v>0.69500000000000062</v>
      </c>
      <c r="H136" s="375">
        <f t="shared" si="30"/>
        <v>0.46999999999999975</v>
      </c>
      <c r="I136" s="375">
        <f t="shared" si="30"/>
        <v>0.67000000000000015</v>
      </c>
      <c r="J136" s="375">
        <f t="shared" si="30"/>
        <v>3.6500000000000004</v>
      </c>
      <c r="K136" s="375">
        <f t="shared" si="30"/>
        <v>3.8499999999999992</v>
      </c>
      <c r="L136" s="375">
        <f t="shared" si="30"/>
        <v>4.0000000000000018</v>
      </c>
      <c r="M136" s="375">
        <f t="shared" si="30"/>
        <v>4.1999999999999993</v>
      </c>
      <c r="N136" s="375">
        <f t="shared" si="30"/>
        <v>4.2999999999999989</v>
      </c>
      <c r="O136" s="375">
        <f t="shared" si="30"/>
        <v>4.2999999999999989</v>
      </c>
      <c r="P136" s="375">
        <f t="shared" si="30"/>
        <v>4.3000000000000043</v>
      </c>
      <c r="Q136" s="375">
        <f t="shared" si="30"/>
        <v>2.2499999999999969</v>
      </c>
      <c r="R136" s="375">
        <f t="shared" si="30"/>
        <v>3.5350000000000033</v>
      </c>
      <c r="S136" s="375">
        <f t="shared" si="30"/>
        <v>1.2899999999999965</v>
      </c>
      <c r="T136" s="375">
        <f t="shared" si="30"/>
        <v>0.80000000000000071</v>
      </c>
      <c r="U136" s="375">
        <f t="shared" si="30"/>
        <v>0.24000000000000021</v>
      </c>
      <c r="V136" s="375">
        <f t="shared" si="30"/>
        <v>0</v>
      </c>
      <c r="W136" s="375">
        <f t="shared" si="30"/>
        <v>0</v>
      </c>
      <c r="X136" s="375">
        <f t="shared" si="30"/>
        <v>0</v>
      </c>
      <c r="Y136" s="369"/>
    </row>
    <row r="137" spans="1:26" ht="13.5" thickBot="1" x14ac:dyDescent="0.2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6" ht="13.5" thickBot="1" x14ac:dyDescent="0.25">
      <c r="A138" s="361" t="s">
        <v>388</v>
      </c>
      <c r="B138" s="359">
        <f>ROW(A138)</f>
        <v>138</v>
      </c>
      <c r="C138" s="363" t="s">
        <v>118</v>
      </c>
      <c r="D138" s="353">
        <f>SUM(B141:Y141)</f>
        <v>52.564999999999998</v>
      </c>
      <c r="E138" s="363" t="s">
        <v>117</v>
      </c>
      <c r="F138" s="354">
        <f>D138/g/J138</f>
        <v>167.44712028542301</v>
      </c>
      <c r="G138" s="363" t="s">
        <v>59</v>
      </c>
      <c r="H138" s="64">
        <v>0.10100000000000001</v>
      </c>
      <c r="I138" s="363" t="s">
        <v>276</v>
      </c>
      <c r="J138" s="355">
        <f>H138-L138</f>
        <v>3.2000000000000001E-2</v>
      </c>
      <c r="K138" s="363" t="s">
        <v>277</v>
      </c>
      <c r="L138" s="64">
        <v>6.9000000000000006E-2</v>
      </c>
      <c r="M138" s="363" t="s">
        <v>60</v>
      </c>
      <c r="N138" s="65">
        <v>49</v>
      </c>
      <c r="O138" s="363" t="s">
        <v>62</v>
      </c>
      <c r="P138" s="65">
        <v>49</v>
      </c>
      <c r="Q138" s="363" t="s">
        <v>63</v>
      </c>
      <c r="R138" s="65">
        <v>98</v>
      </c>
      <c r="S138" s="363" t="s">
        <v>64</v>
      </c>
      <c r="T138" s="65">
        <v>29</v>
      </c>
      <c r="U138" s="363" t="s">
        <v>57</v>
      </c>
      <c r="V138" s="66" t="s">
        <v>405</v>
      </c>
      <c r="W138" s="463" t="s">
        <v>400</v>
      </c>
      <c r="X138" s="465">
        <v>1.8</v>
      </c>
      <c r="Y138" s="463" t="s">
        <v>399</v>
      </c>
      <c r="Z138" s="358">
        <v>12</v>
      </c>
    </row>
    <row r="139" spans="1:26" x14ac:dyDescent="0.2">
      <c r="A139" s="362" t="s">
        <v>33</v>
      </c>
      <c r="B139" s="370">
        <v>0</v>
      </c>
      <c r="C139" s="371">
        <v>0.01</v>
      </c>
      <c r="D139" s="371">
        <v>0.03</v>
      </c>
      <c r="E139" s="371">
        <v>0.04</v>
      </c>
      <c r="F139" s="371">
        <v>0.05</v>
      </c>
      <c r="G139" s="371">
        <v>0.06</v>
      </c>
      <c r="H139" s="371">
        <v>7.0000000000000007E-2</v>
      </c>
      <c r="I139" s="371">
        <v>0.08</v>
      </c>
      <c r="J139" s="371">
        <v>0.09</v>
      </c>
      <c r="K139" s="371">
        <v>0.1</v>
      </c>
      <c r="L139" s="371">
        <v>0.2</v>
      </c>
      <c r="M139" s="371">
        <v>0.3</v>
      </c>
      <c r="N139" s="371">
        <v>0.4</v>
      </c>
      <c r="O139" s="371">
        <v>0.5</v>
      </c>
      <c r="P139" s="371">
        <v>0.7</v>
      </c>
      <c r="Q139" s="371">
        <v>0.8</v>
      </c>
      <c r="R139" s="371">
        <v>0.9</v>
      </c>
      <c r="S139" s="371">
        <v>1</v>
      </c>
      <c r="T139" s="371">
        <v>1.1000000000000001</v>
      </c>
      <c r="U139" s="371">
        <v>1.24</v>
      </c>
      <c r="V139" s="371">
        <v>1.3</v>
      </c>
      <c r="W139" s="371">
        <v>1.5</v>
      </c>
      <c r="X139" s="371">
        <v>2</v>
      </c>
      <c r="Y139" s="381">
        <v>1000</v>
      </c>
    </row>
    <row r="140" spans="1:26" x14ac:dyDescent="0.2">
      <c r="A140" s="378" t="s">
        <v>34</v>
      </c>
      <c r="B140" s="372">
        <v>0</v>
      </c>
      <c r="C140" s="373">
        <v>12</v>
      </c>
      <c r="D140" s="373">
        <v>41</v>
      </c>
      <c r="E140" s="373">
        <v>42</v>
      </c>
      <c r="F140" s="373">
        <v>42</v>
      </c>
      <c r="G140" s="373">
        <v>40</v>
      </c>
      <c r="H140" s="373">
        <v>34</v>
      </c>
      <c r="I140" s="373">
        <v>34</v>
      </c>
      <c r="J140" s="373">
        <v>35</v>
      </c>
      <c r="K140" s="373">
        <v>36</v>
      </c>
      <c r="L140" s="373">
        <v>40</v>
      </c>
      <c r="M140" s="373">
        <v>42</v>
      </c>
      <c r="N140" s="373">
        <v>43</v>
      </c>
      <c r="O140" s="373">
        <v>43</v>
      </c>
      <c r="P140" s="373">
        <v>43</v>
      </c>
      <c r="Q140" s="373">
        <v>42</v>
      </c>
      <c r="R140" s="373">
        <v>41</v>
      </c>
      <c r="S140" s="373">
        <v>40</v>
      </c>
      <c r="T140" s="373">
        <v>38</v>
      </c>
      <c r="U140" s="373">
        <v>37</v>
      </c>
      <c r="V140" s="373">
        <v>12</v>
      </c>
      <c r="W140" s="373">
        <v>0</v>
      </c>
      <c r="X140" s="373">
        <v>0</v>
      </c>
      <c r="Y140" s="382">
        <v>0</v>
      </c>
    </row>
    <row r="141" spans="1:26" ht="13.5" thickBot="1" x14ac:dyDescent="0.25">
      <c r="A141" s="379" t="s">
        <v>119</v>
      </c>
      <c r="B141" s="374">
        <f t="shared" ref="B141:X141" si="31">(C140+B140)*(C139-B139)/2</f>
        <v>0.06</v>
      </c>
      <c r="C141" s="375">
        <f t="shared" si="31"/>
        <v>0.52999999999999992</v>
      </c>
      <c r="D141" s="375">
        <f t="shared" si="31"/>
        <v>0.41500000000000009</v>
      </c>
      <c r="E141" s="375">
        <f t="shared" si="31"/>
        <v>0.4200000000000001</v>
      </c>
      <c r="F141" s="375">
        <f t="shared" si="31"/>
        <v>0.40999999999999981</v>
      </c>
      <c r="G141" s="375">
        <f t="shared" si="31"/>
        <v>0.37000000000000033</v>
      </c>
      <c r="H141" s="375">
        <f t="shared" si="31"/>
        <v>0.33999999999999986</v>
      </c>
      <c r="I141" s="375">
        <f t="shared" si="31"/>
        <v>0.34499999999999981</v>
      </c>
      <c r="J141" s="375">
        <f t="shared" si="31"/>
        <v>0.35500000000000032</v>
      </c>
      <c r="K141" s="375">
        <f t="shared" si="31"/>
        <v>3.8000000000000003</v>
      </c>
      <c r="L141" s="375">
        <f t="shared" si="31"/>
        <v>4.0999999999999988</v>
      </c>
      <c r="M141" s="375">
        <f t="shared" si="31"/>
        <v>4.2500000000000018</v>
      </c>
      <c r="N141" s="375">
        <f t="shared" si="31"/>
        <v>4.2999999999999989</v>
      </c>
      <c r="O141" s="375">
        <f t="shared" si="31"/>
        <v>8.5999999999999979</v>
      </c>
      <c r="P141" s="375">
        <f t="shared" si="31"/>
        <v>4.2500000000000036</v>
      </c>
      <c r="Q141" s="375">
        <f t="shared" si="31"/>
        <v>4.1499999999999995</v>
      </c>
      <c r="R141" s="375">
        <f t="shared" si="31"/>
        <v>4.0499999999999989</v>
      </c>
      <c r="S141" s="375">
        <f t="shared" si="31"/>
        <v>3.9000000000000035</v>
      </c>
      <c r="T141" s="375">
        <f t="shared" si="31"/>
        <v>5.2499999999999964</v>
      </c>
      <c r="U141" s="375">
        <f t="shared" si="31"/>
        <v>1.4700000000000013</v>
      </c>
      <c r="V141" s="375">
        <f t="shared" si="31"/>
        <v>1.1999999999999997</v>
      </c>
      <c r="W141" s="375">
        <f t="shared" si="31"/>
        <v>0</v>
      </c>
      <c r="X141" s="375">
        <f t="shared" si="31"/>
        <v>0</v>
      </c>
      <c r="Y141" s="369"/>
    </row>
    <row r="142" spans="1:26" ht="13.5" thickBot="1" x14ac:dyDescent="0.2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6" ht="13.5" thickBot="1" x14ac:dyDescent="0.25">
      <c r="A143" s="361" t="s">
        <v>389</v>
      </c>
      <c r="B143" s="359">
        <f>ROW(A143)</f>
        <v>143</v>
      </c>
      <c r="C143" s="363" t="s">
        <v>118</v>
      </c>
      <c r="D143" s="353">
        <f>SUM(B146:Y146)</f>
        <v>54.110016122119539</v>
      </c>
      <c r="E143" s="363" t="s">
        <v>117</v>
      </c>
      <c r="F143" s="354">
        <f>D143/g/J143</f>
        <v>146.69685764124625</v>
      </c>
      <c r="G143" s="363" t="s">
        <v>59</v>
      </c>
      <c r="H143" s="64">
        <v>0.10580000000000001</v>
      </c>
      <c r="I143" s="363" t="s">
        <v>276</v>
      </c>
      <c r="J143" s="355">
        <f>H143-L143</f>
        <v>3.7600000000000008E-2</v>
      </c>
      <c r="K143" s="363" t="s">
        <v>277</v>
      </c>
      <c r="L143" s="64">
        <v>6.8199999999999997E-2</v>
      </c>
      <c r="M143" s="363" t="s">
        <v>60</v>
      </c>
      <c r="N143" s="65">
        <v>49</v>
      </c>
      <c r="O143" s="363" t="s">
        <v>62</v>
      </c>
      <c r="P143" s="65">
        <v>49</v>
      </c>
      <c r="Q143" s="363" t="s">
        <v>63</v>
      </c>
      <c r="R143" s="65">
        <v>98</v>
      </c>
      <c r="S143" s="363" t="s">
        <v>64</v>
      </c>
      <c r="T143" s="65">
        <v>29</v>
      </c>
      <c r="U143" s="363" t="s">
        <v>57</v>
      </c>
      <c r="V143" s="66" t="s">
        <v>405</v>
      </c>
      <c r="W143" s="463" t="s">
        <v>400</v>
      </c>
      <c r="X143" s="465">
        <v>1.9</v>
      </c>
      <c r="Y143" s="463" t="s">
        <v>399</v>
      </c>
      <c r="Z143" s="358">
        <v>12</v>
      </c>
    </row>
    <row r="144" spans="1:26" x14ac:dyDescent="0.2">
      <c r="A144" s="362" t="s">
        <v>33</v>
      </c>
      <c r="B144" s="370">
        <v>0</v>
      </c>
      <c r="C144" s="371">
        <v>2.5000000000000001E-2</v>
      </c>
      <c r="D144" s="371">
        <v>0.05</v>
      </c>
      <c r="E144" s="371">
        <v>7.4999999999999997E-2</v>
      </c>
      <c r="F144" s="371">
        <v>0.1</v>
      </c>
      <c r="G144" s="371">
        <v>0.15</v>
      </c>
      <c r="H144" s="371">
        <v>0.17499999999999999</v>
      </c>
      <c r="I144" s="371">
        <v>0.2</v>
      </c>
      <c r="J144" s="371">
        <v>0.3</v>
      </c>
      <c r="K144" s="371">
        <v>0.4</v>
      </c>
      <c r="L144" s="371">
        <v>0.5</v>
      </c>
      <c r="M144" s="371">
        <v>0.6</v>
      </c>
      <c r="N144" s="371">
        <v>0.7</v>
      </c>
      <c r="O144" s="371">
        <v>0.8</v>
      </c>
      <c r="P144" s="371">
        <v>0.9</v>
      </c>
      <c r="Q144" s="371">
        <v>1.1000000000000001</v>
      </c>
      <c r="R144" s="371">
        <v>1.2</v>
      </c>
      <c r="S144" s="371">
        <v>1.6</v>
      </c>
      <c r="T144" s="371">
        <v>1.7</v>
      </c>
      <c r="U144" s="371">
        <v>1.8</v>
      </c>
      <c r="V144" s="371">
        <v>1.9</v>
      </c>
      <c r="W144" s="371">
        <v>1.9999</v>
      </c>
      <c r="X144" s="371">
        <v>2</v>
      </c>
      <c r="Y144" s="381">
        <v>1000</v>
      </c>
    </row>
    <row r="145" spans="1:26" x14ac:dyDescent="0.2">
      <c r="A145" s="378" t="s">
        <v>34</v>
      </c>
      <c r="B145" s="372">
        <v>0</v>
      </c>
      <c r="C145" s="376">
        <v>15.2574001848975</v>
      </c>
      <c r="D145" s="376">
        <v>26.377954255522496</v>
      </c>
      <c r="E145" s="376">
        <v>21.484910464447498</v>
      </c>
      <c r="F145" s="376">
        <v>24.020396792549999</v>
      </c>
      <c r="G145" s="376">
        <v>28.11276069054</v>
      </c>
      <c r="H145" s="376">
        <v>28.691029502212498</v>
      </c>
      <c r="I145" s="376">
        <v>29.180333881319996</v>
      </c>
      <c r="J145" s="376">
        <v>31.493409128009997</v>
      </c>
      <c r="K145" s="376">
        <v>32.560982318789996</v>
      </c>
      <c r="L145" s="376">
        <v>32.827875616484995</v>
      </c>
      <c r="M145" s="376">
        <v>32.649946751354996</v>
      </c>
      <c r="N145" s="376">
        <v>32.383053453659997</v>
      </c>
      <c r="O145" s="376">
        <v>32.249606804812501</v>
      </c>
      <c r="P145" s="376">
        <v>31.804784641987499</v>
      </c>
      <c r="Q145" s="376">
        <v>30.559282586077497</v>
      </c>
      <c r="R145" s="376">
        <v>30.069978206969999</v>
      </c>
      <c r="S145" s="376">
        <v>26.377954255522496</v>
      </c>
      <c r="T145" s="376">
        <v>24.865558901917499</v>
      </c>
      <c r="U145" s="376">
        <v>18.4601197572375</v>
      </c>
      <c r="V145" s="376">
        <v>7.5174945517424998</v>
      </c>
      <c r="W145" s="376">
        <v>1.3789487047575</v>
      </c>
      <c r="X145" s="373">
        <v>0</v>
      </c>
      <c r="Y145" s="382">
        <v>0</v>
      </c>
    </row>
    <row r="146" spans="1:26" ht="13.5" thickBot="1" x14ac:dyDescent="0.25">
      <c r="A146" s="379" t="s">
        <v>119</v>
      </c>
      <c r="B146" s="374">
        <f t="shared" ref="B146:V146" si="32">(C145+B145)*(C144-B144)/2</f>
        <v>0.19071750231121876</v>
      </c>
      <c r="C146" s="375">
        <f t="shared" si="32"/>
        <v>0.52044193050525001</v>
      </c>
      <c r="D146" s="375">
        <f t="shared" si="32"/>
        <v>0.5982858089996248</v>
      </c>
      <c r="E146" s="375">
        <f t="shared" si="32"/>
        <v>0.56881634071246889</v>
      </c>
      <c r="F146" s="375">
        <f t="shared" si="32"/>
        <v>1.3033289370772498</v>
      </c>
      <c r="G146" s="375">
        <f t="shared" si="32"/>
        <v>0.71004737740940616</v>
      </c>
      <c r="H146" s="375">
        <f t="shared" si="32"/>
        <v>0.72339204229415688</v>
      </c>
      <c r="I146" s="375">
        <f t="shared" si="32"/>
        <v>3.0336871504664993</v>
      </c>
      <c r="J146" s="375">
        <f>(K145+J145)*(K144-J144)/2</f>
        <v>3.2027195723400008</v>
      </c>
      <c r="K146" s="375">
        <f t="shared" si="32"/>
        <v>3.2694428967637483</v>
      </c>
      <c r="L146" s="375">
        <f t="shared" si="32"/>
        <v>3.2738911183919988</v>
      </c>
      <c r="M146" s="375">
        <f t="shared" si="32"/>
        <v>3.2516500102507484</v>
      </c>
      <c r="N146" s="375">
        <f t="shared" si="32"/>
        <v>3.2316330129236279</v>
      </c>
      <c r="O146" s="375">
        <f t="shared" si="32"/>
        <v>3.202719572339999</v>
      </c>
      <c r="P146" s="375">
        <f t="shared" si="32"/>
        <v>6.2364067228065014</v>
      </c>
      <c r="Q146" s="375">
        <f t="shared" si="32"/>
        <v>3.0314630396523707</v>
      </c>
      <c r="R146" s="375">
        <f t="shared" si="32"/>
        <v>11.289586492498502</v>
      </c>
      <c r="S146" s="375">
        <f>(T145+S145)*(T144-S144)/2</f>
        <v>2.5621756578719963</v>
      </c>
      <c r="T146" s="375">
        <f t="shared" si="32"/>
        <v>2.1662839329577519</v>
      </c>
      <c r="U146" s="375">
        <f t="shared" si="32"/>
        <v>1.2988807154489983</v>
      </c>
      <c r="V146" s="375">
        <f t="shared" si="32"/>
        <v>0.44437734066217544</v>
      </c>
      <c r="W146" s="375">
        <f>(X145+W145)*(X144-W144)/2</f>
        <v>6.894743523786741E-5</v>
      </c>
      <c r="X146" s="375">
        <f>(Y145+X145)*(Y144-X144)/2</f>
        <v>0</v>
      </c>
      <c r="Y146" s="369"/>
    </row>
    <row r="147" spans="1:26" ht="13.5" thickBot="1" x14ac:dyDescent="0.2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6" ht="13.5" thickBot="1" x14ac:dyDescent="0.25">
      <c r="A148" s="361" t="s">
        <v>390</v>
      </c>
      <c r="B148" s="359">
        <f>ROW(A148)</f>
        <v>148</v>
      </c>
      <c r="C148" s="363" t="s">
        <v>118</v>
      </c>
      <c r="D148" s="353">
        <f>SUM(B151:Y151)</f>
        <v>55.705884500000003</v>
      </c>
      <c r="E148" s="363" t="s">
        <v>117</v>
      </c>
      <c r="F148" s="354">
        <f>D148/g/J148</f>
        <v>180.84329814241278</v>
      </c>
      <c r="G148" s="363" t="s">
        <v>59</v>
      </c>
      <c r="H148" s="64">
        <v>0.1062</v>
      </c>
      <c r="I148" s="363" t="s">
        <v>276</v>
      </c>
      <c r="J148" s="355">
        <f>H148-L148</f>
        <v>3.1400000000000011E-2</v>
      </c>
      <c r="K148" s="363" t="s">
        <v>277</v>
      </c>
      <c r="L148" s="64">
        <v>7.4799999999999991E-2</v>
      </c>
      <c r="M148" s="363" t="s">
        <v>60</v>
      </c>
      <c r="N148" s="65">
        <v>49</v>
      </c>
      <c r="O148" s="363" t="s">
        <v>62</v>
      </c>
      <c r="P148" s="65">
        <v>49</v>
      </c>
      <c r="Q148" s="363" t="s">
        <v>63</v>
      </c>
      <c r="R148" s="65">
        <v>98</v>
      </c>
      <c r="S148" s="363" t="s">
        <v>64</v>
      </c>
      <c r="T148" s="65">
        <v>29</v>
      </c>
      <c r="U148" s="363" t="s">
        <v>57</v>
      </c>
      <c r="V148" s="66" t="s">
        <v>406</v>
      </c>
      <c r="W148" s="463" t="s">
        <v>400</v>
      </c>
      <c r="X148" s="465">
        <v>0.45</v>
      </c>
      <c r="Y148" s="463" t="s">
        <v>399</v>
      </c>
      <c r="Z148" s="358">
        <v>14</v>
      </c>
    </row>
    <row r="149" spans="1:26" x14ac:dyDescent="0.2">
      <c r="A149" s="362" t="s">
        <v>33</v>
      </c>
      <c r="B149" s="370">
        <v>0</v>
      </c>
      <c r="C149" s="371">
        <v>1.2999999999999999E-2</v>
      </c>
      <c r="D149" s="371">
        <v>1.7000000000000001E-2</v>
      </c>
      <c r="E149" s="371">
        <v>0.04</v>
      </c>
      <c r="F149" s="371">
        <v>0.125</v>
      </c>
      <c r="G149" s="371">
        <v>0.17899999999999999</v>
      </c>
      <c r="H149" s="371">
        <v>0.222</v>
      </c>
      <c r="I149" s="371">
        <v>0.28899999999999998</v>
      </c>
      <c r="J149" s="371">
        <v>0.35399999999999998</v>
      </c>
      <c r="K149" s="371">
        <v>0.39400000000000002</v>
      </c>
      <c r="L149" s="371">
        <v>0.40600000000000003</v>
      </c>
      <c r="M149" s="371">
        <v>0.41599999999999998</v>
      </c>
      <c r="N149" s="371">
        <v>0.42299999999999999</v>
      </c>
      <c r="O149" s="371">
        <v>0.43099999999999999</v>
      </c>
      <c r="P149" s="371">
        <v>0.44700000000000001</v>
      </c>
      <c r="Q149" s="371">
        <v>0.45300000000000001</v>
      </c>
      <c r="R149" s="371">
        <v>0.45500000000000002</v>
      </c>
      <c r="S149" s="371">
        <v>0.45500000000000002</v>
      </c>
      <c r="T149" s="371">
        <v>0.45500000000000002</v>
      </c>
      <c r="U149" s="371">
        <v>0.45500000000000002</v>
      </c>
      <c r="V149" s="371">
        <v>0.45500000000000002</v>
      </c>
      <c r="W149" s="371">
        <v>0.45500000000000002</v>
      </c>
      <c r="X149" s="371">
        <v>2</v>
      </c>
      <c r="Y149" s="381">
        <v>1000</v>
      </c>
    </row>
    <row r="150" spans="1:26" x14ac:dyDescent="0.2">
      <c r="A150" s="378" t="s">
        <v>34</v>
      </c>
      <c r="B150" s="372">
        <v>0</v>
      </c>
      <c r="C150" s="373">
        <v>79.242000000000004</v>
      </c>
      <c r="D150" s="373">
        <v>90.427000000000007</v>
      </c>
      <c r="E150" s="373">
        <v>101.422</v>
      </c>
      <c r="F150" s="373">
        <v>127.583</v>
      </c>
      <c r="G150" s="373">
        <v>136.114</v>
      </c>
      <c r="H150" s="373">
        <v>139.905</v>
      </c>
      <c r="I150" s="373">
        <v>143.50700000000001</v>
      </c>
      <c r="J150" s="373">
        <v>138.578</v>
      </c>
      <c r="K150" s="373">
        <v>125.498</v>
      </c>
      <c r="L150" s="373">
        <v>123.602</v>
      </c>
      <c r="M150" s="373">
        <v>125.11799999999999</v>
      </c>
      <c r="N150" s="373">
        <v>130.047</v>
      </c>
      <c r="O150" s="373">
        <v>120.569</v>
      </c>
      <c r="P150" s="373">
        <v>25.591999999999999</v>
      </c>
      <c r="Q150" s="373">
        <v>8.7200000000000006</v>
      </c>
      <c r="R150" s="373">
        <v>0</v>
      </c>
      <c r="S150" s="373">
        <v>0</v>
      </c>
      <c r="T150" s="373">
        <v>0</v>
      </c>
      <c r="U150" s="373">
        <v>0</v>
      </c>
      <c r="V150" s="373">
        <v>0</v>
      </c>
      <c r="W150" s="373">
        <v>0</v>
      </c>
      <c r="X150" s="373">
        <v>0</v>
      </c>
      <c r="Y150" s="382">
        <v>0</v>
      </c>
    </row>
    <row r="151" spans="1:26" ht="13.5" thickBot="1" x14ac:dyDescent="0.25">
      <c r="A151" s="379" t="s">
        <v>119</v>
      </c>
      <c r="B151" s="374">
        <f t="shared" ref="B151:X151" si="33">(C150+B150)*(C149-B149)/2</f>
        <v>0.515073</v>
      </c>
      <c r="C151" s="375">
        <f t="shared" si="33"/>
        <v>0.3393380000000002</v>
      </c>
      <c r="D151" s="375">
        <f t="shared" si="33"/>
        <v>2.2062634999999999</v>
      </c>
      <c r="E151" s="375">
        <f t="shared" si="33"/>
        <v>9.7327124999999981</v>
      </c>
      <c r="F151" s="375">
        <f t="shared" si="33"/>
        <v>7.1198189999999988</v>
      </c>
      <c r="G151" s="375">
        <f t="shared" si="33"/>
        <v>5.9344085000000018</v>
      </c>
      <c r="H151" s="375">
        <f t="shared" si="33"/>
        <v>9.4943019999999976</v>
      </c>
      <c r="I151" s="375">
        <f t="shared" si="33"/>
        <v>9.167762500000002</v>
      </c>
      <c r="J151" s="375">
        <f t="shared" si="33"/>
        <v>5.2815200000000049</v>
      </c>
      <c r="K151" s="375">
        <f t="shared" si="33"/>
        <v>1.4946000000000015</v>
      </c>
      <c r="L151" s="375">
        <f t="shared" si="33"/>
        <v>1.2435999999999943</v>
      </c>
      <c r="M151" s="375">
        <f t="shared" si="33"/>
        <v>0.89307750000000075</v>
      </c>
      <c r="N151" s="375">
        <f t="shared" si="33"/>
        <v>1.0024640000000009</v>
      </c>
      <c r="O151" s="375">
        <f t="shared" si="33"/>
        <v>1.169288000000001</v>
      </c>
      <c r="P151" s="375">
        <f t="shared" si="33"/>
        <v>0.10293600000000008</v>
      </c>
      <c r="Q151" s="375">
        <f t="shared" si="33"/>
        <v>8.720000000000009E-3</v>
      </c>
      <c r="R151" s="375">
        <f t="shared" si="33"/>
        <v>0</v>
      </c>
      <c r="S151" s="375">
        <f t="shared" si="33"/>
        <v>0</v>
      </c>
      <c r="T151" s="375">
        <f t="shared" si="33"/>
        <v>0</v>
      </c>
      <c r="U151" s="375">
        <f t="shared" si="33"/>
        <v>0</v>
      </c>
      <c r="V151" s="375">
        <f t="shared" si="33"/>
        <v>0</v>
      </c>
      <c r="W151" s="375">
        <f t="shared" si="33"/>
        <v>0</v>
      </c>
      <c r="X151" s="375">
        <f t="shared" si="33"/>
        <v>0</v>
      </c>
      <c r="Y151" s="369"/>
    </row>
    <row r="152" spans="1:26" ht="13.5" thickBot="1" x14ac:dyDescent="0.2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6" ht="13.5" thickBot="1" x14ac:dyDescent="0.25">
      <c r="A153" s="361" t="s">
        <v>391</v>
      </c>
      <c r="B153" s="359">
        <f>ROW(A153)</f>
        <v>153</v>
      </c>
      <c r="C153" s="363" t="s">
        <v>118</v>
      </c>
      <c r="D153" s="353">
        <f>SUM(B156:Y156)</f>
        <v>57.190000000000005</v>
      </c>
      <c r="E153" s="363" t="s">
        <v>117</v>
      </c>
      <c r="F153" s="354">
        <f>D153/g/J153</f>
        <v>188.05695307618953</v>
      </c>
      <c r="G153" s="363" t="s">
        <v>59</v>
      </c>
      <c r="H153" s="64">
        <v>9.9000000000000005E-2</v>
      </c>
      <c r="I153" s="363" t="s">
        <v>276</v>
      </c>
      <c r="J153" s="355">
        <f>H153-L153</f>
        <v>3.1E-2</v>
      </c>
      <c r="K153" s="363" t="s">
        <v>277</v>
      </c>
      <c r="L153" s="64">
        <v>6.8000000000000005E-2</v>
      </c>
      <c r="M153" s="363" t="s">
        <v>60</v>
      </c>
      <c r="N153" s="65">
        <v>49</v>
      </c>
      <c r="O153" s="363" t="s">
        <v>62</v>
      </c>
      <c r="P153" s="65">
        <v>49</v>
      </c>
      <c r="Q153" s="363" t="s">
        <v>63</v>
      </c>
      <c r="R153" s="65">
        <v>98</v>
      </c>
      <c r="S153" s="363" t="s">
        <v>64</v>
      </c>
      <c r="T153" s="65">
        <v>29</v>
      </c>
      <c r="U153" s="363" t="s">
        <v>57</v>
      </c>
      <c r="V153" s="66" t="s">
        <v>405</v>
      </c>
      <c r="W153" s="463" t="s">
        <v>400</v>
      </c>
      <c r="X153" s="465">
        <v>0.96</v>
      </c>
      <c r="Y153" s="463" t="s">
        <v>399</v>
      </c>
      <c r="Z153" s="358">
        <v>12</v>
      </c>
    </row>
    <row r="154" spans="1:26" x14ac:dyDescent="0.2">
      <c r="A154" s="362" t="s">
        <v>33</v>
      </c>
      <c r="B154" s="370">
        <v>0</v>
      </c>
      <c r="C154" s="371">
        <v>0.01</v>
      </c>
      <c r="D154" s="371">
        <v>0.02</v>
      </c>
      <c r="E154" s="371">
        <v>0.03</v>
      </c>
      <c r="F154" s="371">
        <v>0.04</v>
      </c>
      <c r="G154" s="371">
        <v>7.0000000000000007E-2</v>
      </c>
      <c r="H154" s="371">
        <v>0.1</v>
      </c>
      <c r="I154" s="371">
        <v>0.2</v>
      </c>
      <c r="J154" s="371">
        <v>0.3</v>
      </c>
      <c r="K154" s="371">
        <v>0.4</v>
      </c>
      <c r="L154" s="371">
        <v>0.5</v>
      </c>
      <c r="M154" s="371">
        <v>0.6</v>
      </c>
      <c r="N154" s="371">
        <v>0.7</v>
      </c>
      <c r="O154" s="371">
        <v>0.87</v>
      </c>
      <c r="P154" s="371">
        <v>0.9</v>
      </c>
      <c r="Q154" s="371">
        <v>0.97</v>
      </c>
      <c r="R154" s="371">
        <v>0.97</v>
      </c>
      <c r="S154" s="371">
        <v>0.97</v>
      </c>
      <c r="T154" s="371">
        <v>0.97</v>
      </c>
      <c r="U154" s="371">
        <v>0.97</v>
      </c>
      <c r="V154" s="371">
        <v>0.97</v>
      </c>
      <c r="W154" s="371">
        <v>0.97</v>
      </c>
      <c r="X154" s="371">
        <v>2</v>
      </c>
      <c r="Y154" s="381">
        <v>1000</v>
      </c>
    </row>
    <row r="155" spans="1:26" x14ac:dyDescent="0.2">
      <c r="A155" s="378" t="s">
        <v>34</v>
      </c>
      <c r="B155" s="372">
        <v>0</v>
      </c>
      <c r="C155" s="373">
        <v>16</v>
      </c>
      <c r="D155" s="373">
        <v>62</v>
      </c>
      <c r="E155" s="373">
        <v>67</v>
      </c>
      <c r="F155" s="373">
        <v>71</v>
      </c>
      <c r="G155" s="373">
        <v>58</v>
      </c>
      <c r="H155" s="373">
        <v>63</v>
      </c>
      <c r="I155" s="373">
        <v>67</v>
      </c>
      <c r="J155" s="373">
        <v>69</v>
      </c>
      <c r="K155" s="373">
        <v>67</v>
      </c>
      <c r="L155" s="373">
        <v>65</v>
      </c>
      <c r="M155" s="373">
        <v>63</v>
      </c>
      <c r="N155" s="373">
        <v>61</v>
      </c>
      <c r="O155" s="373">
        <v>60</v>
      </c>
      <c r="P155" s="373">
        <v>23</v>
      </c>
      <c r="Q155" s="373">
        <v>0</v>
      </c>
      <c r="R155" s="373">
        <v>0</v>
      </c>
      <c r="S155" s="373">
        <v>0</v>
      </c>
      <c r="T155" s="373">
        <v>0</v>
      </c>
      <c r="U155" s="373">
        <v>0</v>
      </c>
      <c r="V155" s="373">
        <v>0</v>
      </c>
      <c r="W155" s="373">
        <v>0</v>
      </c>
      <c r="X155" s="373">
        <v>0</v>
      </c>
      <c r="Y155" s="382">
        <v>0</v>
      </c>
    </row>
    <row r="156" spans="1:26" ht="13.5" thickBot="1" x14ac:dyDescent="0.25">
      <c r="A156" s="379" t="s">
        <v>119</v>
      </c>
      <c r="B156" s="374">
        <f t="shared" ref="B156:X156" si="34">(C155+B155)*(C154-B154)/2</f>
        <v>0.08</v>
      </c>
      <c r="C156" s="375">
        <f t="shared" si="34"/>
        <v>0.39</v>
      </c>
      <c r="D156" s="375">
        <f t="shared" si="34"/>
        <v>0.64499999999999991</v>
      </c>
      <c r="E156" s="375">
        <f t="shared" si="34"/>
        <v>0.69000000000000017</v>
      </c>
      <c r="F156" s="375">
        <f t="shared" si="34"/>
        <v>1.9350000000000003</v>
      </c>
      <c r="G156" s="375">
        <f t="shared" si="34"/>
        <v>1.8149999999999999</v>
      </c>
      <c r="H156" s="375">
        <f t="shared" si="34"/>
        <v>6.5</v>
      </c>
      <c r="I156" s="375">
        <f t="shared" si="34"/>
        <v>6.7999999999999989</v>
      </c>
      <c r="J156" s="375">
        <f t="shared" si="34"/>
        <v>6.8000000000000025</v>
      </c>
      <c r="K156" s="375">
        <f t="shared" si="34"/>
        <v>6.5999999999999988</v>
      </c>
      <c r="L156" s="375">
        <f t="shared" si="34"/>
        <v>6.3999999999999986</v>
      </c>
      <c r="M156" s="375">
        <f t="shared" si="34"/>
        <v>6.1999999999999984</v>
      </c>
      <c r="N156" s="375">
        <f t="shared" si="34"/>
        <v>10.285000000000002</v>
      </c>
      <c r="O156" s="375">
        <f t="shared" si="34"/>
        <v>1.245000000000001</v>
      </c>
      <c r="P156" s="375">
        <f t="shared" si="34"/>
        <v>0.80499999999999949</v>
      </c>
      <c r="Q156" s="375">
        <f t="shared" si="34"/>
        <v>0</v>
      </c>
      <c r="R156" s="375">
        <f t="shared" si="34"/>
        <v>0</v>
      </c>
      <c r="S156" s="375">
        <f t="shared" si="34"/>
        <v>0</v>
      </c>
      <c r="T156" s="375">
        <f t="shared" si="34"/>
        <v>0</v>
      </c>
      <c r="U156" s="375">
        <f t="shared" si="34"/>
        <v>0</v>
      </c>
      <c r="V156" s="375">
        <f t="shared" si="34"/>
        <v>0</v>
      </c>
      <c r="W156" s="375">
        <f t="shared" si="34"/>
        <v>0</v>
      </c>
      <c r="X156" s="375">
        <f t="shared" si="34"/>
        <v>0</v>
      </c>
      <c r="Y156" s="369"/>
    </row>
    <row r="157" spans="1:26" ht="13.5" thickBot="1" x14ac:dyDescent="0.25">
      <c r="A157" s="6" t="s">
        <v>320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6" ht="13.5" thickBot="1" x14ac:dyDescent="0.25">
      <c r="A158" s="361" t="s">
        <v>327</v>
      </c>
      <c r="B158" s="359">
        <f>ROW(A158)</f>
        <v>158</v>
      </c>
      <c r="C158" s="363" t="s">
        <v>118</v>
      </c>
      <c r="D158" s="353">
        <f>SUM(B161:Y161)</f>
        <v>59.702267000000006</v>
      </c>
      <c r="E158" s="363" t="s">
        <v>117</v>
      </c>
      <c r="F158" s="354">
        <f>D158/g/J158</f>
        <v>190.77924771281306</v>
      </c>
      <c r="G158" s="363" t="s">
        <v>59</v>
      </c>
      <c r="H158" s="64">
        <v>9.3899999999999997E-2</v>
      </c>
      <c r="I158" s="363" t="s">
        <v>276</v>
      </c>
      <c r="J158" s="355">
        <f>H158-L158</f>
        <v>3.1899999999999998E-2</v>
      </c>
      <c r="K158" s="363" t="s">
        <v>277</v>
      </c>
      <c r="L158" s="64">
        <f>0.095-0.033</f>
        <v>6.2E-2</v>
      </c>
      <c r="M158" s="363" t="s">
        <v>60</v>
      </c>
      <c r="N158" s="396">
        <v>66.5</v>
      </c>
      <c r="O158" s="363" t="s">
        <v>62</v>
      </c>
      <c r="P158" s="396">
        <v>66.5</v>
      </c>
      <c r="Q158" s="363" t="s">
        <v>63</v>
      </c>
      <c r="R158" s="65">
        <v>133</v>
      </c>
      <c r="S158" s="363" t="s">
        <v>64</v>
      </c>
      <c r="T158" s="65">
        <v>24</v>
      </c>
      <c r="U158" s="363" t="s">
        <v>57</v>
      </c>
      <c r="V158" s="66" t="s">
        <v>405</v>
      </c>
      <c r="W158" s="463" t="s">
        <v>400</v>
      </c>
      <c r="X158" s="465">
        <v>1.2</v>
      </c>
      <c r="Y158" s="463" t="s">
        <v>399</v>
      </c>
      <c r="Z158" s="358">
        <v>13</v>
      </c>
    </row>
    <row r="159" spans="1:26" x14ac:dyDescent="0.2">
      <c r="A159" s="362" t="s">
        <v>33</v>
      </c>
      <c r="B159" s="370">
        <v>0</v>
      </c>
      <c r="C159" s="371">
        <v>1.4999999999999999E-2</v>
      </c>
      <c r="D159" s="371">
        <v>2.1999999999999999E-2</v>
      </c>
      <c r="E159" s="371">
        <v>6.4000000000000001E-2</v>
      </c>
      <c r="F159" s="371">
        <v>0.11799999999999999</v>
      </c>
      <c r="G159" s="371">
        <v>0.34200000000000003</v>
      </c>
      <c r="H159" s="371">
        <v>0.53600000000000003</v>
      </c>
      <c r="I159" s="371">
        <v>0.74299999999999999</v>
      </c>
      <c r="J159" s="371">
        <v>0.88400000000000001</v>
      </c>
      <c r="K159" s="371">
        <v>0.97599999999999998</v>
      </c>
      <c r="L159" s="371">
        <v>1.0960000000000001</v>
      </c>
      <c r="M159" s="371">
        <v>1.246</v>
      </c>
      <c r="N159" s="371">
        <v>1.298</v>
      </c>
      <c r="O159" s="371">
        <v>2</v>
      </c>
      <c r="P159" s="371">
        <v>2</v>
      </c>
      <c r="Q159" s="371">
        <v>2</v>
      </c>
      <c r="R159" s="371">
        <v>2</v>
      </c>
      <c r="S159" s="371">
        <v>2</v>
      </c>
      <c r="T159" s="371">
        <v>2</v>
      </c>
      <c r="U159" s="371">
        <v>2</v>
      </c>
      <c r="V159" s="371">
        <v>2</v>
      </c>
      <c r="W159" s="371">
        <v>2</v>
      </c>
      <c r="X159" s="371">
        <f t="shared" ref="T159:X160" si="35">W159</f>
        <v>2</v>
      </c>
      <c r="Y159" s="381">
        <v>1000</v>
      </c>
    </row>
    <row r="160" spans="1:26" x14ac:dyDescent="0.2">
      <c r="A160" s="378" t="s">
        <v>34</v>
      </c>
      <c r="B160" s="372">
        <v>0</v>
      </c>
      <c r="C160" s="373">
        <v>64.981999999999999</v>
      </c>
      <c r="D160" s="373">
        <v>69.516000000000005</v>
      </c>
      <c r="E160" s="373">
        <v>55.536999999999999</v>
      </c>
      <c r="F160" s="373">
        <v>62.81</v>
      </c>
      <c r="G160" s="373">
        <v>62.149000000000001</v>
      </c>
      <c r="H160" s="373">
        <v>59.41</v>
      </c>
      <c r="I160" s="373">
        <v>53.837000000000003</v>
      </c>
      <c r="J160" s="373">
        <v>46.942</v>
      </c>
      <c r="K160" s="373">
        <v>40.046999999999997</v>
      </c>
      <c r="L160" s="373">
        <v>12.561999999999999</v>
      </c>
      <c r="M160" s="373">
        <v>2.0779999999999998</v>
      </c>
      <c r="N160" s="373">
        <v>0</v>
      </c>
      <c r="O160" s="373">
        <v>0</v>
      </c>
      <c r="P160" s="373">
        <v>0</v>
      </c>
      <c r="Q160" s="373">
        <v>0</v>
      </c>
      <c r="R160" s="373">
        <v>0</v>
      </c>
      <c r="S160" s="373">
        <v>0</v>
      </c>
      <c r="T160" s="373">
        <f t="shared" si="35"/>
        <v>0</v>
      </c>
      <c r="U160" s="373">
        <f t="shared" si="35"/>
        <v>0</v>
      </c>
      <c r="V160" s="373">
        <f t="shared" si="35"/>
        <v>0</v>
      </c>
      <c r="W160" s="373">
        <f t="shared" si="35"/>
        <v>0</v>
      </c>
      <c r="X160" s="373">
        <f t="shared" si="35"/>
        <v>0</v>
      </c>
      <c r="Y160" s="382">
        <v>0</v>
      </c>
    </row>
    <row r="161" spans="1:26" ht="13.5" thickBot="1" x14ac:dyDescent="0.25">
      <c r="A161" s="379" t="s">
        <v>119</v>
      </c>
      <c r="B161" s="374">
        <f t="shared" ref="B161:V161" si="36">(C160+B160)*(C159-B159)/2</f>
        <v>0.48736499999999999</v>
      </c>
      <c r="C161" s="375">
        <f t="shared" si="36"/>
        <v>0.47074299999999991</v>
      </c>
      <c r="D161" s="375">
        <f t="shared" si="36"/>
        <v>2.6261130000000001</v>
      </c>
      <c r="E161" s="375">
        <f t="shared" si="36"/>
        <v>3.1953689999999999</v>
      </c>
      <c r="F161" s="375">
        <f t="shared" si="36"/>
        <v>13.995408000000003</v>
      </c>
      <c r="G161" s="375">
        <f t="shared" si="36"/>
        <v>11.791223</v>
      </c>
      <c r="H161" s="375">
        <f t="shared" si="36"/>
        <v>11.721064499999997</v>
      </c>
      <c r="I161" s="375">
        <f t="shared" si="36"/>
        <v>7.1049195000000003</v>
      </c>
      <c r="J161" s="375">
        <f>(K160+J160)*(K159-J159)/2</f>
        <v>4.0014939999999992</v>
      </c>
      <c r="K161" s="375">
        <f t="shared" si="36"/>
        <v>3.1565400000000023</v>
      </c>
      <c r="L161" s="375">
        <f t="shared" si="36"/>
        <v>1.0979999999999992</v>
      </c>
      <c r="M161" s="375">
        <f t="shared" si="36"/>
        <v>5.4028000000000041E-2</v>
      </c>
      <c r="N161" s="375">
        <f t="shared" si="36"/>
        <v>0</v>
      </c>
      <c r="O161" s="375">
        <f t="shared" si="36"/>
        <v>0</v>
      </c>
      <c r="P161" s="375">
        <f t="shared" si="36"/>
        <v>0</v>
      </c>
      <c r="Q161" s="375">
        <f t="shared" si="36"/>
        <v>0</v>
      </c>
      <c r="R161" s="375">
        <f t="shared" si="36"/>
        <v>0</v>
      </c>
      <c r="S161" s="375">
        <f>(T160+S160)*(T159-S159)/2</f>
        <v>0</v>
      </c>
      <c r="T161" s="375">
        <f t="shared" si="36"/>
        <v>0</v>
      </c>
      <c r="U161" s="375">
        <f t="shared" si="36"/>
        <v>0</v>
      </c>
      <c r="V161" s="375">
        <f t="shared" si="36"/>
        <v>0</v>
      </c>
      <c r="W161" s="375">
        <f>(X160+W160)*(X159-W159)/2</f>
        <v>0</v>
      </c>
      <c r="X161" s="375">
        <f>(Y160+X160)*(Y159-X159)/2</f>
        <v>0</v>
      </c>
      <c r="Y161" s="369"/>
    </row>
    <row r="162" spans="1:26" ht="13.5" thickBot="1" x14ac:dyDescent="0.25"/>
    <row r="163" spans="1:26" ht="13.5" thickBot="1" x14ac:dyDescent="0.25">
      <c r="A163" s="361" t="s">
        <v>328</v>
      </c>
      <c r="B163" s="359">
        <f>ROW(A163)</f>
        <v>163</v>
      </c>
      <c r="C163" s="363" t="s">
        <v>118</v>
      </c>
      <c r="D163" s="353">
        <f>SUM(B166:Y166)</f>
        <v>68.380602999999994</v>
      </c>
      <c r="E163" s="363" t="s">
        <v>117</v>
      </c>
      <c r="F163" s="354">
        <f>D163/g/J163</f>
        <v>134.04807300243078</v>
      </c>
      <c r="G163" s="363" t="s">
        <v>59</v>
      </c>
      <c r="H163" s="64">
        <v>0.1075</v>
      </c>
      <c r="I163" s="363" t="s">
        <v>276</v>
      </c>
      <c r="J163" s="355">
        <f>H163-L163</f>
        <v>5.1999999999999998E-2</v>
      </c>
      <c r="K163" s="363" t="s">
        <v>277</v>
      </c>
      <c r="L163" s="64">
        <v>5.5500000000000001E-2</v>
      </c>
      <c r="M163" s="363" t="s">
        <v>60</v>
      </c>
      <c r="N163" s="396">
        <v>66.5</v>
      </c>
      <c r="O163" s="363" t="s">
        <v>62</v>
      </c>
      <c r="P163" s="396">
        <v>66.5</v>
      </c>
      <c r="Q163" s="363" t="s">
        <v>63</v>
      </c>
      <c r="R163" s="65">
        <v>133</v>
      </c>
      <c r="S163" s="363" t="s">
        <v>64</v>
      </c>
      <c r="T163" s="65">
        <v>24</v>
      </c>
      <c r="U163" s="363" t="s">
        <v>57</v>
      </c>
      <c r="V163" s="66" t="s">
        <v>405</v>
      </c>
      <c r="W163" s="463" t="s">
        <v>400</v>
      </c>
      <c r="X163" s="465">
        <v>0.86</v>
      </c>
      <c r="Y163" s="463" t="s">
        <v>399</v>
      </c>
      <c r="Z163" s="358">
        <v>13</v>
      </c>
    </row>
    <row r="164" spans="1:26" x14ac:dyDescent="0.2">
      <c r="A164" s="362" t="s">
        <v>33</v>
      </c>
      <c r="B164" s="370">
        <v>0</v>
      </c>
      <c r="C164" s="371">
        <v>5.0000000000000001E-3</v>
      </c>
      <c r="D164" s="371">
        <v>1.2999999999999999E-2</v>
      </c>
      <c r="E164" s="371">
        <v>2.1999999999999999E-2</v>
      </c>
      <c r="F164" s="371">
        <v>4.2999999999999997E-2</v>
      </c>
      <c r="G164" s="371">
        <v>0.11899999999999999</v>
      </c>
      <c r="H164" s="371">
        <v>0.19800000000000001</v>
      </c>
      <c r="I164" s="371">
        <v>0.26700000000000002</v>
      </c>
      <c r="J164" s="371">
        <v>0.34300000000000003</v>
      </c>
      <c r="K164" s="371">
        <v>0.40400000000000003</v>
      </c>
      <c r="L164" s="371">
        <v>0.498</v>
      </c>
      <c r="M164" s="371">
        <v>0.55500000000000005</v>
      </c>
      <c r="N164" s="371">
        <v>0.622</v>
      </c>
      <c r="O164" s="371">
        <v>0.66300000000000003</v>
      </c>
      <c r="P164" s="371">
        <v>0.70399999999999996</v>
      </c>
      <c r="Q164" s="371">
        <v>0.72899999999999998</v>
      </c>
      <c r="R164" s="371">
        <v>0.747</v>
      </c>
      <c r="S164" s="371">
        <v>0.76800000000000002</v>
      </c>
      <c r="T164" s="371">
        <v>0.82099999999999995</v>
      </c>
      <c r="U164" s="371">
        <v>0.85199999999999998</v>
      </c>
      <c r="V164" s="371">
        <v>0.89200000000000002</v>
      </c>
      <c r="W164" s="371">
        <v>1</v>
      </c>
      <c r="X164" s="371">
        <v>2</v>
      </c>
      <c r="Y164" s="381">
        <v>1000</v>
      </c>
    </row>
    <row r="165" spans="1:26" x14ac:dyDescent="0.2">
      <c r="A165" s="378" t="s">
        <v>34</v>
      </c>
      <c r="B165" s="372">
        <v>0</v>
      </c>
      <c r="C165" s="373">
        <v>60</v>
      </c>
      <c r="D165" s="373">
        <v>89.007000000000005</v>
      </c>
      <c r="E165" s="373">
        <v>96.290999999999997</v>
      </c>
      <c r="F165" s="373">
        <v>81.721999999999994</v>
      </c>
      <c r="G165" s="373">
        <v>85.563000000000002</v>
      </c>
      <c r="H165" s="373">
        <v>87.947000000000003</v>
      </c>
      <c r="I165" s="373">
        <v>89.272000000000006</v>
      </c>
      <c r="J165" s="373">
        <v>89.933999999999997</v>
      </c>
      <c r="K165" s="373">
        <v>90.861000000000004</v>
      </c>
      <c r="L165" s="373">
        <v>91.522999999999996</v>
      </c>
      <c r="M165" s="373">
        <v>89.668999999999997</v>
      </c>
      <c r="N165" s="373">
        <v>83.974000000000004</v>
      </c>
      <c r="O165" s="373">
        <v>80.53</v>
      </c>
      <c r="P165" s="373">
        <v>78.94</v>
      </c>
      <c r="Q165" s="373">
        <v>74.171999999999997</v>
      </c>
      <c r="R165" s="373">
        <v>66.887</v>
      </c>
      <c r="S165" s="373">
        <v>53.774999999999999</v>
      </c>
      <c r="T165" s="373">
        <v>18.542999999999999</v>
      </c>
      <c r="U165" s="373">
        <v>7.8150000000000004</v>
      </c>
      <c r="V165" s="373">
        <v>2.1190000000000002</v>
      </c>
      <c r="W165" s="373">
        <v>0</v>
      </c>
      <c r="X165" s="373">
        <v>0</v>
      </c>
      <c r="Y165" s="382">
        <v>0</v>
      </c>
    </row>
    <row r="166" spans="1:26" ht="13.5" thickBot="1" x14ac:dyDescent="0.25">
      <c r="A166" s="379" t="s">
        <v>119</v>
      </c>
      <c r="B166" s="374">
        <f t="shared" ref="B166:X166" si="37">(C165+B165)*(C164-B164)/2</f>
        <v>0.15</v>
      </c>
      <c r="C166" s="375">
        <f t="shared" si="37"/>
        <v>0.596028</v>
      </c>
      <c r="D166" s="375">
        <f t="shared" si="37"/>
        <v>0.83384099999999994</v>
      </c>
      <c r="E166" s="375">
        <f t="shared" si="37"/>
        <v>1.8691364999999995</v>
      </c>
      <c r="F166" s="375">
        <f t="shared" si="37"/>
        <v>6.3568299999999995</v>
      </c>
      <c r="G166" s="375">
        <f t="shared" si="37"/>
        <v>6.8536450000000011</v>
      </c>
      <c r="H166" s="375">
        <f t="shared" si="37"/>
        <v>6.1140555000000001</v>
      </c>
      <c r="I166" s="375">
        <f t="shared" si="37"/>
        <v>6.8098280000000013</v>
      </c>
      <c r="J166" s="375">
        <f t="shared" si="37"/>
        <v>5.5142475000000006</v>
      </c>
      <c r="K166" s="375">
        <f t="shared" si="37"/>
        <v>8.5720479999999988</v>
      </c>
      <c r="L166" s="375">
        <f t="shared" si="37"/>
        <v>5.1639720000000047</v>
      </c>
      <c r="M166" s="375">
        <f t="shared" si="37"/>
        <v>5.8170404999999956</v>
      </c>
      <c r="N166" s="375">
        <f t="shared" si="37"/>
        <v>3.3723320000000032</v>
      </c>
      <c r="O166" s="375">
        <f t="shared" si="37"/>
        <v>3.2691349999999941</v>
      </c>
      <c r="P166" s="375">
        <f t="shared" si="37"/>
        <v>1.9139000000000017</v>
      </c>
      <c r="Q166" s="375">
        <f t="shared" si="37"/>
        <v>1.2695310000000011</v>
      </c>
      <c r="R166" s="375">
        <f t="shared" si="37"/>
        <v>1.2669510000000013</v>
      </c>
      <c r="S166" s="375">
        <f t="shared" si="37"/>
        <v>1.9164269999999977</v>
      </c>
      <c r="T166" s="375">
        <f t="shared" si="37"/>
        <v>0.40854900000000038</v>
      </c>
      <c r="U166" s="375">
        <f t="shared" si="37"/>
        <v>0.19868000000000019</v>
      </c>
      <c r="V166" s="375">
        <f t="shared" si="37"/>
        <v>0.114426</v>
      </c>
      <c r="W166" s="375">
        <f t="shared" si="37"/>
        <v>0</v>
      </c>
      <c r="X166" s="375">
        <f t="shared" si="37"/>
        <v>0</v>
      </c>
      <c r="Y166" s="369"/>
    </row>
    <row r="167" spans="1:26" ht="13.5" thickBot="1" x14ac:dyDescent="0.2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6" ht="13.5" thickBot="1" x14ac:dyDescent="0.25">
      <c r="A168" s="361" t="s">
        <v>329</v>
      </c>
      <c r="B168" s="359">
        <f>ROW(A168)</f>
        <v>168</v>
      </c>
      <c r="C168" s="363" t="s">
        <v>118</v>
      </c>
      <c r="D168" s="353">
        <f>SUM(B171:Y171)</f>
        <v>67.985428500000012</v>
      </c>
      <c r="E168" s="363" t="s">
        <v>117</v>
      </c>
      <c r="F168" s="354">
        <f>D168/g/J168</f>
        <v>181.89545859519862</v>
      </c>
      <c r="G168" s="363" t="s">
        <v>59</v>
      </c>
      <c r="H168" s="64">
        <v>9.1799999999999993E-2</v>
      </c>
      <c r="I168" s="363" t="s">
        <v>276</v>
      </c>
      <c r="J168" s="355">
        <f>H168-L168</f>
        <v>3.8099999999999988E-2</v>
      </c>
      <c r="K168" s="363" t="s">
        <v>277</v>
      </c>
      <c r="L168" s="64">
        <v>5.3700000000000005E-2</v>
      </c>
      <c r="M168" s="363" t="s">
        <v>60</v>
      </c>
      <c r="N168" s="396">
        <v>66.5</v>
      </c>
      <c r="O168" s="363" t="s">
        <v>62</v>
      </c>
      <c r="P168" s="396">
        <v>66.5</v>
      </c>
      <c r="Q168" s="363" t="s">
        <v>63</v>
      </c>
      <c r="R168" s="65">
        <v>133</v>
      </c>
      <c r="S168" s="363" t="s">
        <v>64</v>
      </c>
      <c r="T168" s="65">
        <v>24</v>
      </c>
      <c r="U168" s="363" t="s">
        <v>57</v>
      </c>
      <c r="V168" s="66" t="s">
        <v>405</v>
      </c>
      <c r="W168" s="463" t="s">
        <v>400</v>
      </c>
      <c r="X168" s="465">
        <v>0.33</v>
      </c>
      <c r="Y168" s="463" t="s">
        <v>399</v>
      </c>
      <c r="Z168" s="358">
        <v>15</v>
      </c>
    </row>
    <row r="169" spans="1:26" x14ac:dyDescent="0.2">
      <c r="A169" s="362" t="s">
        <v>33</v>
      </c>
      <c r="B169" s="370">
        <v>0</v>
      </c>
      <c r="C169" s="371">
        <v>4.0000000000000001E-3</v>
      </c>
      <c r="D169" s="371">
        <v>7.0000000000000001E-3</v>
      </c>
      <c r="E169" s="371">
        <v>0.01</v>
      </c>
      <c r="F169" s="371">
        <v>2.1999999999999999E-2</v>
      </c>
      <c r="G169" s="371">
        <v>2.8000000000000001E-2</v>
      </c>
      <c r="H169" s="371">
        <v>4.1000000000000002E-2</v>
      </c>
      <c r="I169" s="371">
        <v>5.8000000000000003E-2</v>
      </c>
      <c r="J169" s="371">
        <v>7.6999999999999999E-2</v>
      </c>
      <c r="K169" s="371">
        <v>8.8999999999999996E-2</v>
      </c>
      <c r="L169" s="371">
        <v>9.7000000000000003E-2</v>
      </c>
      <c r="M169" s="371">
        <v>0.11899999999999999</v>
      </c>
      <c r="N169" s="371">
        <v>0.14699999999999999</v>
      </c>
      <c r="O169" s="371">
        <v>0.17699999999999999</v>
      </c>
      <c r="P169" s="371">
        <v>0.20699999999999999</v>
      </c>
      <c r="Q169" s="371">
        <v>0.253</v>
      </c>
      <c r="R169" s="371">
        <v>0.25900000000000001</v>
      </c>
      <c r="S169" s="371">
        <v>0.27200000000000002</v>
      </c>
      <c r="T169" s="371">
        <v>0.28000000000000003</v>
      </c>
      <c r="U169" s="371">
        <v>0.28599999999999998</v>
      </c>
      <c r="V169" s="371">
        <v>0.29399999999999998</v>
      </c>
      <c r="W169" s="371">
        <v>0.32800000000000001</v>
      </c>
      <c r="X169" s="371">
        <v>2</v>
      </c>
      <c r="Y169" s="381">
        <v>1000</v>
      </c>
    </row>
    <row r="170" spans="1:26" x14ac:dyDescent="0.2">
      <c r="A170" s="378" t="s">
        <v>34</v>
      </c>
      <c r="B170" s="372">
        <v>0</v>
      </c>
      <c r="C170" s="376">
        <v>100.52800000000001</v>
      </c>
      <c r="D170" s="376">
        <v>197.49299999999999</v>
      </c>
      <c r="E170" s="376">
        <v>222.03200000000001</v>
      </c>
      <c r="F170" s="376">
        <v>241.42500000000001</v>
      </c>
      <c r="G170" s="376">
        <v>237.863</v>
      </c>
      <c r="H170" s="376">
        <v>239.446</v>
      </c>
      <c r="I170" s="376">
        <v>252.50700000000001</v>
      </c>
      <c r="J170" s="376">
        <v>263.98399999999998</v>
      </c>
      <c r="K170" s="376">
        <v>275.46199999999999</v>
      </c>
      <c r="L170" s="376">
        <v>271.50400000000002</v>
      </c>
      <c r="M170" s="376">
        <v>278.62799999999999</v>
      </c>
      <c r="N170" s="376">
        <v>281.39800000000002</v>
      </c>
      <c r="O170" s="376">
        <v>272.29599999999999</v>
      </c>
      <c r="P170" s="376">
        <v>258.44299999999998</v>
      </c>
      <c r="Q170" s="376">
        <v>218.47</v>
      </c>
      <c r="R170" s="376">
        <v>188.786</v>
      </c>
      <c r="S170" s="376">
        <v>74.802000000000007</v>
      </c>
      <c r="T170" s="376">
        <v>31.265999999999998</v>
      </c>
      <c r="U170" s="376">
        <v>15.831</v>
      </c>
      <c r="V170" s="376">
        <v>8.7070000000000007</v>
      </c>
      <c r="W170" s="376">
        <v>0</v>
      </c>
      <c r="X170" s="373">
        <v>0</v>
      </c>
      <c r="Y170" s="382">
        <v>0</v>
      </c>
    </row>
    <row r="171" spans="1:26" ht="13.5" thickBot="1" x14ac:dyDescent="0.25">
      <c r="A171" s="379" t="s">
        <v>119</v>
      </c>
      <c r="B171" s="374">
        <f t="shared" ref="B171:X171" si="38">(C170+B170)*(C169-B169)/2</f>
        <v>0.20105600000000001</v>
      </c>
      <c r="C171" s="375">
        <f t="shared" si="38"/>
        <v>0.44703150000000003</v>
      </c>
      <c r="D171" s="375">
        <f t="shared" si="38"/>
        <v>0.6292875</v>
      </c>
      <c r="E171" s="375">
        <f t="shared" si="38"/>
        <v>2.7807419999999996</v>
      </c>
      <c r="F171" s="375">
        <f t="shared" si="38"/>
        <v>1.4378640000000005</v>
      </c>
      <c r="G171" s="375">
        <f t="shared" si="38"/>
        <v>3.1025084999999999</v>
      </c>
      <c r="H171" s="375">
        <f t="shared" si="38"/>
        <v>4.1816005000000001</v>
      </c>
      <c r="I171" s="375">
        <f t="shared" si="38"/>
        <v>4.9066644999999989</v>
      </c>
      <c r="J171" s="375">
        <f t="shared" si="38"/>
        <v>3.2366759999999988</v>
      </c>
      <c r="K171" s="375">
        <f t="shared" si="38"/>
        <v>2.187864000000002</v>
      </c>
      <c r="L171" s="375">
        <f t="shared" si="38"/>
        <v>6.0514519999999985</v>
      </c>
      <c r="M171" s="375">
        <f t="shared" si="38"/>
        <v>7.8403640000000001</v>
      </c>
      <c r="N171" s="375">
        <f t="shared" si="38"/>
        <v>8.3054099999999984</v>
      </c>
      <c r="O171" s="375">
        <f t="shared" si="38"/>
        <v>7.9610850000000006</v>
      </c>
      <c r="P171" s="375">
        <f t="shared" si="38"/>
        <v>10.968999000000004</v>
      </c>
      <c r="Q171" s="375">
        <f t="shared" si="38"/>
        <v>1.2217680000000011</v>
      </c>
      <c r="R171" s="375">
        <f t="shared" si="38"/>
        <v>1.7133220000000016</v>
      </c>
      <c r="S171" s="375">
        <f t="shared" si="38"/>
        <v>0.42427200000000043</v>
      </c>
      <c r="T171" s="375">
        <f t="shared" si="38"/>
        <v>0.14129099999999881</v>
      </c>
      <c r="U171" s="375">
        <f t="shared" si="38"/>
        <v>9.8152000000000086E-2</v>
      </c>
      <c r="V171" s="375">
        <f t="shared" si="38"/>
        <v>0.14801900000000015</v>
      </c>
      <c r="W171" s="375">
        <f t="shared" si="38"/>
        <v>0</v>
      </c>
      <c r="X171" s="375">
        <f t="shared" si="38"/>
        <v>0</v>
      </c>
      <c r="Y171" s="369"/>
    </row>
    <row r="172" spans="1:26" ht="13.5" thickBot="1" x14ac:dyDescent="0.2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6" ht="13.5" thickBot="1" x14ac:dyDescent="0.25">
      <c r="A173" s="361" t="s">
        <v>330</v>
      </c>
      <c r="B173" s="359">
        <f>ROW(A173)</f>
        <v>173</v>
      </c>
      <c r="C173" s="363" t="s">
        <v>118</v>
      </c>
      <c r="D173" s="353">
        <f>SUM(B176:Y176)</f>
        <v>73.557381500000005</v>
      </c>
      <c r="E173" s="363" t="s">
        <v>117</v>
      </c>
      <c r="F173" s="354">
        <f>D173/g/J173</f>
        <v>156.86619302308719</v>
      </c>
      <c r="G173" s="363" t="s">
        <v>59</v>
      </c>
      <c r="H173" s="64">
        <v>0.1022</v>
      </c>
      <c r="I173" s="363" t="s">
        <v>276</v>
      </c>
      <c r="J173" s="355">
        <f>H173-L173</f>
        <v>4.7800000000000002E-2</v>
      </c>
      <c r="K173" s="363" t="s">
        <v>277</v>
      </c>
      <c r="L173" s="64">
        <v>5.4399999999999997E-2</v>
      </c>
      <c r="M173" s="363" t="s">
        <v>60</v>
      </c>
      <c r="N173" s="396">
        <v>66.5</v>
      </c>
      <c r="O173" s="363" t="s">
        <v>62</v>
      </c>
      <c r="P173" s="396">
        <v>66.5</v>
      </c>
      <c r="Q173" s="363" t="s">
        <v>63</v>
      </c>
      <c r="R173" s="65">
        <v>133</v>
      </c>
      <c r="S173" s="363" t="s">
        <v>64</v>
      </c>
      <c r="T173" s="65">
        <v>24</v>
      </c>
      <c r="U173" s="363" t="s">
        <v>57</v>
      </c>
      <c r="V173" s="66" t="s">
        <v>405</v>
      </c>
      <c r="W173" s="463" t="s">
        <v>400</v>
      </c>
      <c r="X173" s="465">
        <v>2.36</v>
      </c>
      <c r="Y173" s="463" t="s">
        <v>399</v>
      </c>
      <c r="Z173" s="358">
        <v>6</v>
      </c>
    </row>
    <row r="174" spans="1:26" x14ac:dyDescent="0.2">
      <c r="A174" s="362" t="s">
        <v>33</v>
      </c>
      <c r="B174" s="370">
        <v>0</v>
      </c>
      <c r="C174" s="371">
        <v>1.4E-2</v>
      </c>
      <c r="D174" s="371">
        <v>5.6000000000000001E-2</v>
      </c>
      <c r="E174" s="371">
        <v>9.1999999999999998E-2</v>
      </c>
      <c r="F174" s="371">
        <v>0.16</v>
      </c>
      <c r="G174" s="371">
        <v>0.23200000000000001</v>
      </c>
      <c r="H174" s="371">
        <v>0.36299999999999999</v>
      </c>
      <c r="I174" s="371">
        <v>0.499</v>
      </c>
      <c r="J174" s="371">
        <v>0.65500000000000003</v>
      </c>
      <c r="K174" s="371">
        <v>0.84299999999999997</v>
      </c>
      <c r="L174" s="371">
        <v>1.216</v>
      </c>
      <c r="M174" s="371">
        <v>1.3680000000000001</v>
      </c>
      <c r="N174" s="371">
        <v>1.54</v>
      </c>
      <c r="O174" s="371">
        <v>1.675</v>
      </c>
      <c r="P174" s="371">
        <v>1.861</v>
      </c>
      <c r="Q174" s="371">
        <v>2.0129999999999999</v>
      </c>
      <c r="R174" s="371">
        <v>2.1589999999999998</v>
      </c>
      <c r="S174" s="371">
        <v>2.302</v>
      </c>
      <c r="T174" s="371">
        <v>2.4620000000000002</v>
      </c>
      <c r="U174" s="371">
        <v>2.5979999999999999</v>
      </c>
      <c r="V174" s="371">
        <v>2.5979999999999999</v>
      </c>
      <c r="W174" s="371">
        <v>2.5979999999999999</v>
      </c>
      <c r="X174" s="371">
        <v>2.5979999999999999</v>
      </c>
      <c r="Y174" s="381">
        <v>1000</v>
      </c>
    </row>
    <row r="175" spans="1:26" x14ac:dyDescent="0.2">
      <c r="A175" s="378" t="s">
        <v>34</v>
      </c>
      <c r="B175" s="372">
        <v>0</v>
      </c>
      <c r="C175" s="376">
        <v>54.222000000000001</v>
      </c>
      <c r="D175" s="376">
        <v>43.456000000000003</v>
      </c>
      <c r="E175" s="376">
        <v>50.185000000000002</v>
      </c>
      <c r="F175" s="376">
        <v>54.063000000000002</v>
      </c>
      <c r="G175" s="376">
        <v>48.363999999999997</v>
      </c>
      <c r="H175" s="376">
        <v>45.752000000000002</v>
      </c>
      <c r="I175" s="376">
        <v>43.14</v>
      </c>
      <c r="J175" s="376">
        <v>40.29</v>
      </c>
      <c r="K175" s="376">
        <v>37.835999999999999</v>
      </c>
      <c r="L175" s="376">
        <v>32.612000000000002</v>
      </c>
      <c r="M175" s="376">
        <v>30.317</v>
      </c>
      <c r="N175" s="376">
        <v>26.359000000000002</v>
      </c>
      <c r="O175" s="376">
        <v>23.509</v>
      </c>
      <c r="P175" s="376">
        <v>19.077000000000002</v>
      </c>
      <c r="Q175" s="376">
        <v>14.565</v>
      </c>
      <c r="R175" s="376">
        <v>10.053000000000001</v>
      </c>
      <c r="S175" s="376">
        <v>4.8280000000000003</v>
      </c>
      <c r="T175" s="376">
        <v>1.504</v>
      </c>
      <c r="U175" s="373">
        <v>0</v>
      </c>
      <c r="V175" s="373">
        <v>0</v>
      </c>
      <c r="W175" s="373">
        <v>0</v>
      </c>
      <c r="X175" s="373">
        <v>0</v>
      </c>
      <c r="Y175" s="382">
        <v>0</v>
      </c>
    </row>
    <row r="176" spans="1:26" ht="13.5" thickBot="1" x14ac:dyDescent="0.25">
      <c r="A176" s="379" t="s">
        <v>119</v>
      </c>
      <c r="B176" s="374">
        <f t="shared" ref="B176:X176" si="39">(C175+B175)*(C174-B174)/2</f>
        <v>0.379554</v>
      </c>
      <c r="C176" s="375">
        <f t="shared" si="39"/>
        <v>2.0512380000000001</v>
      </c>
      <c r="D176" s="375">
        <f t="shared" si="39"/>
        <v>1.685538</v>
      </c>
      <c r="E176" s="375">
        <f t="shared" si="39"/>
        <v>3.5444320000000005</v>
      </c>
      <c r="F176" s="375">
        <f t="shared" si="39"/>
        <v>3.6873720000000003</v>
      </c>
      <c r="G176" s="375">
        <f t="shared" si="39"/>
        <v>6.1645979999999989</v>
      </c>
      <c r="H176" s="375">
        <f t="shared" si="39"/>
        <v>6.0446559999999998</v>
      </c>
      <c r="I176" s="375">
        <f t="shared" si="39"/>
        <v>6.5075400000000014</v>
      </c>
      <c r="J176" s="375">
        <f t="shared" si="39"/>
        <v>7.343843999999998</v>
      </c>
      <c r="K176" s="375">
        <f t="shared" si="39"/>
        <v>13.138552000000001</v>
      </c>
      <c r="L176" s="375">
        <f t="shared" si="39"/>
        <v>4.7826040000000045</v>
      </c>
      <c r="M176" s="375">
        <f t="shared" si="39"/>
        <v>4.8741359999999982</v>
      </c>
      <c r="N176" s="375">
        <f t="shared" si="39"/>
        <v>3.3660900000000002</v>
      </c>
      <c r="O176" s="375">
        <f t="shared" si="39"/>
        <v>3.9604979999999985</v>
      </c>
      <c r="P176" s="375">
        <f t="shared" si="39"/>
        <v>2.5567919999999988</v>
      </c>
      <c r="Q176" s="375">
        <f t="shared" si="39"/>
        <v>1.797113999999999</v>
      </c>
      <c r="R176" s="375">
        <f t="shared" si="39"/>
        <v>1.0639915000000018</v>
      </c>
      <c r="S176" s="375">
        <f t="shared" si="39"/>
        <v>0.50656000000000045</v>
      </c>
      <c r="T176" s="375">
        <f t="shared" si="39"/>
        <v>0.10227199999999975</v>
      </c>
      <c r="U176" s="375">
        <f t="shared" si="39"/>
        <v>0</v>
      </c>
      <c r="V176" s="375">
        <f t="shared" si="39"/>
        <v>0</v>
      </c>
      <c r="W176" s="375">
        <f t="shared" si="39"/>
        <v>0</v>
      </c>
      <c r="X176" s="375">
        <f t="shared" si="39"/>
        <v>0</v>
      </c>
      <c r="Y176" s="369"/>
    </row>
    <row r="177" spans="1:26" ht="13.5" thickBot="1" x14ac:dyDescent="0.2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6" ht="13.5" thickBot="1" x14ac:dyDescent="0.25">
      <c r="A178" s="361" t="s">
        <v>331</v>
      </c>
      <c r="B178" s="359">
        <f>ROW(A178)</f>
        <v>178</v>
      </c>
      <c r="C178" s="363" t="s">
        <v>118</v>
      </c>
      <c r="D178" s="353">
        <f>SUM(B181:Y181)</f>
        <v>73.169517999999997</v>
      </c>
      <c r="E178" s="363" t="s">
        <v>117</v>
      </c>
      <c r="F178" s="354">
        <f>D178/g/J178</f>
        <v>177.58729673316827</v>
      </c>
      <c r="G178" s="363" t="s">
        <v>59</v>
      </c>
      <c r="H178" s="64">
        <v>9.6000000000000002E-2</v>
      </c>
      <c r="I178" s="363" t="s">
        <v>276</v>
      </c>
      <c r="J178" s="355">
        <f>H178-L178</f>
        <v>4.2000000000000003E-2</v>
      </c>
      <c r="K178" s="363" t="s">
        <v>277</v>
      </c>
      <c r="L178" s="64">
        <v>5.3999999999999999E-2</v>
      </c>
      <c r="M178" s="363" t="s">
        <v>60</v>
      </c>
      <c r="N178" s="396">
        <v>66.5</v>
      </c>
      <c r="O178" s="363" t="s">
        <v>62</v>
      </c>
      <c r="P178" s="396">
        <v>66.5</v>
      </c>
      <c r="Q178" s="363" t="s">
        <v>63</v>
      </c>
      <c r="R178" s="65">
        <v>133</v>
      </c>
      <c r="S178" s="363" t="s">
        <v>64</v>
      </c>
      <c r="T178" s="65">
        <v>24</v>
      </c>
      <c r="U178" s="363" t="s">
        <v>57</v>
      </c>
      <c r="V178" s="66" t="s">
        <v>405</v>
      </c>
      <c r="W178" s="463" t="s">
        <v>400</v>
      </c>
      <c r="X178" s="465">
        <v>0.87</v>
      </c>
      <c r="Y178" s="463" t="s">
        <v>399</v>
      </c>
      <c r="Z178" s="358">
        <v>15</v>
      </c>
    </row>
    <row r="179" spans="1:26" x14ac:dyDescent="0.2">
      <c r="A179" s="362" t="s">
        <v>33</v>
      </c>
      <c r="B179" s="370">
        <v>0</v>
      </c>
      <c r="C179" s="371">
        <v>0.01</v>
      </c>
      <c r="D179" s="371">
        <v>2.3E-2</v>
      </c>
      <c r="E179" s="371">
        <v>0.04</v>
      </c>
      <c r="F179" s="371">
        <v>0.11799999999999999</v>
      </c>
      <c r="G179" s="371">
        <v>0.28299999999999997</v>
      </c>
      <c r="H179" s="371">
        <v>0.51</v>
      </c>
      <c r="I179" s="371">
        <v>0.68799999999999994</v>
      </c>
      <c r="J179" s="371">
        <v>0.78700000000000003</v>
      </c>
      <c r="K179" s="371">
        <v>0.85199999999999998</v>
      </c>
      <c r="L179" s="371">
        <v>0.873</v>
      </c>
      <c r="M179" s="371">
        <v>0.873</v>
      </c>
      <c r="N179" s="371">
        <v>0.873</v>
      </c>
      <c r="O179" s="371">
        <v>0.873</v>
      </c>
      <c r="P179" s="371">
        <v>0.873</v>
      </c>
      <c r="Q179" s="371">
        <v>0.873</v>
      </c>
      <c r="R179" s="371">
        <v>0.873</v>
      </c>
      <c r="S179" s="371">
        <v>0.873</v>
      </c>
      <c r="T179" s="371">
        <v>0.873</v>
      </c>
      <c r="U179" s="371">
        <v>0.873</v>
      </c>
      <c r="V179" s="371">
        <v>0.873</v>
      </c>
      <c r="W179" s="371">
        <v>0.873</v>
      </c>
      <c r="X179" s="371">
        <v>2</v>
      </c>
      <c r="Y179" s="381">
        <v>1000</v>
      </c>
    </row>
    <row r="180" spans="1:26" x14ac:dyDescent="0.2">
      <c r="A180" s="378" t="s">
        <v>34</v>
      </c>
      <c r="B180" s="372">
        <v>0</v>
      </c>
      <c r="C180" s="376">
        <v>76.073999999999998</v>
      </c>
      <c r="D180" s="376">
        <v>100.185</v>
      </c>
      <c r="E180" s="376">
        <v>92.424999999999997</v>
      </c>
      <c r="F180" s="376">
        <v>100.878</v>
      </c>
      <c r="G180" s="376">
        <v>102.402</v>
      </c>
      <c r="H180" s="376">
        <v>96.442999999999998</v>
      </c>
      <c r="I180" s="376">
        <v>87.436000000000007</v>
      </c>
      <c r="J180" s="376">
        <v>25.911999999999999</v>
      </c>
      <c r="K180" s="376">
        <v>7.2060000000000004</v>
      </c>
      <c r="L180" s="373">
        <v>0</v>
      </c>
      <c r="M180" s="373">
        <v>0</v>
      </c>
      <c r="N180" s="373">
        <v>0</v>
      </c>
      <c r="O180" s="373">
        <v>0</v>
      </c>
      <c r="P180" s="373">
        <v>0</v>
      </c>
      <c r="Q180" s="373">
        <v>0</v>
      </c>
      <c r="R180" s="373">
        <v>0</v>
      </c>
      <c r="S180" s="373">
        <v>0</v>
      </c>
      <c r="T180" s="373">
        <v>0</v>
      </c>
      <c r="U180" s="373">
        <v>0</v>
      </c>
      <c r="V180" s="373">
        <v>0</v>
      </c>
      <c r="W180" s="373">
        <v>0</v>
      </c>
      <c r="X180" s="373">
        <v>0</v>
      </c>
      <c r="Y180" s="382">
        <v>0</v>
      </c>
    </row>
    <row r="181" spans="1:26" ht="13.5" thickBot="1" x14ac:dyDescent="0.25">
      <c r="A181" s="379" t="s">
        <v>119</v>
      </c>
      <c r="B181" s="374">
        <f t="shared" ref="B181:X181" si="40">(C180+B180)*(C179-B179)/2</f>
        <v>0.38036999999999999</v>
      </c>
      <c r="C181" s="375">
        <f t="shared" si="40"/>
        <v>1.1456835000000001</v>
      </c>
      <c r="D181" s="375">
        <f t="shared" si="40"/>
        <v>1.6371850000000003</v>
      </c>
      <c r="E181" s="375">
        <f t="shared" si="40"/>
        <v>7.5388169999999981</v>
      </c>
      <c r="F181" s="375">
        <f t="shared" si="40"/>
        <v>16.770599999999998</v>
      </c>
      <c r="G181" s="375">
        <f t="shared" si="40"/>
        <v>22.568907500000002</v>
      </c>
      <c r="H181" s="375">
        <f t="shared" si="40"/>
        <v>16.365230999999994</v>
      </c>
      <c r="I181" s="375">
        <f t="shared" si="40"/>
        <v>5.6107260000000059</v>
      </c>
      <c r="J181" s="375">
        <f t="shared" si="40"/>
        <v>1.0763349999999992</v>
      </c>
      <c r="K181" s="375">
        <f t="shared" si="40"/>
        <v>7.5663000000000077E-2</v>
      </c>
      <c r="L181" s="375">
        <f t="shared" si="40"/>
        <v>0</v>
      </c>
      <c r="M181" s="375">
        <f t="shared" si="40"/>
        <v>0</v>
      </c>
      <c r="N181" s="375">
        <f t="shared" si="40"/>
        <v>0</v>
      </c>
      <c r="O181" s="375">
        <f t="shared" si="40"/>
        <v>0</v>
      </c>
      <c r="P181" s="375">
        <f t="shared" si="40"/>
        <v>0</v>
      </c>
      <c r="Q181" s="375">
        <f t="shared" si="40"/>
        <v>0</v>
      </c>
      <c r="R181" s="375">
        <f t="shared" si="40"/>
        <v>0</v>
      </c>
      <c r="S181" s="375">
        <f t="shared" si="40"/>
        <v>0</v>
      </c>
      <c r="T181" s="375">
        <f t="shared" si="40"/>
        <v>0</v>
      </c>
      <c r="U181" s="375">
        <f t="shared" si="40"/>
        <v>0</v>
      </c>
      <c r="V181" s="375">
        <f t="shared" si="40"/>
        <v>0</v>
      </c>
      <c r="W181" s="375">
        <f t="shared" si="40"/>
        <v>0</v>
      </c>
      <c r="X181" s="375">
        <f t="shared" si="40"/>
        <v>0</v>
      </c>
      <c r="Y181" s="369"/>
    </row>
    <row r="182" spans="1:26" ht="13.5" thickBot="1" x14ac:dyDescent="0.2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6" ht="13.5" thickBot="1" x14ac:dyDescent="0.25">
      <c r="A183" s="361" t="s">
        <v>332</v>
      </c>
      <c r="B183" s="359">
        <f>ROW(A183)</f>
        <v>183</v>
      </c>
      <c r="C183" s="363" t="s">
        <v>118</v>
      </c>
      <c r="D183" s="353">
        <f>SUM(B186:Y186)</f>
        <v>75.254384000000016</v>
      </c>
      <c r="E183" s="363" t="s">
        <v>117</v>
      </c>
      <c r="F183" s="354">
        <f>D183/g/J183</f>
        <v>232.46033422914161</v>
      </c>
      <c r="G183" s="363" t="s">
        <v>59</v>
      </c>
      <c r="H183" s="64">
        <v>9.5000000000000001E-2</v>
      </c>
      <c r="I183" s="363" t="s">
        <v>276</v>
      </c>
      <c r="J183" s="355">
        <f>H183-L183</f>
        <v>3.3000000000000002E-2</v>
      </c>
      <c r="K183" s="363" t="s">
        <v>277</v>
      </c>
      <c r="L183" s="64">
        <f>0.095-0.033</f>
        <v>6.2E-2</v>
      </c>
      <c r="M183" s="363" t="s">
        <v>60</v>
      </c>
      <c r="N183" s="396">
        <v>66.5</v>
      </c>
      <c r="O183" s="363" t="s">
        <v>62</v>
      </c>
      <c r="P183" s="396">
        <v>66.5</v>
      </c>
      <c r="Q183" s="363" t="s">
        <v>63</v>
      </c>
      <c r="R183" s="65">
        <v>133</v>
      </c>
      <c r="S183" s="363" t="s">
        <v>64</v>
      </c>
      <c r="T183" s="65">
        <v>24</v>
      </c>
      <c r="U183" s="363" t="s">
        <v>57</v>
      </c>
      <c r="V183" s="66" t="s">
        <v>405</v>
      </c>
      <c r="W183" s="463" t="s">
        <v>400</v>
      </c>
      <c r="X183" s="465">
        <v>1.5</v>
      </c>
      <c r="Y183" s="463" t="s">
        <v>399</v>
      </c>
      <c r="Z183" s="358">
        <v>12</v>
      </c>
    </row>
    <row r="184" spans="1:26" x14ac:dyDescent="0.2">
      <c r="A184" s="362" t="s">
        <v>33</v>
      </c>
      <c r="B184" s="370">
        <v>0</v>
      </c>
      <c r="C184" s="371">
        <v>0.02</v>
      </c>
      <c r="D184" s="371">
        <v>3.1E-2</v>
      </c>
      <c r="E184" s="371">
        <v>6.2E-2</v>
      </c>
      <c r="F184" s="371">
        <v>0.11700000000000001</v>
      </c>
      <c r="G184" s="371">
        <v>1.2110000000000001</v>
      </c>
      <c r="H184" s="371">
        <v>1.3759999999999999</v>
      </c>
      <c r="I184" s="371">
        <v>1.456</v>
      </c>
      <c r="J184" s="371">
        <v>1.532</v>
      </c>
      <c r="K184" s="371">
        <v>1.577</v>
      </c>
      <c r="L184" s="371">
        <v>2</v>
      </c>
      <c r="M184" s="371">
        <v>2</v>
      </c>
      <c r="N184" s="371">
        <v>2</v>
      </c>
      <c r="O184" s="371">
        <v>2</v>
      </c>
      <c r="P184" s="371">
        <v>2</v>
      </c>
      <c r="Q184" s="371">
        <v>2</v>
      </c>
      <c r="R184" s="371">
        <v>2</v>
      </c>
      <c r="S184" s="371">
        <v>2</v>
      </c>
      <c r="T184" s="371">
        <v>2</v>
      </c>
      <c r="U184" s="371">
        <v>2</v>
      </c>
      <c r="V184" s="371">
        <v>2</v>
      </c>
      <c r="W184" s="371">
        <v>2</v>
      </c>
      <c r="X184" s="371">
        <f t="shared" ref="T184:X185" si="41">W184</f>
        <v>2</v>
      </c>
      <c r="Y184" s="381">
        <v>1000</v>
      </c>
    </row>
    <row r="185" spans="1:26" x14ac:dyDescent="0.2">
      <c r="A185" s="378" t="s">
        <v>34</v>
      </c>
      <c r="B185" s="372">
        <v>0</v>
      </c>
      <c r="C185" s="373">
        <v>75.924000000000007</v>
      </c>
      <c r="D185" s="373">
        <v>84.147999999999996</v>
      </c>
      <c r="E185" s="373">
        <v>70.441000000000003</v>
      </c>
      <c r="F185" s="373">
        <v>73.659000000000006</v>
      </c>
      <c r="G185" s="373">
        <v>38.737000000000002</v>
      </c>
      <c r="H185" s="373">
        <v>14.779</v>
      </c>
      <c r="I185" s="373">
        <v>7.2709999999999999</v>
      </c>
      <c r="J185" s="373">
        <v>3.3370000000000002</v>
      </c>
      <c r="K185" s="373">
        <v>0</v>
      </c>
      <c r="L185" s="373">
        <v>0</v>
      </c>
      <c r="M185" s="373">
        <v>0</v>
      </c>
      <c r="N185" s="373">
        <v>0</v>
      </c>
      <c r="O185" s="373">
        <v>0</v>
      </c>
      <c r="P185" s="373">
        <v>0</v>
      </c>
      <c r="Q185" s="373">
        <v>0</v>
      </c>
      <c r="R185" s="373">
        <v>0</v>
      </c>
      <c r="S185" s="373">
        <v>0</v>
      </c>
      <c r="T185" s="373">
        <f t="shared" si="41"/>
        <v>0</v>
      </c>
      <c r="U185" s="373">
        <f t="shared" si="41"/>
        <v>0</v>
      </c>
      <c r="V185" s="373">
        <f t="shared" si="41"/>
        <v>0</v>
      </c>
      <c r="W185" s="373">
        <f t="shared" si="41"/>
        <v>0</v>
      </c>
      <c r="X185" s="373">
        <f t="shared" si="41"/>
        <v>0</v>
      </c>
      <c r="Y185" s="382">
        <v>0</v>
      </c>
    </row>
    <row r="186" spans="1:26" ht="13.5" thickBot="1" x14ac:dyDescent="0.25">
      <c r="A186" s="379" t="s">
        <v>119</v>
      </c>
      <c r="B186" s="374">
        <f t="shared" ref="B186:V186" si="42">(C185+B185)*(C184-B184)/2</f>
        <v>0.75924000000000014</v>
      </c>
      <c r="C186" s="375">
        <f t="shared" si="42"/>
        <v>0.88039599999999996</v>
      </c>
      <c r="D186" s="375">
        <f t="shared" si="42"/>
        <v>2.3961294999999998</v>
      </c>
      <c r="E186" s="375">
        <f t="shared" si="42"/>
        <v>3.9627500000000011</v>
      </c>
      <c r="F186" s="375">
        <f t="shared" si="42"/>
        <v>61.480612000000015</v>
      </c>
      <c r="G186" s="375">
        <f t="shared" si="42"/>
        <v>4.4150699999999956</v>
      </c>
      <c r="H186" s="375">
        <f t="shared" si="42"/>
        <v>0.88200000000000078</v>
      </c>
      <c r="I186" s="375">
        <f t="shared" si="42"/>
        <v>0.40310400000000035</v>
      </c>
      <c r="J186" s="375">
        <f>(K185+J185)*(K184-J184)/2</f>
        <v>7.5082499999999885E-2</v>
      </c>
      <c r="K186" s="375">
        <f t="shared" si="42"/>
        <v>0</v>
      </c>
      <c r="L186" s="375">
        <f t="shared" si="42"/>
        <v>0</v>
      </c>
      <c r="M186" s="375">
        <f t="shared" si="42"/>
        <v>0</v>
      </c>
      <c r="N186" s="375">
        <f t="shared" si="42"/>
        <v>0</v>
      </c>
      <c r="O186" s="375">
        <f t="shared" si="42"/>
        <v>0</v>
      </c>
      <c r="P186" s="375">
        <f t="shared" si="42"/>
        <v>0</v>
      </c>
      <c r="Q186" s="375">
        <f t="shared" si="42"/>
        <v>0</v>
      </c>
      <c r="R186" s="375">
        <f t="shared" si="42"/>
        <v>0</v>
      </c>
      <c r="S186" s="375">
        <f>(T185+S185)*(T184-S184)/2</f>
        <v>0</v>
      </c>
      <c r="T186" s="375">
        <f t="shared" si="42"/>
        <v>0</v>
      </c>
      <c r="U186" s="375">
        <f t="shared" si="42"/>
        <v>0</v>
      </c>
      <c r="V186" s="375">
        <f t="shared" si="42"/>
        <v>0</v>
      </c>
      <c r="W186" s="375">
        <f>(X185+W185)*(X184-W184)/2</f>
        <v>0</v>
      </c>
      <c r="X186" s="375">
        <f>(Y185+X185)*(Y184-X184)/2</f>
        <v>0</v>
      </c>
      <c r="Y186" s="369"/>
    </row>
    <row r="187" spans="1:26" ht="13.5" thickBot="1" x14ac:dyDescent="0.25">
      <c r="A187" s="6" t="s">
        <v>379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6" ht="13.5" thickBot="1" x14ac:dyDescent="0.25">
      <c r="A188" s="361" t="s">
        <v>542</v>
      </c>
      <c r="B188" s="359">
        <f>ROW(A188)</f>
        <v>188</v>
      </c>
      <c r="C188" s="363" t="s">
        <v>118</v>
      </c>
      <c r="D188" s="353">
        <f>SUM(B191:Y191)</f>
        <v>141.04999999999998</v>
      </c>
      <c r="E188" s="363" t="s">
        <v>117</v>
      </c>
      <c r="F188" s="354">
        <f>D188/g/J188</f>
        <v>186.24592648930721</v>
      </c>
      <c r="G188" s="363" t="s">
        <v>59</v>
      </c>
      <c r="H188" s="64">
        <v>0.16189999999999999</v>
      </c>
      <c r="I188" s="363" t="s">
        <v>276</v>
      </c>
      <c r="J188" s="355">
        <f>H188-L188</f>
        <v>7.7199999999999991E-2</v>
      </c>
      <c r="K188" s="363" t="s">
        <v>277</v>
      </c>
      <c r="L188" s="64">
        <v>8.4699999999999998E-2</v>
      </c>
      <c r="M188" s="363" t="s">
        <v>60</v>
      </c>
      <c r="N188" s="65">
        <v>114</v>
      </c>
      <c r="O188" s="363" t="s">
        <v>62</v>
      </c>
      <c r="P188" s="65">
        <v>114</v>
      </c>
      <c r="Q188" s="363" t="s">
        <v>63</v>
      </c>
      <c r="R188" s="65">
        <v>228</v>
      </c>
      <c r="S188" s="363" t="s">
        <v>64</v>
      </c>
      <c r="T188" s="65">
        <v>24</v>
      </c>
      <c r="U188" s="363" t="s">
        <v>57</v>
      </c>
      <c r="V188" s="66" t="s">
        <v>122</v>
      </c>
      <c r="W188" s="463" t="s">
        <v>400</v>
      </c>
      <c r="X188" s="465">
        <v>0.96</v>
      </c>
      <c r="Y188" s="463" t="s">
        <v>399</v>
      </c>
      <c r="Z188" s="358">
        <v>15</v>
      </c>
    </row>
    <row r="189" spans="1:26" x14ac:dyDescent="0.2">
      <c r="A189" s="362" t="s">
        <v>33</v>
      </c>
      <c r="B189" s="370">
        <v>0</v>
      </c>
      <c r="C189" s="371">
        <v>0.02</v>
      </c>
      <c r="D189" s="371">
        <v>0.03</v>
      </c>
      <c r="E189" s="371">
        <v>0.05</v>
      </c>
      <c r="F189" s="371">
        <v>0.6</v>
      </c>
      <c r="G189" s="371">
        <v>0.67</v>
      </c>
      <c r="H189" s="371">
        <v>0.7</v>
      </c>
      <c r="I189" s="371">
        <v>0.8</v>
      </c>
      <c r="J189" s="371">
        <v>0.9</v>
      </c>
      <c r="K189" s="371">
        <v>1.05</v>
      </c>
      <c r="L189" s="371">
        <f t="shared" ref="L189:W189" si="43">K189</f>
        <v>1.05</v>
      </c>
      <c r="M189" s="371">
        <f t="shared" si="43"/>
        <v>1.05</v>
      </c>
      <c r="N189" s="371">
        <f t="shared" si="43"/>
        <v>1.05</v>
      </c>
      <c r="O189" s="371">
        <f t="shared" si="43"/>
        <v>1.05</v>
      </c>
      <c r="P189" s="371">
        <f t="shared" si="43"/>
        <v>1.05</v>
      </c>
      <c r="Q189" s="371">
        <f t="shared" si="43"/>
        <v>1.05</v>
      </c>
      <c r="R189" s="371">
        <f t="shared" si="43"/>
        <v>1.05</v>
      </c>
      <c r="S189" s="371">
        <f t="shared" si="43"/>
        <v>1.05</v>
      </c>
      <c r="T189" s="371">
        <f t="shared" si="43"/>
        <v>1.05</v>
      </c>
      <c r="U189" s="371">
        <f t="shared" si="43"/>
        <v>1.05</v>
      </c>
      <c r="V189" s="371">
        <f t="shared" si="43"/>
        <v>1.05</v>
      </c>
      <c r="W189" s="371">
        <f t="shared" si="43"/>
        <v>1.05</v>
      </c>
      <c r="X189" s="371">
        <v>2</v>
      </c>
      <c r="Y189" s="381">
        <v>1000</v>
      </c>
    </row>
    <row r="190" spans="1:26" x14ac:dyDescent="0.2">
      <c r="A190" s="378" t="s">
        <v>34</v>
      </c>
      <c r="B190" s="372">
        <v>0</v>
      </c>
      <c r="C190" s="373">
        <v>350</v>
      </c>
      <c r="D190" s="373">
        <v>250</v>
      </c>
      <c r="E190" s="373">
        <v>210</v>
      </c>
      <c r="F190" s="373">
        <v>150</v>
      </c>
      <c r="G190" s="373">
        <v>140</v>
      </c>
      <c r="H190" s="373">
        <v>130</v>
      </c>
      <c r="I190" s="373">
        <v>65</v>
      </c>
      <c r="J190" s="373">
        <v>30</v>
      </c>
      <c r="K190" s="373">
        <v>0</v>
      </c>
      <c r="L190" s="373">
        <v>0</v>
      </c>
      <c r="M190" s="373">
        <v>0</v>
      </c>
      <c r="N190" s="373">
        <v>0</v>
      </c>
      <c r="O190" s="373">
        <v>0</v>
      </c>
      <c r="P190" s="373">
        <v>0</v>
      </c>
      <c r="Q190" s="373">
        <v>0</v>
      </c>
      <c r="R190" s="373">
        <v>0</v>
      </c>
      <c r="S190" s="373">
        <f t="shared" ref="S190:X190" si="44">R190</f>
        <v>0</v>
      </c>
      <c r="T190" s="373">
        <f t="shared" si="44"/>
        <v>0</v>
      </c>
      <c r="U190" s="373">
        <f t="shared" si="44"/>
        <v>0</v>
      </c>
      <c r="V190" s="373">
        <f t="shared" si="44"/>
        <v>0</v>
      </c>
      <c r="W190" s="373">
        <f t="shared" si="44"/>
        <v>0</v>
      </c>
      <c r="X190" s="373">
        <f t="shared" si="44"/>
        <v>0</v>
      </c>
      <c r="Y190" s="382">
        <v>0</v>
      </c>
    </row>
    <row r="191" spans="1:26" ht="13.5" thickBot="1" x14ac:dyDescent="0.25">
      <c r="A191" s="379" t="s">
        <v>119</v>
      </c>
      <c r="B191" s="374">
        <f t="shared" ref="B191:X191" si="45">(C190+B190)*(C189-B189)/2</f>
        <v>3.5</v>
      </c>
      <c r="C191" s="375">
        <f t="shared" si="45"/>
        <v>2.9999999999999996</v>
      </c>
      <c r="D191" s="375">
        <f t="shared" si="45"/>
        <v>4.6000000000000005</v>
      </c>
      <c r="E191" s="375">
        <f t="shared" si="45"/>
        <v>98.999999999999986</v>
      </c>
      <c r="F191" s="375">
        <f t="shared" si="45"/>
        <v>10.150000000000009</v>
      </c>
      <c r="G191" s="375">
        <f t="shared" si="45"/>
        <v>4.0499999999999883</v>
      </c>
      <c r="H191" s="375">
        <f t="shared" si="45"/>
        <v>9.7500000000000089</v>
      </c>
      <c r="I191" s="375">
        <f t="shared" si="45"/>
        <v>4.7499999999999991</v>
      </c>
      <c r="J191" s="375">
        <f t="shared" si="45"/>
        <v>2.2500000000000004</v>
      </c>
      <c r="K191" s="375">
        <f t="shared" si="45"/>
        <v>0</v>
      </c>
      <c r="L191" s="375">
        <f t="shared" si="45"/>
        <v>0</v>
      </c>
      <c r="M191" s="375">
        <f t="shared" si="45"/>
        <v>0</v>
      </c>
      <c r="N191" s="375">
        <f t="shared" si="45"/>
        <v>0</v>
      </c>
      <c r="O191" s="375">
        <f t="shared" si="45"/>
        <v>0</v>
      </c>
      <c r="P191" s="375">
        <f t="shared" si="45"/>
        <v>0</v>
      </c>
      <c r="Q191" s="375">
        <f t="shared" si="45"/>
        <v>0</v>
      </c>
      <c r="R191" s="375">
        <f t="shared" si="45"/>
        <v>0</v>
      </c>
      <c r="S191" s="375">
        <f t="shared" si="45"/>
        <v>0</v>
      </c>
      <c r="T191" s="375">
        <f t="shared" si="45"/>
        <v>0</v>
      </c>
      <c r="U191" s="375">
        <f t="shared" si="45"/>
        <v>0</v>
      </c>
      <c r="V191" s="375">
        <f t="shared" si="45"/>
        <v>0</v>
      </c>
      <c r="W191" s="375">
        <f t="shared" si="45"/>
        <v>0</v>
      </c>
      <c r="X191" s="375">
        <f t="shared" si="45"/>
        <v>0</v>
      </c>
      <c r="Y191" s="369"/>
    </row>
    <row r="192" spans="1:26" ht="13.5" thickBot="1" x14ac:dyDescent="0.25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6" ht="13.5" thickBot="1" x14ac:dyDescent="0.25">
      <c r="A193" s="361" t="s">
        <v>549</v>
      </c>
      <c r="B193" s="359">
        <f>ROW(A193)</f>
        <v>193</v>
      </c>
      <c r="C193" s="363" t="s">
        <v>118</v>
      </c>
      <c r="D193" s="353">
        <f>SUM(B196:Y196)</f>
        <v>142.44</v>
      </c>
      <c r="E193" s="363" t="s">
        <v>117</v>
      </c>
      <c r="F193" s="354">
        <f>D193/g/J193</f>
        <v>192.06187401906058</v>
      </c>
      <c r="G193" s="363" t="s">
        <v>59</v>
      </c>
      <c r="H193" s="64">
        <v>0.15989999999999999</v>
      </c>
      <c r="I193" s="363" t="s">
        <v>276</v>
      </c>
      <c r="J193" s="355">
        <f>H193-L193</f>
        <v>7.5599999999999987E-2</v>
      </c>
      <c r="K193" s="363" t="s">
        <v>277</v>
      </c>
      <c r="L193" s="64">
        <v>8.43E-2</v>
      </c>
      <c r="M193" s="363" t="s">
        <v>60</v>
      </c>
      <c r="N193" s="65">
        <v>114</v>
      </c>
      <c r="O193" s="363" t="s">
        <v>62</v>
      </c>
      <c r="P193" s="65">
        <v>114</v>
      </c>
      <c r="Q193" s="363" t="s">
        <v>63</v>
      </c>
      <c r="R193" s="65">
        <v>228</v>
      </c>
      <c r="S193" s="363" t="s">
        <v>64</v>
      </c>
      <c r="T193" s="65">
        <v>24</v>
      </c>
      <c r="U193" s="363" t="s">
        <v>57</v>
      </c>
      <c r="V193" s="66" t="s">
        <v>407</v>
      </c>
      <c r="W193" s="463" t="s">
        <v>400</v>
      </c>
      <c r="X193" s="465">
        <v>0.97</v>
      </c>
      <c r="Y193" s="463" t="s">
        <v>399</v>
      </c>
      <c r="Z193" s="358">
        <v>13</v>
      </c>
    </row>
    <row r="194" spans="1:26" x14ac:dyDescent="0.2">
      <c r="A194" s="362" t="s">
        <v>33</v>
      </c>
      <c r="B194" s="370">
        <v>0</v>
      </c>
      <c r="C194" s="371">
        <v>0.02</v>
      </c>
      <c r="D194" s="371">
        <v>0.04</v>
      </c>
      <c r="E194" s="371">
        <v>0.62</v>
      </c>
      <c r="F194" s="371">
        <v>0.66</v>
      </c>
      <c r="G194" s="371">
        <v>0.68</v>
      </c>
      <c r="H194" s="371">
        <v>0.8</v>
      </c>
      <c r="I194" s="371">
        <v>0.84</v>
      </c>
      <c r="J194" s="371">
        <v>0.88</v>
      </c>
      <c r="K194" s="371">
        <v>0.92</v>
      </c>
      <c r="L194" s="371">
        <v>0.96</v>
      </c>
      <c r="M194" s="371">
        <v>1</v>
      </c>
      <c r="N194" s="371">
        <v>1.08</v>
      </c>
      <c r="O194" s="371">
        <v>2</v>
      </c>
      <c r="P194" s="371">
        <v>2</v>
      </c>
      <c r="Q194" s="371">
        <v>2</v>
      </c>
      <c r="R194" s="371">
        <v>2</v>
      </c>
      <c r="S194" s="371">
        <f t="shared" ref="S194:X195" si="46">R194</f>
        <v>2</v>
      </c>
      <c r="T194" s="371">
        <f t="shared" si="46"/>
        <v>2</v>
      </c>
      <c r="U194" s="371">
        <f t="shared" si="46"/>
        <v>2</v>
      </c>
      <c r="V194" s="371">
        <f t="shared" si="46"/>
        <v>2</v>
      </c>
      <c r="W194" s="371">
        <f t="shared" si="46"/>
        <v>2</v>
      </c>
      <c r="X194" s="371">
        <f t="shared" si="46"/>
        <v>2</v>
      </c>
      <c r="Y194" s="381">
        <v>1000</v>
      </c>
    </row>
    <row r="195" spans="1:26" x14ac:dyDescent="0.2">
      <c r="A195" s="378" t="s">
        <v>34</v>
      </c>
      <c r="B195" s="372">
        <v>0</v>
      </c>
      <c r="C195" s="373">
        <v>250</v>
      </c>
      <c r="D195" s="373">
        <v>210</v>
      </c>
      <c r="E195" s="373">
        <v>160</v>
      </c>
      <c r="F195" s="373">
        <v>150</v>
      </c>
      <c r="G195" s="373">
        <v>142</v>
      </c>
      <c r="H195" s="373">
        <v>62</v>
      </c>
      <c r="I195" s="373">
        <v>48</v>
      </c>
      <c r="J195" s="373">
        <v>34</v>
      </c>
      <c r="K195" s="373">
        <v>24</v>
      </c>
      <c r="L195" s="373">
        <v>15</v>
      </c>
      <c r="M195" s="373">
        <v>10</v>
      </c>
      <c r="N195" s="373">
        <v>0</v>
      </c>
      <c r="O195" s="373">
        <v>0</v>
      </c>
      <c r="P195" s="373">
        <v>0</v>
      </c>
      <c r="Q195" s="373">
        <v>0</v>
      </c>
      <c r="R195" s="373">
        <v>0</v>
      </c>
      <c r="S195" s="373">
        <f t="shared" si="46"/>
        <v>0</v>
      </c>
      <c r="T195" s="373">
        <f t="shared" si="46"/>
        <v>0</v>
      </c>
      <c r="U195" s="373">
        <f t="shared" si="46"/>
        <v>0</v>
      </c>
      <c r="V195" s="373">
        <f t="shared" si="46"/>
        <v>0</v>
      </c>
      <c r="W195" s="373">
        <f t="shared" si="46"/>
        <v>0</v>
      </c>
      <c r="X195" s="373">
        <f t="shared" si="46"/>
        <v>0</v>
      </c>
      <c r="Y195" s="382">
        <v>0</v>
      </c>
    </row>
    <row r="196" spans="1:26" ht="13.5" thickBot="1" x14ac:dyDescent="0.25">
      <c r="A196" s="379" t="s">
        <v>119</v>
      </c>
      <c r="B196" s="374">
        <f t="shared" ref="B196:X196" si="47">(C195+B195)*(C194-B194)/2</f>
        <v>2.5</v>
      </c>
      <c r="C196" s="375">
        <f t="shared" si="47"/>
        <v>4.6000000000000005</v>
      </c>
      <c r="D196" s="375">
        <f t="shared" si="47"/>
        <v>107.3</v>
      </c>
      <c r="E196" s="375">
        <f t="shared" si="47"/>
        <v>6.2000000000000055</v>
      </c>
      <c r="F196" s="375">
        <f t="shared" si="47"/>
        <v>2.9200000000000026</v>
      </c>
      <c r="G196" s="375">
        <f t="shared" si="47"/>
        <v>12.24</v>
      </c>
      <c r="H196" s="375">
        <f t="shared" si="47"/>
        <v>2.1999999999999957</v>
      </c>
      <c r="I196" s="375">
        <f t="shared" si="47"/>
        <v>1.6400000000000015</v>
      </c>
      <c r="J196" s="375">
        <f t="shared" si="47"/>
        <v>1.160000000000001</v>
      </c>
      <c r="K196" s="375">
        <f t="shared" si="47"/>
        <v>0.77999999999999847</v>
      </c>
      <c r="L196" s="375">
        <f t="shared" si="47"/>
        <v>0.50000000000000044</v>
      </c>
      <c r="M196" s="375">
        <f t="shared" si="47"/>
        <v>0.40000000000000036</v>
      </c>
      <c r="N196" s="375">
        <f t="shared" si="47"/>
        <v>0</v>
      </c>
      <c r="O196" s="375">
        <f t="shared" si="47"/>
        <v>0</v>
      </c>
      <c r="P196" s="375">
        <f t="shared" si="47"/>
        <v>0</v>
      </c>
      <c r="Q196" s="375">
        <f t="shared" si="47"/>
        <v>0</v>
      </c>
      <c r="R196" s="375">
        <f t="shared" si="47"/>
        <v>0</v>
      </c>
      <c r="S196" s="375">
        <f t="shared" si="47"/>
        <v>0</v>
      </c>
      <c r="T196" s="375">
        <f t="shared" si="47"/>
        <v>0</v>
      </c>
      <c r="U196" s="375">
        <f t="shared" si="47"/>
        <v>0</v>
      </c>
      <c r="V196" s="375">
        <f t="shared" si="47"/>
        <v>0</v>
      </c>
      <c r="W196" s="375">
        <f t="shared" si="47"/>
        <v>0</v>
      </c>
      <c r="X196" s="375">
        <f t="shared" si="47"/>
        <v>0</v>
      </c>
      <c r="Y196" s="369"/>
    </row>
    <row r="197" spans="1:26" ht="13.5" thickBot="1" x14ac:dyDescent="0.25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6" ht="13.5" thickBot="1" x14ac:dyDescent="0.25">
      <c r="A198" s="361" t="s">
        <v>544</v>
      </c>
      <c r="B198" s="359">
        <f>ROW(A198)</f>
        <v>198</v>
      </c>
      <c r="C198" s="363" t="s">
        <v>118</v>
      </c>
      <c r="D198" s="353">
        <f>SUM(B201:Y201)</f>
        <v>143.08845000000002</v>
      </c>
      <c r="E198" s="363" t="s">
        <v>117</v>
      </c>
      <c r="F198" s="354">
        <f>D198/g/J198</f>
        <v>168.23504721190514</v>
      </c>
      <c r="G198" s="363" t="s">
        <v>59</v>
      </c>
      <c r="H198" s="64">
        <v>0.17249999999999999</v>
      </c>
      <c r="I198" s="363" t="s">
        <v>276</v>
      </c>
      <c r="J198" s="355">
        <f>H198-L198</f>
        <v>8.6699999999999985E-2</v>
      </c>
      <c r="K198" s="363" t="s">
        <v>277</v>
      </c>
      <c r="L198" s="64">
        <v>8.5800000000000001E-2</v>
      </c>
      <c r="M198" s="363" t="s">
        <v>60</v>
      </c>
      <c r="N198" s="65">
        <v>114</v>
      </c>
      <c r="O198" s="363" t="s">
        <v>62</v>
      </c>
      <c r="P198" s="65">
        <v>114</v>
      </c>
      <c r="Q198" s="363" t="s">
        <v>63</v>
      </c>
      <c r="R198" s="65">
        <v>228</v>
      </c>
      <c r="S198" s="363" t="s">
        <v>64</v>
      </c>
      <c r="T198" s="65">
        <v>24</v>
      </c>
      <c r="U198" s="363" t="s">
        <v>57</v>
      </c>
      <c r="V198" s="66" t="s">
        <v>122</v>
      </c>
      <c r="W198" s="463" t="s">
        <v>400</v>
      </c>
      <c r="X198" s="465">
        <v>0.97</v>
      </c>
      <c r="Y198" s="463" t="s">
        <v>399</v>
      </c>
      <c r="Z198" s="358">
        <v>11</v>
      </c>
    </row>
    <row r="199" spans="1:26" x14ac:dyDescent="0.2">
      <c r="A199" s="362" t="s">
        <v>33</v>
      </c>
      <c r="B199" s="370">
        <v>0</v>
      </c>
      <c r="C199" s="371">
        <v>8.0000000000000002E-3</v>
      </c>
      <c r="D199" s="371">
        <v>1.2999999999999999E-2</v>
      </c>
      <c r="E199" s="371">
        <v>2.1999999999999999E-2</v>
      </c>
      <c r="F199" s="371">
        <v>3.5000000000000003E-2</v>
      </c>
      <c r="G199" s="371">
        <v>6.3E-2</v>
      </c>
      <c r="H199" s="371">
        <v>0.10299999999999999</v>
      </c>
      <c r="I199" s="371">
        <v>0.19600000000000001</v>
      </c>
      <c r="J199" s="371">
        <v>0.311</v>
      </c>
      <c r="K199" s="371">
        <v>0.47399999999999998</v>
      </c>
      <c r="L199" s="371">
        <v>0.56399999999999995</v>
      </c>
      <c r="M199" s="371">
        <v>0.76200000000000001</v>
      </c>
      <c r="N199" s="371">
        <v>0.85799999999999998</v>
      </c>
      <c r="O199" s="371">
        <v>0.92800000000000005</v>
      </c>
      <c r="P199" s="371">
        <v>1.038</v>
      </c>
      <c r="Q199" s="371">
        <v>1.08</v>
      </c>
      <c r="R199" s="371">
        <v>1.131</v>
      </c>
      <c r="S199" s="371">
        <v>1.1850000000000001</v>
      </c>
      <c r="T199" s="371">
        <v>1.224</v>
      </c>
      <c r="U199" s="371">
        <v>1.258</v>
      </c>
      <c r="V199" s="371">
        <v>1.4</v>
      </c>
      <c r="W199" s="371">
        <v>1.4410000000000001</v>
      </c>
      <c r="X199" s="371">
        <v>2</v>
      </c>
      <c r="Y199" s="381">
        <v>1000</v>
      </c>
    </row>
    <row r="200" spans="1:26" x14ac:dyDescent="0.2">
      <c r="A200" s="378" t="s">
        <v>34</v>
      </c>
      <c r="B200" s="372">
        <v>0</v>
      </c>
      <c r="C200" s="373">
        <v>168.643</v>
      </c>
      <c r="D200" s="373">
        <v>177.339</v>
      </c>
      <c r="E200" s="373">
        <v>177.86600000000001</v>
      </c>
      <c r="F200" s="373">
        <v>171.27799999999999</v>
      </c>
      <c r="G200" s="373">
        <v>157.839</v>
      </c>
      <c r="H200" s="373">
        <v>154.941</v>
      </c>
      <c r="I200" s="373">
        <v>148.88</v>
      </c>
      <c r="J200" s="373">
        <v>144.137</v>
      </c>
      <c r="K200" s="373">
        <v>138.07599999999999</v>
      </c>
      <c r="L200" s="373">
        <v>135.70500000000001</v>
      </c>
      <c r="M200" s="373">
        <v>125.955</v>
      </c>
      <c r="N200" s="373">
        <v>116.733</v>
      </c>
      <c r="O200" s="373">
        <v>101.71299999999999</v>
      </c>
      <c r="P200" s="373">
        <v>57.444000000000003</v>
      </c>
      <c r="Q200" s="373">
        <v>42.688000000000002</v>
      </c>
      <c r="R200" s="373">
        <v>31.884</v>
      </c>
      <c r="S200" s="373">
        <v>17.655000000000001</v>
      </c>
      <c r="T200" s="373">
        <v>9.4860000000000007</v>
      </c>
      <c r="U200" s="373">
        <v>5.27</v>
      </c>
      <c r="V200" s="373">
        <v>0.79100000000000004</v>
      </c>
      <c r="W200" s="373">
        <v>0</v>
      </c>
      <c r="X200" s="373">
        <f>W200</f>
        <v>0</v>
      </c>
      <c r="Y200" s="382">
        <v>0</v>
      </c>
    </row>
    <row r="201" spans="1:26" ht="13.5" thickBot="1" x14ac:dyDescent="0.25">
      <c r="A201" s="379" t="s">
        <v>119</v>
      </c>
      <c r="B201" s="374">
        <f t="shared" ref="B201:X201" si="48">(C200+B200)*(C199-B199)/2</f>
        <v>0.67457200000000006</v>
      </c>
      <c r="C201" s="375">
        <f t="shared" si="48"/>
        <v>0.86495499999999981</v>
      </c>
      <c r="D201" s="375">
        <f t="shared" si="48"/>
        <v>1.5984225000000001</v>
      </c>
      <c r="E201" s="375">
        <f t="shared" si="48"/>
        <v>2.2694360000000007</v>
      </c>
      <c r="F201" s="375">
        <f t="shared" si="48"/>
        <v>4.6076379999999988</v>
      </c>
      <c r="G201" s="375">
        <f t="shared" si="48"/>
        <v>6.2555999999999985</v>
      </c>
      <c r="H201" s="375">
        <f t="shared" si="48"/>
        <v>14.127676500000003</v>
      </c>
      <c r="I201" s="375">
        <f t="shared" si="48"/>
        <v>16.848477499999998</v>
      </c>
      <c r="J201" s="375">
        <f t="shared" si="48"/>
        <v>23.000359499999995</v>
      </c>
      <c r="K201" s="375">
        <f t="shared" si="48"/>
        <v>12.320144999999997</v>
      </c>
      <c r="L201" s="375">
        <f t="shared" si="48"/>
        <v>25.904340000000012</v>
      </c>
      <c r="M201" s="375">
        <f t="shared" si="48"/>
        <v>11.649023999999997</v>
      </c>
      <c r="N201" s="375">
        <f t="shared" si="48"/>
        <v>7.6456100000000067</v>
      </c>
      <c r="O201" s="375">
        <f t="shared" si="48"/>
        <v>8.7536349999999974</v>
      </c>
      <c r="P201" s="375">
        <f t="shared" si="48"/>
        <v>2.1027720000000021</v>
      </c>
      <c r="Q201" s="375">
        <f t="shared" si="48"/>
        <v>1.9015859999999976</v>
      </c>
      <c r="R201" s="375">
        <f t="shared" si="48"/>
        <v>1.3375530000000013</v>
      </c>
      <c r="S201" s="375">
        <f t="shared" si="48"/>
        <v>0.52924949999999904</v>
      </c>
      <c r="T201" s="375">
        <f t="shared" si="48"/>
        <v>0.25085200000000024</v>
      </c>
      <c r="U201" s="375">
        <f t="shared" si="48"/>
        <v>0.43033099999999969</v>
      </c>
      <c r="V201" s="375">
        <f t="shared" si="48"/>
        <v>1.621550000000006E-2</v>
      </c>
      <c r="W201" s="375">
        <f t="shared" si="48"/>
        <v>0</v>
      </c>
      <c r="X201" s="375">
        <f t="shared" si="48"/>
        <v>0</v>
      </c>
      <c r="Y201" s="369"/>
    </row>
    <row r="202" spans="1:26" ht="13.5" thickBot="1" x14ac:dyDescent="0.2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6" ht="13.5" thickBot="1" x14ac:dyDescent="0.25">
      <c r="A203" s="361" t="s">
        <v>543</v>
      </c>
      <c r="B203" s="359">
        <f>ROW(A203)</f>
        <v>203</v>
      </c>
      <c r="C203" s="363" t="s">
        <v>118</v>
      </c>
      <c r="D203" s="353">
        <f>SUM(B206:Y206)</f>
        <v>139.423417</v>
      </c>
      <c r="E203" s="363" t="s">
        <v>117</v>
      </c>
      <c r="F203" s="354">
        <f>D203/g/J203</f>
        <v>158.62027745922524</v>
      </c>
      <c r="G203" s="363" t="s">
        <v>59</v>
      </c>
      <c r="H203" s="64">
        <v>0.19450000000000001</v>
      </c>
      <c r="I203" s="363" t="s">
        <v>276</v>
      </c>
      <c r="J203" s="355">
        <f>H203-L203</f>
        <v>8.9600000000000013E-2</v>
      </c>
      <c r="K203" s="363" t="s">
        <v>277</v>
      </c>
      <c r="L203" s="64">
        <v>0.10489999999999999</v>
      </c>
      <c r="M203" s="363" t="s">
        <v>60</v>
      </c>
      <c r="N203" s="65">
        <v>114</v>
      </c>
      <c r="O203" s="363" t="s">
        <v>62</v>
      </c>
      <c r="P203" s="65">
        <v>144</v>
      </c>
      <c r="Q203" s="363" t="s">
        <v>63</v>
      </c>
      <c r="R203" s="65">
        <v>228</v>
      </c>
      <c r="S203" s="363" t="s">
        <v>64</v>
      </c>
      <c r="T203" s="65">
        <v>24</v>
      </c>
      <c r="U203" s="363" t="s">
        <v>57</v>
      </c>
      <c r="V203" s="66" t="s">
        <v>122</v>
      </c>
      <c r="W203" s="463" t="s">
        <v>400</v>
      </c>
      <c r="X203" s="465">
        <v>1.3</v>
      </c>
      <c r="Y203" s="463" t="s">
        <v>399</v>
      </c>
      <c r="Z203" s="358">
        <v>12</v>
      </c>
    </row>
    <row r="204" spans="1:26" x14ac:dyDescent="0.2">
      <c r="A204" s="362" t="s">
        <v>33</v>
      </c>
      <c r="B204" s="370">
        <v>0</v>
      </c>
      <c r="C204" s="371">
        <v>1.0999999999999999E-2</v>
      </c>
      <c r="D204" s="371">
        <v>2.1999999999999999E-2</v>
      </c>
      <c r="E204" s="371">
        <v>4.5999999999999999E-2</v>
      </c>
      <c r="F204" s="371">
        <v>8.1000000000000003E-2</v>
      </c>
      <c r="G204" s="371">
        <v>0.219</v>
      </c>
      <c r="H204" s="371">
        <v>0.253</v>
      </c>
      <c r="I204" s="371">
        <v>0.27400000000000002</v>
      </c>
      <c r="J204" s="371">
        <v>0.30499999999999999</v>
      </c>
      <c r="K204" s="371">
        <v>0.41199999999999998</v>
      </c>
      <c r="L204" s="371">
        <v>0.78900000000000003</v>
      </c>
      <c r="M204" s="371">
        <v>0.89900000000000002</v>
      </c>
      <c r="N204" s="371">
        <v>0.95299999999999996</v>
      </c>
      <c r="O204" s="371">
        <v>0.999</v>
      </c>
      <c r="P204" s="371">
        <v>1.03</v>
      </c>
      <c r="Q204" s="371">
        <v>1.0569999999999999</v>
      </c>
      <c r="R204" s="371">
        <v>1.1020000000000001</v>
      </c>
      <c r="S204" s="371">
        <v>1.1539999999999999</v>
      </c>
      <c r="T204" s="371">
        <v>1.1970000000000001</v>
      </c>
      <c r="U204" s="371">
        <v>1.2769999999999999</v>
      </c>
      <c r="V204" s="371">
        <v>1.335</v>
      </c>
      <c r="W204" s="371">
        <v>1.4510000000000001</v>
      </c>
      <c r="X204" s="371">
        <v>2</v>
      </c>
      <c r="Y204" s="381">
        <v>1000</v>
      </c>
    </row>
    <row r="205" spans="1:26" x14ac:dyDescent="0.2">
      <c r="A205" s="378" t="s">
        <v>34</v>
      </c>
      <c r="B205" s="372">
        <v>0</v>
      </c>
      <c r="C205" s="373">
        <v>198.41800000000001</v>
      </c>
      <c r="D205" s="373">
        <v>221.83500000000001</v>
      </c>
      <c r="E205" s="373">
        <v>212.65799999999999</v>
      </c>
      <c r="F205" s="373">
        <v>218.35400000000001</v>
      </c>
      <c r="G205" s="373">
        <v>204.43</v>
      </c>
      <c r="H205" s="373">
        <v>195.886</v>
      </c>
      <c r="I205" s="373">
        <v>183.54400000000001</v>
      </c>
      <c r="J205" s="373">
        <v>88.290999999999997</v>
      </c>
      <c r="K205" s="373">
        <v>93.671000000000006</v>
      </c>
      <c r="L205" s="373">
        <v>93.986999999999995</v>
      </c>
      <c r="M205" s="373">
        <v>91.138999999999996</v>
      </c>
      <c r="N205" s="373">
        <v>89.873000000000005</v>
      </c>
      <c r="O205" s="373">
        <v>87.025000000000006</v>
      </c>
      <c r="P205" s="373">
        <v>81.328999999999994</v>
      </c>
      <c r="Q205" s="373">
        <v>69.936999999999998</v>
      </c>
      <c r="R205" s="373">
        <v>54.113999999999997</v>
      </c>
      <c r="S205" s="373">
        <v>42.405000000000001</v>
      </c>
      <c r="T205" s="373">
        <v>31.646000000000001</v>
      </c>
      <c r="U205" s="373">
        <v>17.088999999999999</v>
      </c>
      <c r="V205" s="373">
        <v>9.81</v>
      </c>
      <c r="W205" s="373">
        <v>0</v>
      </c>
      <c r="X205" s="373">
        <v>0</v>
      </c>
      <c r="Y205" s="382">
        <v>0</v>
      </c>
    </row>
    <row r="206" spans="1:26" ht="13.5" thickBot="1" x14ac:dyDescent="0.25">
      <c r="A206" s="379" t="s">
        <v>119</v>
      </c>
      <c r="B206" s="374">
        <f t="shared" ref="B206:X206" si="49">(C205+B205)*(C204-B204)/2</f>
        <v>1.091299</v>
      </c>
      <c r="C206" s="375">
        <f t="shared" si="49"/>
        <v>2.3113915</v>
      </c>
      <c r="D206" s="375">
        <f t="shared" si="49"/>
        <v>5.2139160000000002</v>
      </c>
      <c r="E206" s="375">
        <f t="shared" si="49"/>
        <v>7.5427100000000005</v>
      </c>
      <c r="F206" s="375">
        <f t="shared" si="49"/>
        <v>29.172096000000003</v>
      </c>
      <c r="G206" s="375">
        <f t="shared" si="49"/>
        <v>6.8053720000000011</v>
      </c>
      <c r="H206" s="375">
        <f t="shared" si="49"/>
        <v>3.9840150000000034</v>
      </c>
      <c r="I206" s="375">
        <f t="shared" si="49"/>
        <v>4.2134424999999966</v>
      </c>
      <c r="J206" s="375">
        <f t="shared" si="49"/>
        <v>9.7349669999999975</v>
      </c>
      <c r="K206" s="375">
        <f t="shared" si="49"/>
        <v>35.373533000000009</v>
      </c>
      <c r="L206" s="375">
        <f t="shared" si="49"/>
        <v>10.181929999999998</v>
      </c>
      <c r="M206" s="375">
        <f t="shared" si="49"/>
        <v>4.8873239999999942</v>
      </c>
      <c r="N206" s="375">
        <f t="shared" si="49"/>
        <v>4.068654000000004</v>
      </c>
      <c r="O206" s="375">
        <f t="shared" si="49"/>
        <v>2.6094870000000019</v>
      </c>
      <c r="P206" s="375">
        <f t="shared" si="49"/>
        <v>2.0420909999999934</v>
      </c>
      <c r="Q206" s="375">
        <f t="shared" si="49"/>
        <v>2.791147500000009</v>
      </c>
      <c r="R206" s="375">
        <f t="shared" si="49"/>
        <v>2.5094939999999917</v>
      </c>
      <c r="S206" s="375">
        <f t="shared" si="49"/>
        <v>1.5920965000000056</v>
      </c>
      <c r="T206" s="375">
        <f t="shared" si="49"/>
        <v>1.9493999999999962</v>
      </c>
      <c r="U206" s="375">
        <f t="shared" si="49"/>
        <v>0.78007100000000074</v>
      </c>
      <c r="V206" s="375">
        <f t="shared" si="49"/>
        <v>0.56898000000000049</v>
      </c>
      <c r="W206" s="375">
        <f t="shared" si="49"/>
        <v>0</v>
      </c>
      <c r="X206" s="375">
        <f t="shared" si="49"/>
        <v>0</v>
      </c>
      <c r="Y206" s="369"/>
    </row>
    <row r="207" spans="1:26" ht="13.5" thickBot="1" x14ac:dyDescent="0.25">
      <c r="A207" s="6" t="s">
        <v>321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6" ht="13.5" thickBot="1" x14ac:dyDescent="0.25">
      <c r="A208" s="361" t="s">
        <v>381</v>
      </c>
      <c r="B208" s="359">
        <f>ROW(A208)</f>
        <v>208</v>
      </c>
      <c r="C208" s="363" t="s">
        <v>118</v>
      </c>
      <c r="D208" s="353">
        <f>SUM(B211:Y211)</f>
        <v>82.798500000000018</v>
      </c>
      <c r="E208" s="363" t="s">
        <v>117</v>
      </c>
      <c r="F208" s="354">
        <f>D208/g/J208</f>
        <v>131.87834480122325</v>
      </c>
      <c r="G208" s="363" t="s">
        <v>59</v>
      </c>
      <c r="H208" s="64">
        <v>0.152</v>
      </c>
      <c r="I208" s="363" t="s">
        <v>276</v>
      </c>
      <c r="J208" s="355">
        <f>H208-L208</f>
        <v>6.4000000000000001E-2</v>
      </c>
      <c r="K208" s="363" t="s">
        <v>277</v>
      </c>
      <c r="L208" s="64">
        <v>8.7999999999999995E-2</v>
      </c>
      <c r="M208" s="363" t="s">
        <v>60</v>
      </c>
      <c r="N208" s="65">
        <v>71</v>
      </c>
      <c r="O208" s="363" t="s">
        <v>62</v>
      </c>
      <c r="P208" s="65">
        <v>71</v>
      </c>
      <c r="Q208" s="363" t="s">
        <v>63</v>
      </c>
      <c r="R208" s="65">
        <v>142</v>
      </c>
      <c r="S208" s="363" t="s">
        <v>64</v>
      </c>
      <c r="T208" s="65">
        <v>29</v>
      </c>
      <c r="U208" s="363" t="s">
        <v>57</v>
      </c>
      <c r="V208" s="66" t="s">
        <v>122</v>
      </c>
      <c r="W208" s="463" t="s">
        <v>400</v>
      </c>
      <c r="X208" s="465">
        <v>0.96</v>
      </c>
      <c r="Y208" s="463" t="s">
        <v>399</v>
      </c>
      <c r="Z208" s="358">
        <v>11</v>
      </c>
    </row>
    <row r="209" spans="1:26" x14ac:dyDescent="0.2">
      <c r="A209" s="362" t="s">
        <v>33</v>
      </c>
      <c r="B209" s="370">
        <v>0</v>
      </c>
      <c r="C209" s="371">
        <v>0.02</v>
      </c>
      <c r="D209" s="371">
        <v>0.03</v>
      </c>
      <c r="E209" s="371">
        <v>0.04</v>
      </c>
      <c r="F209" s="371">
        <v>0.06</v>
      </c>
      <c r="G209" s="371">
        <v>0.08</v>
      </c>
      <c r="H209" s="371">
        <v>0.15</v>
      </c>
      <c r="I209" s="371">
        <v>0.18</v>
      </c>
      <c r="J209" s="371">
        <v>0.2</v>
      </c>
      <c r="K209" s="371">
        <v>0.3</v>
      </c>
      <c r="L209" s="371">
        <v>0.4</v>
      </c>
      <c r="M209" s="371">
        <v>0.5</v>
      </c>
      <c r="N209" s="371">
        <v>0.6</v>
      </c>
      <c r="O209" s="371">
        <v>0.7</v>
      </c>
      <c r="P209" s="371">
        <v>0.82</v>
      </c>
      <c r="Q209" s="371">
        <v>0.93</v>
      </c>
      <c r="R209" s="371">
        <v>1</v>
      </c>
      <c r="S209" s="371">
        <f t="shared" ref="S209:X210" si="50">R209</f>
        <v>1</v>
      </c>
      <c r="T209" s="371">
        <f t="shared" si="50"/>
        <v>1</v>
      </c>
      <c r="U209" s="371">
        <f t="shared" si="50"/>
        <v>1</v>
      </c>
      <c r="V209" s="371">
        <f t="shared" si="50"/>
        <v>1</v>
      </c>
      <c r="W209" s="371">
        <f t="shared" si="50"/>
        <v>1</v>
      </c>
      <c r="X209" s="371">
        <v>2</v>
      </c>
      <c r="Y209" s="381">
        <v>1000</v>
      </c>
    </row>
    <row r="210" spans="1:26" x14ac:dyDescent="0.2">
      <c r="A210" s="378" t="s">
        <v>34</v>
      </c>
      <c r="B210" s="372">
        <v>0</v>
      </c>
      <c r="C210" s="373">
        <v>41.9</v>
      </c>
      <c r="D210" s="373">
        <v>92.1</v>
      </c>
      <c r="E210" s="373">
        <v>116.7</v>
      </c>
      <c r="F210" s="373">
        <v>112.7</v>
      </c>
      <c r="G210" s="373">
        <v>82.7</v>
      </c>
      <c r="H210" s="373">
        <v>84.7</v>
      </c>
      <c r="I210" s="373">
        <v>86.2</v>
      </c>
      <c r="J210" s="373">
        <v>87.9</v>
      </c>
      <c r="K210" s="373">
        <v>90.9</v>
      </c>
      <c r="L210" s="373">
        <v>93.9</v>
      </c>
      <c r="M210" s="373">
        <v>95.3</v>
      </c>
      <c r="N210" s="373">
        <v>96.8</v>
      </c>
      <c r="O210" s="373">
        <v>97.6</v>
      </c>
      <c r="P210" s="373">
        <v>108.2</v>
      </c>
      <c r="Q210" s="373">
        <v>11</v>
      </c>
      <c r="R210" s="373">
        <v>0</v>
      </c>
      <c r="S210" s="373">
        <f t="shared" si="50"/>
        <v>0</v>
      </c>
      <c r="T210" s="373">
        <f t="shared" si="50"/>
        <v>0</v>
      </c>
      <c r="U210" s="373">
        <f t="shared" si="50"/>
        <v>0</v>
      </c>
      <c r="V210" s="373">
        <f t="shared" si="50"/>
        <v>0</v>
      </c>
      <c r="W210" s="373">
        <f t="shared" si="50"/>
        <v>0</v>
      </c>
      <c r="X210" s="373">
        <f t="shared" si="50"/>
        <v>0</v>
      </c>
      <c r="Y210" s="382">
        <v>0</v>
      </c>
    </row>
    <row r="211" spans="1:26" ht="13.5" thickBot="1" x14ac:dyDescent="0.25">
      <c r="A211" s="379" t="s">
        <v>119</v>
      </c>
      <c r="B211" s="374">
        <f t="shared" ref="B211:V211" si="51">(C210+B210)*(C209-B209)/2</f>
        <v>0.41899999999999998</v>
      </c>
      <c r="C211" s="375">
        <f t="shared" si="51"/>
        <v>0.66999999999999993</v>
      </c>
      <c r="D211" s="375">
        <f t="shared" si="51"/>
        <v>1.0440000000000003</v>
      </c>
      <c r="E211" s="375">
        <f t="shared" si="51"/>
        <v>2.2939999999999996</v>
      </c>
      <c r="F211" s="375">
        <f t="shared" si="51"/>
        <v>1.9540000000000004</v>
      </c>
      <c r="G211" s="375">
        <f t="shared" si="51"/>
        <v>5.859</v>
      </c>
      <c r="H211" s="375">
        <f t="shared" si="51"/>
        <v>2.5634999999999999</v>
      </c>
      <c r="I211" s="375">
        <f t="shared" si="51"/>
        <v>1.7410000000000019</v>
      </c>
      <c r="J211" s="375">
        <f>(K210+J210)*(K209-J209)/2</f>
        <v>8.9399999999999977</v>
      </c>
      <c r="K211" s="375">
        <f t="shared" si="51"/>
        <v>9.2400000000000038</v>
      </c>
      <c r="L211" s="375">
        <f t="shared" si="51"/>
        <v>9.4599999999999973</v>
      </c>
      <c r="M211" s="375">
        <f t="shared" si="51"/>
        <v>9.6049999999999969</v>
      </c>
      <c r="N211" s="375">
        <f t="shared" si="51"/>
        <v>9.7199999999999971</v>
      </c>
      <c r="O211" s="375">
        <f t="shared" si="51"/>
        <v>12.348000000000001</v>
      </c>
      <c r="P211" s="375">
        <f t="shared" si="51"/>
        <v>6.5560000000000063</v>
      </c>
      <c r="Q211" s="375">
        <f t="shared" si="51"/>
        <v>0.38499999999999973</v>
      </c>
      <c r="R211" s="375">
        <f t="shared" si="51"/>
        <v>0</v>
      </c>
      <c r="S211" s="375">
        <f>(T210+S210)*(T209-S209)/2</f>
        <v>0</v>
      </c>
      <c r="T211" s="375">
        <f t="shared" si="51"/>
        <v>0</v>
      </c>
      <c r="U211" s="375">
        <f t="shared" si="51"/>
        <v>0</v>
      </c>
      <c r="V211" s="375">
        <f t="shared" si="51"/>
        <v>0</v>
      </c>
      <c r="W211" s="375">
        <f>(X210+W210)*(X209-W209)/2</f>
        <v>0</v>
      </c>
      <c r="X211" s="375">
        <f>(Y210+X210)*(Y209-X209)/2</f>
        <v>0</v>
      </c>
      <c r="Y211" s="369"/>
    </row>
    <row r="212" spans="1:26" ht="13.5" thickBot="1" x14ac:dyDescent="0.2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6" ht="13.5" thickBot="1" x14ac:dyDescent="0.25">
      <c r="A213" s="361" t="s">
        <v>382</v>
      </c>
      <c r="B213" s="359">
        <f>ROW(A213)</f>
        <v>213</v>
      </c>
      <c r="C213" s="363" t="s">
        <v>118</v>
      </c>
      <c r="D213" s="353">
        <f>SUM(B216:Y216)</f>
        <v>98.257101163036367</v>
      </c>
      <c r="E213" s="363" t="s">
        <v>117</v>
      </c>
      <c r="F213" s="354">
        <f>D213/g/J213</f>
        <v>177.58890761893778</v>
      </c>
      <c r="G213" s="363" t="s">
        <v>59</v>
      </c>
      <c r="H213" s="64">
        <v>0.14319999999999999</v>
      </c>
      <c r="I213" s="363" t="s">
        <v>276</v>
      </c>
      <c r="J213" s="355">
        <f>H213-L213</f>
        <v>5.6399999999999992E-2</v>
      </c>
      <c r="K213" s="363" t="s">
        <v>277</v>
      </c>
      <c r="L213" s="64">
        <v>8.6800000000000002E-2</v>
      </c>
      <c r="M213" s="363" t="s">
        <v>60</v>
      </c>
      <c r="N213" s="65">
        <v>71</v>
      </c>
      <c r="O213" s="363" t="s">
        <v>62</v>
      </c>
      <c r="P213" s="65">
        <v>71</v>
      </c>
      <c r="Q213" s="363" t="s">
        <v>63</v>
      </c>
      <c r="R213" s="65">
        <v>142</v>
      </c>
      <c r="S213" s="363" t="s">
        <v>64</v>
      </c>
      <c r="T213" s="65">
        <v>29</v>
      </c>
      <c r="U213" s="363" t="s">
        <v>57</v>
      </c>
      <c r="V213" s="66" t="s">
        <v>122</v>
      </c>
      <c r="W213" s="463" t="s">
        <v>400</v>
      </c>
      <c r="X213" s="465">
        <v>1.1499999999999999</v>
      </c>
      <c r="Y213" s="463" t="s">
        <v>399</v>
      </c>
      <c r="Z213" s="358">
        <v>14</v>
      </c>
    </row>
    <row r="214" spans="1:26" x14ac:dyDescent="0.2">
      <c r="A214" s="362" t="s">
        <v>33</v>
      </c>
      <c r="B214" s="370">
        <v>0</v>
      </c>
      <c r="C214" s="371">
        <v>1.4999999999999999E-2</v>
      </c>
      <c r="D214" s="371">
        <v>0.03</v>
      </c>
      <c r="E214" s="371">
        <v>4.4999999999999998E-2</v>
      </c>
      <c r="F214" s="371">
        <v>0.06</v>
      </c>
      <c r="G214" s="371">
        <v>7.4999999999999997E-2</v>
      </c>
      <c r="H214" s="371">
        <v>0.09</v>
      </c>
      <c r="I214" s="371">
        <v>0.105</v>
      </c>
      <c r="J214" s="371">
        <v>0.12</v>
      </c>
      <c r="K214" s="371">
        <v>0.18</v>
      </c>
      <c r="L214" s="371">
        <v>0.24</v>
      </c>
      <c r="M214" s="371">
        <v>0.3</v>
      </c>
      <c r="N214" s="371">
        <v>0.48</v>
      </c>
      <c r="O214" s="371">
        <v>0.6</v>
      </c>
      <c r="P214" s="371">
        <v>0.66</v>
      </c>
      <c r="Q214" s="371">
        <v>0.72</v>
      </c>
      <c r="R214" s="371">
        <v>0.78</v>
      </c>
      <c r="S214" s="371">
        <v>0.84</v>
      </c>
      <c r="T214" s="371">
        <v>0.9</v>
      </c>
      <c r="U214" s="371">
        <v>0.96</v>
      </c>
      <c r="V214" s="371">
        <v>1.0349999999999999</v>
      </c>
      <c r="W214" s="371">
        <v>1.2</v>
      </c>
      <c r="X214" s="371">
        <v>2</v>
      </c>
      <c r="Y214" s="381">
        <v>1000</v>
      </c>
    </row>
    <row r="215" spans="1:26" x14ac:dyDescent="0.2">
      <c r="A215" s="378" t="s">
        <v>34</v>
      </c>
      <c r="B215" s="372">
        <v>0</v>
      </c>
      <c r="C215" s="376">
        <v>99.328788958822486</v>
      </c>
      <c r="D215" s="376">
        <v>109.07039432469</v>
      </c>
      <c r="E215" s="376">
        <v>65.255411286427503</v>
      </c>
      <c r="F215" s="376">
        <v>67.568486533117493</v>
      </c>
      <c r="G215" s="376">
        <v>73.929443461515007</v>
      </c>
      <c r="H215" s="376">
        <v>74.329783408057494</v>
      </c>
      <c r="I215" s="376">
        <v>78.1552540083525</v>
      </c>
      <c r="J215" s="376">
        <v>78.600076171177506</v>
      </c>
      <c r="K215" s="376">
        <v>82.203135690059995</v>
      </c>
      <c r="L215" s="376">
        <v>84.516210936749999</v>
      </c>
      <c r="M215" s="376">
        <v>88.51961040217499</v>
      </c>
      <c r="N215" s="376">
        <v>95.102978411984992</v>
      </c>
      <c r="O215" s="376">
        <v>95.547800574809997</v>
      </c>
      <c r="P215" s="376">
        <v>94.480227384029988</v>
      </c>
      <c r="Q215" s="376">
        <v>92.122669921057494</v>
      </c>
      <c r="R215" s="376">
        <v>90.743721216299988</v>
      </c>
      <c r="S215" s="376">
        <v>88.964432564999996</v>
      </c>
      <c r="T215" s="376">
        <v>85.405855262399996</v>
      </c>
      <c r="U215" s="376">
        <v>83.448637745970004</v>
      </c>
      <c r="V215" s="376">
        <v>88.074788239349999</v>
      </c>
      <c r="W215" s="376">
        <v>0</v>
      </c>
      <c r="X215" s="373">
        <v>0</v>
      </c>
      <c r="Y215" s="382">
        <v>0</v>
      </c>
    </row>
    <row r="216" spans="1:26" ht="13.5" thickBot="1" x14ac:dyDescent="0.25">
      <c r="A216" s="379" t="s">
        <v>119</v>
      </c>
      <c r="B216" s="374">
        <f t="shared" ref="B216:V216" si="52">(C215+B215)*(C214-B214)/2</f>
        <v>0.74496591719116867</v>
      </c>
      <c r="C216" s="375">
        <f t="shared" si="52"/>
        <v>1.5629938746263436</v>
      </c>
      <c r="D216" s="375">
        <f t="shared" si="52"/>
        <v>1.3074435420833814</v>
      </c>
      <c r="E216" s="375">
        <f t="shared" si="52"/>
        <v>0.99617923364658734</v>
      </c>
      <c r="F216" s="375">
        <f t="shared" si="52"/>
        <v>1.0612344749597438</v>
      </c>
      <c r="G216" s="375">
        <f t="shared" si="52"/>
        <v>1.1119442015217937</v>
      </c>
      <c r="H216" s="375">
        <f t="shared" si="52"/>
        <v>1.1436377806230749</v>
      </c>
      <c r="I216" s="375">
        <f t="shared" si="52"/>
        <v>1.175664976346475</v>
      </c>
      <c r="J216" s="375">
        <f>(K215+J215)*(K214-J214)/2</f>
        <v>4.824096355837125</v>
      </c>
      <c r="K216" s="375">
        <f t="shared" si="52"/>
        <v>5.0015803988042995</v>
      </c>
      <c r="L216" s="375">
        <f t="shared" si="52"/>
        <v>5.1910746401677494</v>
      </c>
      <c r="M216" s="375">
        <f t="shared" si="52"/>
        <v>16.526032993274399</v>
      </c>
      <c r="N216" s="375">
        <f t="shared" si="52"/>
        <v>11.439046739207699</v>
      </c>
      <c r="O216" s="375">
        <f t="shared" si="52"/>
        <v>5.7008408387652043</v>
      </c>
      <c r="P216" s="375">
        <f t="shared" si="52"/>
        <v>5.5980869191526192</v>
      </c>
      <c r="Q216" s="375">
        <f t="shared" si="52"/>
        <v>5.4859917341207289</v>
      </c>
      <c r="R216" s="375">
        <f t="shared" si="52"/>
        <v>5.3912446134389942</v>
      </c>
      <c r="S216" s="375">
        <f>(T215+S215)*(T214-S214)/2</f>
        <v>5.2311086348220037</v>
      </c>
      <c r="T216" s="375">
        <f t="shared" si="52"/>
        <v>5.0656347902510959</v>
      </c>
      <c r="U216" s="375">
        <f t="shared" si="52"/>
        <v>6.4321284744494962</v>
      </c>
      <c r="V216" s="375">
        <f t="shared" si="52"/>
        <v>7.2661700297463767</v>
      </c>
      <c r="W216" s="375">
        <f>(X215+W215)*(X214-W214)/2</f>
        <v>0</v>
      </c>
      <c r="X216" s="375">
        <f>(Y215+X215)*(Y214-X214)/2</f>
        <v>0</v>
      </c>
      <c r="Y216" s="369"/>
    </row>
    <row r="217" spans="1:26" ht="13.5" thickBot="1" x14ac:dyDescent="0.2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6" ht="13.5" thickBot="1" x14ac:dyDescent="0.25">
      <c r="A218" s="361" t="s">
        <v>383</v>
      </c>
      <c r="B218" s="359">
        <f>ROW(A218)</f>
        <v>218</v>
      </c>
      <c r="C218" s="363" t="s">
        <v>118</v>
      </c>
      <c r="D218" s="353">
        <f>SUM(B221:Y221)</f>
        <v>109.60639850000001</v>
      </c>
      <c r="E218" s="363" t="s">
        <v>117</v>
      </c>
      <c r="F218" s="354">
        <f>D218/g/J218</f>
        <v>194.31174666489383</v>
      </c>
      <c r="G218" s="363" t="s">
        <v>59</v>
      </c>
      <c r="H218" s="64">
        <v>0.14130000000000001</v>
      </c>
      <c r="I218" s="363" t="s">
        <v>276</v>
      </c>
      <c r="J218" s="355">
        <f>H218-L218</f>
        <v>5.7500000000000009E-2</v>
      </c>
      <c r="K218" s="363" t="s">
        <v>277</v>
      </c>
      <c r="L218" s="64">
        <v>8.3799999999999999E-2</v>
      </c>
      <c r="M218" s="363" t="s">
        <v>60</v>
      </c>
      <c r="N218" s="65">
        <v>71</v>
      </c>
      <c r="O218" s="363" t="s">
        <v>62</v>
      </c>
      <c r="P218" s="65">
        <v>71</v>
      </c>
      <c r="Q218" s="363" t="s">
        <v>63</v>
      </c>
      <c r="R218" s="65">
        <v>142</v>
      </c>
      <c r="S218" s="363" t="s">
        <v>64</v>
      </c>
      <c r="T218" s="65">
        <v>29</v>
      </c>
      <c r="U218" s="363" t="s">
        <v>57</v>
      </c>
      <c r="V218" s="66" t="s">
        <v>407</v>
      </c>
      <c r="W218" s="463" t="s">
        <v>400</v>
      </c>
      <c r="X218" s="465">
        <v>0.45</v>
      </c>
      <c r="Y218" s="463" t="s">
        <v>399</v>
      </c>
      <c r="Z218" s="358">
        <v>14</v>
      </c>
    </row>
    <row r="219" spans="1:26" x14ac:dyDescent="0.2">
      <c r="A219" s="362" t="s">
        <v>33</v>
      </c>
      <c r="B219" s="370">
        <v>0</v>
      </c>
      <c r="C219" s="371">
        <v>6.0000000000000001E-3</v>
      </c>
      <c r="D219" s="371">
        <v>1.0999999999999999E-2</v>
      </c>
      <c r="E219" s="371">
        <v>1.6E-2</v>
      </c>
      <c r="F219" s="371">
        <v>3.1E-2</v>
      </c>
      <c r="G219" s="371">
        <v>7.4999999999999997E-2</v>
      </c>
      <c r="H219" s="371">
        <v>0.122</v>
      </c>
      <c r="I219" s="371">
        <v>0.216</v>
      </c>
      <c r="J219" s="371">
        <v>0.25</v>
      </c>
      <c r="K219" s="371">
        <v>0.28699999999999998</v>
      </c>
      <c r="L219" s="371">
        <v>0.35399999999999998</v>
      </c>
      <c r="M219" s="371">
        <v>0.374</v>
      </c>
      <c r="N219" s="371">
        <v>0.4</v>
      </c>
      <c r="O219" s="371">
        <v>0.41299999999999998</v>
      </c>
      <c r="P219" s="371">
        <v>0.42</v>
      </c>
      <c r="Q219" s="371">
        <v>0.433</v>
      </c>
      <c r="R219" s="371">
        <v>0.44500000000000001</v>
      </c>
      <c r="S219" s="371">
        <v>0.45400000000000001</v>
      </c>
      <c r="T219" s="371">
        <f t="shared" ref="T219:X220" si="53">S219</f>
        <v>0.45400000000000001</v>
      </c>
      <c r="U219" s="371">
        <f t="shared" si="53"/>
        <v>0.45400000000000001</v>
      </c>
      <c r="V219" s="371">
        <f t="shared" si="53"/>
        <v>0.45400000000000001</v>
      </c>
      <c r="W219" s="371">
        <f t="shared" si="53"/>
        <v>0.45400000000000001</v>
      </c>
      <c r="X219" s="371">
        <v>2</v>
      </c>
      <c r="Y219" s="381">
        <v>1000</v>
      </c>
    </row>
    <row r="220" spans="1:26" x14ac:dyDescent="0.2">
      <c r="A220" s="378" t="s">
        <v>34</v>
      </c>
      <c r="B220" s="372">
        <v>0</v>
      </c>
      <c r="C220" s="373">
        <v>151.62100000000001</v>
      </c>
      <c r="D220" s="373">
        <v>198.07900000000001</v>
      </c>
      <c r="E220" s="373">
        <v>203.12100000000001</v>
      </c>
      <c r="F220" s="373">
        <v>201.68100000000001</v>
      </c>
      <c r="G220" s="373">
        <v>226.17</v>
      </c>
      <c r="H220" s="373">
        <v>250.3</v>
      </c>
      <c r="I220" s="373">
        <v>280.19200000000001</v>
      </c>
      <c r="J220" s="373">
        <v>287.03500000000003</v>
      </c>
      <c r="K220" s="373">
        <v>284.87400000000002</v>
      </c>
      <c r="L220" s="373">
        <v>269.74799999999999</v>
      </c>
      <c r="M220" s="373">
        <v>258.58300000000003</v>
      </c>
      <c r="N220" s="373">
        <v>233.37299999999999</v>
      </c>
      <c r="O220" s="373">
        <v>234.09399999999999</v>
      </c>
      <c r="P220" s="373">
        <v>227.61099999999999</v>
      </c>
      <c r="Q220" s="373">
        <v>137.935</v>
      </c>
      <c r="R220" s="373">
        <v>33.853999999999999</v>
      </c>
      <c r="S220" s="373">
        <v>0</v>
      </c>
      <c r="T220" s="373">
        <f t="shared" si="53"/>
        <v>0</v>
      </c>
      <c r="U220" s="373">
        <f t="shared" si="53"/>
        <v>0</v>
      </c>
      <c r="V220" s="373">
        <f t="shared" si="53"/>
        <v>0</v>
      </c>
      <c r="W220" s="373">
        <f t="shared" si="53"/>
        <v>0</v>
      </c>
      <c r="X220" s="373">
        <f t="shared" si="53"/>
        <v>0</v>
      </c>
      <c r="Y220" s="382">
        <v>0</v>
      </c>
    </row>
    <row r="221" spans="1:26" ht="13.5" thickBot="1" x14ac:dyDescent="0.25">
      <c r="A221" s="379" t="s">
        <v>119</v>
      </c>
      <c r="B221" s="374">
        <f t="shared" ref="B221:X221" si="54">(C220+B220)*(C219-B219)/2</f>
        <v>0.45486300000000002</v>
      </c>
      <c r="C221" s="375">
        <f t="shared" si="54"/>
        <v>0.87424999999999997</v>
      </c>
      <c r="D221" s="375">
        <f t="shared" si="54"/>
        <v>1.0030000000000003</v>
      </c>
      <c r="E221" s="375">
        <f t="shared" si="54"/>
        <v>3.0360149999999999</v>
      </c>
      <c r="F221" s="375">
        <f t="shared" si="54"/>
        <v>9.4127219999999987</v>
      </c>
      <c r="G221" s="375">
        <f t="shared" si="54"/>
        <v>11.197045000000001</v>
      </c>
      <c r="H221" s="375">
        <f t="shared" si="54"/>
        <v>24.933123999999999</v>
      </c>
      <c r="I221" s="375">
        <f t="shared" si="54"/>
        <v>9.6428590000000014</v>
      </c>
      <c r="J221" s="375">
        <f t="shared" si="54"/>
        <v>10.580316499999995</v>
      </c>
      <c r="K221" s="375">
        <f t="shared" si="54"/>
        <v>18.579837000000005</v>
      </c>
      <c r="L221" s="375">
        <f t="shared" si="54"/>
        <v>5.2833100000000046</v>
      </c>
      <c r="M221" s="375">
        <f t="shared" si="54"/>
        <v>6.3954280000000061</v>
      </c>
      <c r="N221" s="375">
        <f t="shared" si="54"/>
        <v>3.0385354999999898</v>
      </c>
      <c r="O221" s="375">
        <f t="shared" si="54"/>
        <v>1.6159675000000013</v>
      </c>
      <c r="P221" s="375">
        <f t="shared" si="54"/>
        <v>2.3760490000000019</v>
      </c>
      <c r="Q221" s="375">
        <f t="shared" si="54"/>
        <v>1.0307340000000009</v>
      </c>
      <c r="R221" s="375">
        <f t="shared" si="54"/>
        <v>0.15234300000000014</v>
      </c>
      <c r="S221" s="375">
        <f t="shared" si="54"/>
        <v>0</v>
      </c>
      <c r="T221" s="375">
        <f t="shared" si="54"/>
        <v>0</v>
      </c>
      <c r="U221" s="375">
        <f t="shared" si="54"/>
        <v>0</v>
      </c>
      <c r="V221" s="375">
        <f t="shared" si="54"/>
        <v>0</v>
      </c>
      <c r="W221" s="375">
        <f t="shared" si="54"/>
        <v>0</v>
      </c>
      <c r="X221" s="375">
        <f t="shared" si="54"/>
        <v>0</v>
      </c>
      <c r="Y221" s="369"/>
    </row>
    <row r="222" spans="1:26" ht="13.5" thickBot="1" x14ac:dyDescent="0.2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6" ht="13.5" thickBot="1" x14ac:dyDescent="0.25">
      <c r="A223" s="361" t="s">
        <v>384</v>
      </c>
      <c r="B223" s="359">
        <f>ROW(A223)</f>
        <v>223</v>
      </c>
      <c r="C223" s="363" t="s">
        <v>118</v>
      </c>
      <c r="D223" s="353">
        <f>SUM(B226:Y226)</f>
        <v>115.63</v>
      </c>
      <c r="E223" s="363" t="s">
        <v>117</v>
      </c>
      <c r="F223" s="354">
        <f>D223/g/J223</f>
        <v>199.77884897804037</v>
      </c>
      <c r="G223" s="363" t="s">
        <v>59</v>
      </c>
      <c r="H223" s="64">
        <v>0.14499999999999999</v>
      </c>
      <c r="I223" s="363" t="s">
        <v>276</v>
      </c>
      <c r="J223" s="355">
        <f>H223-L223</f>
        <v>5.8999999999999997E-2</v>
      </c>
      <c r="K223" s="363" t="s">
        <v>277</v>
      </c>
      <c r="L223" s="64">
        <v>8.5999999999999993E-2</v>
      </c>
      <c r="M223" s="363" t="s">
        <v>60</v>
      </c>
      <c r="N223" s="65">
        <v>71</v>
      </c>
      <c r="O223" s="363" t="s">
        <v>62</v>
      </c>
      <c r="P223" s="65">
        <v>71</v>
      </c>
      <c r="Q223" s="363" t="s">
        <v>63</v>
      </c>
      <c r="R223" s="65">
        <v>142</v>
      </c>
      <c r="S223" s="363" t="s">
        <v>64</v>
      </c>
      <c r="T223" s="65">
        <v>29</v>
      </c>
      <c r="U223" s="363" t="s">
        <v>57</v>
      </c>
      <c r="V223" s="66" t="s">
        <v>122</v>
      </c>
      <c r="W223" s="463" t="s">
        <v>400</v>
      </c>
      <c r="X223" s="465">
        <v>0.93</v>
      </c>
      <c r="Y223" s="463" t="s">
        <v>399</v>
      </c>
      <c r="Z223" s="358">
        <v>13</v>
      </c>
    </row>
    <row r="224" spans="1:26" x14ac:dyDescent="0.2">
      <c r="A224" s="362" t="s">
        <v>33</v>
      </c>
      <c r="B224" s="370">
        <v>0</v>
      </c>
      <c r="C224" s="371">
        <v>0.01</v>
      </c>
      <c r="D224" s="371">
        <v>0.02</v>
      </c>
      <c r="E224" s="371">
        <v>0.03</v>
      </c>
      <c r="F224" s="371">
        <v>0.04</v>
      </c>
      <c r="G224" s="371">
        <v>0.05</v>
      </c>
      <c r="H224" s="371">
        <v>0.1</v>
      </c>
      <c r="I224" s="371">
        <v>0.2</v>
      </c>
      <c r="J224" s="371">
        <v>0.3</v>
      </c>
      <c r="K224" s="371">
        <v>0.4</v>
      </c>
      <c r="L224" s="371">
        <v>0.6</v>
      </c>
      <c r="M224" s="371">
        <v>0.75</v>
      </c>
      <c r="N224" s="371">
        <v>0.81</v>
      </c>
      <c r="O224" s="371">
        <v>0.86</v>
      </c>
      <c r="P224" s="371">
        <v>0.9</v>
      </c>
      <c r="Q224" s="371">
        <v>0.95</v>
      </c>
      <c r="R224" s="371">
        <v>1</v>
      </c>
      <c r="S224" s="371">
        <v>1</v>
      </c>
      <c r="T224" s="371">
        <v>1</v>
      </c>
      <c r="U224" s="371">
        <v>1</v>
      </c>
      <c r="V224" s="371">
        <v>1</v>
      </c>
      <c r="W224" s="371">
        <v>1</v>
      </c>
      <c r="X224" s="371">
        <v>2</v>
      </c>
      <c r="Y224" s="381">
        <v>1000</v>
      </c>
    </row>
    <row r="225" spans="1:26" x14ac:dyDescent="0.2">
      <c r="A225" s="378" t="s">
        <v>34</v>
      </c>
      <c r="B225" s="372">
        <v>0</v>
      </c>
      <c r="C225" s="376">
        <v>55</v>
      </c>
      <c r="D225" s="376">
        <v>168</v>
      </c>
      <c r="E225" s="376">
        <v>157</v>
      </c>
      <c r="F225" s="376">
        <v>148</v>
      </c>
      <c r="G225" s="376">
        <v>125</v>
      </c>
      <c r="H225" s="376">
        <v>135</v>
      </c>
      <c r="I225" s="376">
        <v>141</v>
      </c>
      <c r="J225" s="376">
        <v>142</v>
      </c>
      <c r="K225" s="376">
        <v>141</v>
      </c>
      <c r="L225" s="376">
        <v>133</v>
      </c>
      <c r="M225" s="376">
        <v>127</v>
      </c>
      <c r="N225" s="376">
        <v>128</v>
      </c>
      <c r="O225" s="376">
        <v>60</v>
      </c>
      <c r="P225" s="376">
        <v>15</v>
      </c>
      <c r="Q225" s="376">
        <v>0</v>
      </c>
      <c r="R225" s="376">
        <v>0</v>
      </c>
      <c r="S225" s="376">
        <v>0</v>
      </c>
      <c r="T225" s="376">
        <v>0</v>
      </c>
      <c r="U225" s="376">
        <v>0</v>
      </c>
      <c r="V225" s="376">
        <v>0</v>
      </c>
      <c r="W225" s="376">
        <v>0</v>
      </c>
      <c r="X225" s="373">
        <v>0</v>
      </c>
      <c r="Y225" s="382">
        <v>0</v>
      </c>
    </row>
    <row r="226" spans="1:26" ht="13.5" thickBot="1" x14ac:dyDescent="0.25">
      <c r="A226" s="379" t="s">
        <v>119</v>
      </c>
      <c r="B226" s="374">
        <f t="shared" ref="B226:X226" si="55">(C225+B225)*(C224-B224)/2</f>
        <v>0.27500000000000002</v>
      </c>
      <c r="C226" s="375">
        <f t="shared" si="55"/>
        <v>1.115</v>
      </c>
      <c r="D226" s="375">
        <f t="shared" si="55"/>
        <v>1.6249999999999998</v>
      </c>
      <c r="E226" s="375">
        <f t="shared" si="55"/>
        <v>1.5250000000000004</v>
      </c>
      <c r="F226" s="375">
        <f t="shared" si="55"/>
        <v>1.3650000000000002</v>
      </c>
      <c r="G226" s="375">
        <f t="shared" si="55"/>
        <v>6.5</v>
      </c>
      <c r="H226" s="375">
        <f t="shared" si="55"/>
        <v>13.8</v>
      </c>
      <c r="I226" s="375">
        <f t="shared" si="55"/>
        <v>14.149999999999997</v>
      </c>
      <c r="J226" s="375">
        <f t="shared" si="55"/>
        <v>14.150000000000004</v>
      </c>
      <c r="K226" s="375">
        <f t="shared" si="55"/>
        <v>27.399999999999995</v>
      </c>
      <c r="L226" s="375">
        <f t="shared" si="55"/>
        <v>19.500000000000004</v>
      </c>
      <c r="M226" s="375">
        <f t="shared" si="55"/>
        <v>7.6500000000000066</v>
      </c>
      <c r="N226" s="375">
        <f t="shared" si="55"/>
        <v>4.699999999999994</v>
      </c>
      <c r="O226" s="375">
        <f t="shared" si="55"/>
        <v>1.5000000000000013</v>
      </c>
      <c r="P226" s="375">
        <f t="shared" si="55"/>
        <v>0.3749999999999995</v>
      </c>
      <c r="Q226" s="375">
        <f t="shared" si="55"/>
        <v>0</v>
      </c>
      <c r="R226" s="375">
        <f t="shared" si="55"/>
        <v>0</v>
      </c>
      <c r="S226" s="375">
        <f t="shared" si="55"/>
        <v>0</v>
      </c>
      <c r="T226" s="375">
        <f t="shared" si="55"/>
        <v>0</v>
      </c>
      <c r="U226" s="375">
        <f t="shared" si="55"/>
        <v>0</v>
      </c>
      <c r="V226" s="375">
        <f t="shared" si="55"/>
        <v>0</v>
      </c>
      <c r="W226" s="375">
        <f t="shared" si="55"/>
        <v>0</v>
      </c>
      <c r="X226" s="375">
        <f t="shared" si="55"/>
        <v>0</v>
      </c>
      <c r="Y226" s="369"/>
    </row>
    <row r="227" spans="1:26" ht="13.5" thickBot="1" x14ac:dyDescent="0.25">
      <c r="A227" s="6" t="s">
        <v>392</v>
      </c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6" ht="13.5" thickBot="1" x14ac:dyDescent="0.25">
      <c r="A228" s="361" t="s">
        <v>393</v>
      </c>
      <c r="B228" s="359">
        <f>ROW(A228)</f>
        <v>228</v>
      </c>
      <c r="C228" s="363" t="s">
        <v>118</v>
      </c>
      <c r="D228" s="353">
        <f>SUM(B231:Y231)</f>
        <v>115.63</v>
      </c>
      <c r="E228" s="363" t="s">
        <v>117</v>
      </c>
      <c r="F228" s="354">
        <f>D228/g/J228</f>
        <v>125.39310733728064</v>
      </c>
      <c r="G228" s="363" t="s">
        <v>59</v>
      </c>
      <c r="H228" s="64">
        <v>0.2</v>
      </c>
      <c r="I228" s="363" t="s">
        <v>276</v>
      </c>
      <c r="J228" s="355">
        <f>H228-L228</f>
        <v>9.4000000000000014E-2</v>
      </c>
      <c r="K228" s="363" t="s">
        <v>277</v>
      </c>
      <c r="L228" s="64">
        <v>0.106</v>
      </c>
      <c r="M228" s="363" t="s">
        <v>60</v>
      </c>
      <c r="N228" s="65">
        <v>93</v>
      </c>
      <c r="O228" s="363" t="s">
        <v>62</v>
      </c>
      <c r="P228" s="65">
        <v>93</v>
      </c>
      <c r="Q228" s="363" t="s">
        <v>63</v>
      </c>
      <c r="R228" s="65">
        <v>187</v>
      </c>
      <c r="S228" s="363" t="s">
        <v>64</v>
      </c>
      <c r="T228" s="65">
        <v>29</v>
      </c>
      <c r="U228" s="363" t="s">
        <v>57</v>
      </c>
      <c r="V228" s="66" t="s">
        <v>122</v>
      </c>
      <c r="W228" s="463" t="s">
        <v>400</v>
      </c>
      <c r="X228" s="465">
        <v>0.96</v>
      </c>
      <c r="Y228" s="463" t="s">
        <v>399</v>
      </c>
      <c r="Z228" s="358">
        <v>14</v>
      </c>
    </row>
    <row r="229" spans="1:26" x14ac:dyDescent="0.2">
      <c r="A229" s="362" t="s">
        <v>33</v>
      </c>
      <c r="B229" s="370">
        <v>0</v>
      </c>
      <c r="C229" s="371">
        <v>0.01</v>
      </c>
      <c r="D229" s="371">
        <v>0.02</v>
      </c>
      <c r="E229" s="371">
        <v>0.03</v>
      </c>
      <c r="F229" s="371">
        <v>0.04</v>
      </c>
      <c r="G229" s="371">
        <v>0.05</v>
      </c>
      <c r="H229" s="371">
        <v>0.1</v>
      </c>
      <c r="I229" s="371">
        <v>0.2</v>
      </c>
      <c r="J229" s="371">
        <v>0.3</v>
      </c>
      <c r="K229" s="371">
        <v>0.4</v>
      </c>
      <c r="L229" s="371">
        <v>0.6</v>
      </c>
      <c r="M229" s="371">
        <v>0.75</v>
      </c>
      <c r="N229" s="371">
        <v>0.81</v>
      </c>
      <c r="O229" s="371">
        <v>0.86</v>
      </c>
      <c r="P229" s="371">
        <v>0.9</v>
      </c>
      <c r="Q229" s="371">
        <v>0.95</v>
      </c>
      <c r="R229" s="371">
        <v>1</v>
      </c>
      <c r="S229" s="371">
        <f t="shared" ref="S229:X230" si="56">R229</f>
        <v>1</v>
      </c>
      <c r="T229" s="371">
        <f t="shared" si="56"/>
        <v>1</v>
      </c>
      <c r="U229" s="371">
        <f t="shared" si="56"/>
        <v>1</v>
      </c>
      <c r="V229" s="371">
        <f t="shared" si="56"/>
        <v>1</v>
      </c>
      <c r="W229" s="371">
        <f t="shared" si="56"/>
        <v>1</v>
      </c>
      <c r="X229" s="371">
        <v>2</v>
      </c>
      <c r="Y229" s="381">
        <v>1000</v>
      </c>
    </row>
    <row r="230" spans="1:26" x14ac:dyDescent="0.2">
      <c r="A230" s="378" t="s">
        <v>34</v>
      </c>
      <c r="B230" s="372">
        <v>0</v>
      </c>
      <c r="C230" s="373">
        <v>55</v>
      </c>
      <c r="D230" s="373">
        <v>168</v>
      </c>
      <c r="E230" s="373">
        <v>157</v>
      </c>
      <c r="F230" s="373">
        <v>148</v>
      </c>
      <c r="G230" s="373">
        <v>125</v>
      </c>
      <c r="H230" s="373">
        <v>135</v>
      </c>
      <c r="I230" s="373">
        <v>141</v>
      </c>
      <c r="J230" s="373">
        <v>142</v>
      </c>
      <c r="K230" s="373">
        <v>141</v>
      </c>
      <c r="L230" s="373">
        <v>133</v>
      </c>
      <c r="M230" s="373">
        <v>127</v>
      </c>
      <c r="N230" s="373">
        <v>128</v>
      </c>
      <c r="O230" s="373">
        <v>60</v>
      </c>
      <c r="P230" s="373">
        <v>15</v>
      </c>
      <c r="Q230" s="373">
        <v>0</v>
      </c>
      <c r="R230" s="373">
        <v>0</v>
      </c>
      <c r="S230" s="373">
        <f t="shared" si="56"/>
        <v>0</v>
      </c>
      <c r="T230" s="373">
        <f t="shared" si="56"/>
        <v>0</v>
      </c>
      <c r="U230" s="373">
        <f t="shared" si="56"/>
        <v>0</v>
      </c>
      <c r="V230" s="373">
        <f t="shared" si="56"/>
        <v>0</v>
      </c>
      <c r="W230" s="373">
        <f t="shared" si="56"/>
        <v>0</v>
      </c>
      <c r="X230" s="373">
        <f t="shared" si="56"/>
        <v>0</v>
      </c>
      <c r="Y230" s="382">
        <v>0</v>
      </c>
    </row>
    <row r="231" spans="1:26" ht="13.5" thickBot="1" x14ac:dyDescent="0.25">
      <c r="A231" s="379" t="s">
        <v>119</v>
      </c>
      <c r="B231" s="374">
        <f t="shared" ref="B231:X231" si="57">(C230+B230)*(C229-B229)/2</f>
        <v>0.27500000000000002</v>
      </c>
      <c r="C231" s="375">
        <f t="shared" si="57"/>
        <v>1.115</v>
      </c>
      <c r="D231" s="375">
        <f t="shared" si="57"/>
        <v>1.6249999999999998</v>
      </c>
      <c r="E231" s="375">
        <f t="shared" si="57"/>
        <v>1.5250000000000004</v>
      </c>
      <c r="F231" s="375">
        <f t="shared" si="57"/>
        <v>1.3650000000000002</v>
      </c>
      <c r="G231" s="375">
        <f t="shared" si="57"/>
        <v>6.5</v>
      </c>
      <c r="H231" s="375">
        <f t="shared" si="57"/>
        <v>13.8</v>
      </c>
      <c r="I231" s="375">
        <f t="shared" si="57"/>
        <v>14.149999999999997</v>
      </c>
      <c r="J231" s="375">
        <f t="shared" si="57"/>
        <v>14.150000000000004</v>
      </c>
      <c r="K231" s="375">
        <f t="shared" si="57"/>
        <v>27.399999999999995</v>
      </c>
      <c r="L231" s="375">
        <f t="shared" si="57"/>
        <v>19.500000000000004</v>
      </c>
      <c r="M231" s="375">
        <f t="shared" si="57"/>
        <v>7.6500000000000066</v>
      </c>
      <c r="N231" s="375">
        <f t="shared" si="57"/>
        <v>4.699999999999994</v>
      </c>
      <c r="O231" s="375">
        <f t="shared" si="57"/>
        <v>1.5000000000000013</v>
      </c>
      <c r="P231" s="375">
        <f t="shared" si="57"/>
        <v>0.3749999999999995</v>
      </c>
      <c r="Q231" s="375">
        <f t="shared" si="57"/>
        <v>0</v>
      </c>
      <c r="R231" s="375">
        <f t="shared" si="57"/>
        <v>0</v>
      </c>
      <c r="S231" s="375">
        <f t="shared" si="57"/>
        <v>0</v>
      </c>
      <c r="T231" s="375">
        <f t="shared" si="57"/>
        <v>0</v>
      </c>
      <c r="U231" s="375">
        <f t="shared" si="57"/>
        <v>0</v>
      </c>
      <c r="V231" s="375">
        <f t="shared" si="57"/>
        <v>0</v>
      </c>
      <c r="W231" s="375">
        <f t="shared" si="57"/>
        <v>0</v>
      </c>
      <c r="X231" s="375">
        <f t="shared" si="57"/>
        <v>0</v>
      </c>
      <c r="Y231" s="369"/>
    </row>
    <row r="232" spans="1:26" ht="13.5" thickBot="1" x14ac:dyDescent="0.25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6" ht="13.5" thickBot="1" x14ac:dyDescent="0.25">
      <c r="A233" s="361" t="s">
        <v>398</v>
      </c>
      <c r="B233" s="359">
        <f>ROW(A233)</f>
        <v>233</v>
      </c>
      <c r="C233" s="363" t="s">
        <v>118</v>
      </c>
      <c r="D233" s="353">
        <f>SUM(B236:Y236)</f>
        <v>158.04815100000002</v>
      </c>
      <c r="E233" s="363" t="s">
        <v>117</v>
      </c>
      <c r="F233" s="354">
        <v>198</v>
      </c>
      <c r="G233" s="363" t="s">
        <v>59</v>
      </c>
      <c r="H233" s="64">
        <v>0.19450000000000001</v>
      </c>
      <c r="I233" s="363" t="s">
        <v>276</v>
      </c>
      <c r="J233" s="355">
        <f>H233-L233</f>
        <v>8.9600000000000013E-2</v>
      </c>
      <c r="K233" s="363" t="s">
        <v>277</v>
      </c>
      <c r="L233" s="64">
        <v>0.10489999999999999</v>
      </c>
      <c r="M233" s="363" t="s">
        <v>60</v>
      </c>
      <c r="N233" s="65">
        <v>93</v>
      </c>
      <c r="O233" s="363" t="s">
        <v>62</v>
      </c>
      <c r="P233" s="65">
        <v>93</v>
      </c>
      <c r="Q233" s="363" t="s">
        <v>63</v>
      </c>
      <c r="R233" s="65">
        <v>187</v>
      </c>
      <c r="S233" s="363" t="s">
        <v>64</v>
      </c>
      <c r="T233" s="65">
        <v>29</v>
      </c>
      <c r="U233" s="363" t="s">
        <v>57</v>
      </c>
      <c r="V233" s="66" t="s">
        <v>122</v>
      </c>
      <c r="W233" s="463" t="s">
        <v>400</v>
      </c>
      <c r="X233" s="465">
        <v>1.27</v>
      </c>
      <c r="Y233" s="463" t="s">
        <v>399</v>
      </c>
      <c r="Z233" s="358">
        <v>14</v>
      </c>
    </row>
    <row r="234" spans="1:26" x14ac:dyDescent="0.2">
      <c r="A234" s="362" t="s">
        <v>33</v>
      </c>
      <c r="B234" s="472">
        <v>0</v>
      </c>
      <c r="C234" s="472">
        <v>4.0000000000000001E-3</v>
      </c>
      <c r="D234" s="472">
        <v>2.1999999999999999E-2</v>
      </c>
      <c r="E234" s="472">
        <v>3.9E-2</v>
      </c>
      <c r="F234" s="472">
        <v>0.122</v>
      </c>
      <c r="G234" s="472">
        <v>0.23599999999999999</v>
      </c>
      <c r="H234" s="472">
        <v>0.58899999999999997</v>
      </c>
      <c r="I234" s="472">
        <v>0.80100000000000005</v>
      </c>
      <c r="J234" s="472">
        <v>1.0680000000000001</v>
      </c>
      <c r="K234" s="472">
        <v>1.1180000000000001</v>
      </c>
      <c r="L234" s="472">
        <v>1.145</v>
      </c>
      <c r="M234" s="472">
        <v>1.1739999999999999</v>
      </c>
      <c r="N234" s="472">
        <v>1.2110000000000001</v>
      </c>
      <c r="O234" s="472">
        <v>1.2470000000000001</v>
      </c>
      <c r="P234" s="472">
        <v>1.2989999999999999</v>
      </c>
      <c r="Q234" s="371">
        <v>2</v>
      </c>
      <c r="R234" s="371">
        <v>2</v>
      </c>
      <c r="S234" s="371">
        <f t="shared" ref="S234:X235" si="58">R234</f>
        <v>2</v>
      </c>
      <c r="T234" s="371">
        <f t="shared" si="58"/>
        <v>2</v>
      </c>
      <c r="U234" s="371">
        <f t="shared" si="58"/>
        <v>2</v>
      </c>
      <c r="V234" s="371">
        <f t="shared" si="58"/>
        <v>2</v>
      </c>
      <c r="W234" s="371">
        <f t="shared" si="58"/>
        <v>2</v>
      </c>
      <c r="X234" s="371">
        <f t="shared" si="58"/>
        <v>2</v>
      </c>
      <c r="Y234" s="381">
        <v>1000</v>
      </c>
    </row>
    <row r="235" spans="1:26" x14ac:dyDescent="0.2">
      <c r="A235" s="378" t="s">
        <v>34</v>
      </c>
      <c r="B235" s="472">
        <v>0</v>
      </c>
      <c r="C235" s="472">
        <v>15.683</v>
      </c>
      <c r="D235" s="472">
        <v>170.834</v>
      </c>
      <c r="E235" s="472">
        <v>116.877</v>
      </c>
      <c r="F235" s="472">
        <v>142.642</v>
      </c>
      <c r="G235" s="472">
        <v>149.73699999999999</v>
      </c>
      <c r="H235" s="472">
        <v>142.642</v>
      </c>
      <c r="I235" s="472">
        <v>131.25299999999999</v>
      </c>
      <c r="J235" s="472">
        <v>122.104</v>
      </c>
      <c r="K235" s="472">
        <v>107.91500000000001</v>
      </c>
      <c r="L235" s="472">
        <v>78.415999999999997</v>
      </c>
      <c r="M235" s="472">
        <v>43.128999999999998</v>
      </c>
      <c r="N235" s="472">
        <v>21.471</v>
      </c>
      <c r="O235" s="472">
        <v>8.7750000000000004</v>
      </c>
      <c r="P235" s="472">
        <v>0</v>
      </c>
      <c r="Q235" s="373">
        <v>0</v>
      </c>
      <c r="R235" s="373">
        <v>0</v>
      </c>
      <c r="S235" s="373">
        <f t="shared" si="58"/>
        <v>0</v>
      </c>
      <c r="T235" s="373">
        <f t="shared" si="58"/>
        <v>0</v>
      </c>
      <c r="U235" s="373">
        <f t="shared" si="58"/>
        <v>0</v>
      </c>
      <c r="V235" s="373">
        <f t="shared" si="58"/>
        <v>0</v>
      </c>
      <c r="W235" s="373">
        <f t="shared" si="58"/>
        <v>0</v>
      </c>
      <c r="X235" s="373">
        <f t="shared" si="58"/>
        <v>0</v>
      </c>
      <c r="Y235" s="382">
        <v>0</v>
      </c>
    </row>
    <row r="236" spans="1:26" ht="13.5" thickBot="1" x14ac:dyDescent="0.25">
      <c r="A236" s="379" t="s">
        <v>119</v>
      </c>
      <c r="B236" s="374">
        <f t="shared" ref="B236:X236" si="59">(C235+B235)*(C234-B234)/2</f>
        <v>3.1365999999999998E-2</v>
      </c>
      <c r="C236" s="375">
        <f t="shared" si="59"/>
        <v>1.6786529999999997</v>
      </c>
      <c r="D236" s="375">
        <f t="shared" si="59"/>
        <v>2.4455435000000003</v>
      </c>
      <c r="E236" s="375">
        <f t="shared" si="59"/>
        <v>10.770038499999998</v>
      </c>
      <c r="F236" s="375">
        <f t="shared" si="59"/>
        <v>16.665603000000001</v>
      </c>
      <c r="G236" s="375">
        <f t="shared" si="59"/>
        <v>51.604893500000003</v>
      </c>
      <c r="H236" s="375">
        <f t="shared" si="59"/>
        <v>29.03287000000001</v>
      </c>
      <c r="I236" s="375">
        <f t="shared" si="59"/>
        <v>33.823159499999996</v>
      </c>
      <c r="J236" s="375">
        <f t="shared" si="59"/>
        <v>5.7504750000000051</v>
      </c>
      <c r="K236" s="375">
        <f t="shared" si="59"/>
        <v>2.5154684999999923</v>
      </c>
      <c r="L236" s="375">
        <f t="shared" si="59"/>
        <v>1.7624024999999945</v>
      </c>
      <c r="M236" s="375">
        <f t="shared" si="59"/>
        <v>1.1951000000000045</v>
      </c>
      <c r="N236" s="375">
        <f t="shared" si="59"/>
        <v>0.54442800000000058</v>
      </c>
      <c r="O236" s="375">
        <f t="shared" si="59"/>
        <v>0.22814999999999924</v>
      </c>
      <c r="P236" s="375">
        <f t="shared" si="59"/>
        <v>0</v>
      </c>
      <c r="Q236" s="375">
        <f t="shared" si="59"/>
        <v>0</v>
      </c>
      <c r="R236" s="375">
        <f t="shared" si="59"/>
        <v>0</v>
      </c>
      <c r="S236" s="375">
        <f t="shared" si="59"/>
        <v>0</v>
      </c>
      <c r="T236" s="375">
        <f t="shared" si="59"/>
        <v>0</v>
      </c>
      <c r="U236" s="375">
        <f t="shared" si="59"/>
        <v>0</v>
      </c>
      <c r="V236" s="375">
        <f t="shared" si="59"/>
        <v>0</v>
      </c>
      <c r="W236" s="375">
        <f t="shared" si="59"/>
        <v>0</v>
      </c>
      <c r="X236" s="375">
        <f t="shared" si="59"/>
        <v>0</v>
      </c>
      <c r="Y236" s="369"/>
    </row>
    <row r="237" spans="1:26" ht="13.5" thickBot="1" x14ac:dyDescent="0.25">
      <c r="A237" s="6" t="s">
        <v>380</v>
      </c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6" ht="13.5" thickBot="1" x14ac:dyDescent="0.25">
      <c r="A238" s="361" t="s">
        <v>385</v>
      </c>
      <c r="B238" s="359">
        <f>ROW(A238)</f>
        <v>238</v>
      </c>
      <c r="C238" s="363" t="s">
        <v>118</v>
      </c>
      <c r="D238" s="353">
        <f>SUM(B241:Y241)</f>
        <v>136.75235000000001</v>
      </c>
      <c r="E238" s="363" t="s">
        <v>117</v>
      </c>
      <c r="F238" s="354">
        <f>D238/g/J238</f>
        <v>152.35078513616639</v>
      </c>
      <c r="G238" s="363" t="s">
        <v>59</v>
      </c>
      <c r="H238" s="64">
        <v>0.21249999999999999</v>
      </c>
      <c r="I238" s="363" t="s">
        <v>276</v>
      </c>
      <c r="J238" s="355">
        <f>H238-L238</f>
        <v>9.1499999999999998E-2</v>
      </c>
      <c r="K238" s="363" t="s">
        <v>277</v>
      </c>
      <c r="L238" s="64">
        <v>0.121</v>
      </c>
      <c r="M238" s="363" t="s">
        <v>60</v>
      </c>
      <c r="N238" s="65">
        <v>63</v>
      </c>
      <c r="O238" s="363" t="s">
        <v>62</v>
      </c>
      <c r="P238" s="65">
        <v>114</v>
      </c>
      <c r="Q238" s="363" t="s">
        <v>63</v>
      </c>
      <c r="R238" s="65">
        <v>127</v>
      </c>
      <c r="S238" s="363" t="s">
        <v>64</v>
      </c>
      <c r="T238" s="65">
        <v>38</v>
      </c>
      <c r="U238" s="363" t="s">
        <v>57</v>
      </c>
      <c r="V238" s="66" t="s">
        <v>122</v>
      </c>
      <c r="W238" s="463" t="s">
        <v>400</v>
      </c>
      <c r="X238" s="465">
        <v>2.36</v>
      </c>
      <c r="Y238" s="463" t="s">
        <v>399</v>
      </c>
      <c r="Z238" s="358">
        <v>13</v>
      </c>
    </row>
    <row r="239" spans="1:26" x14ac:dyDescent="0.2">
      <c r="A239" s="362" t="s">
        <v>33</v>
      </c>
      <c r="B239" s="370">
        <v>0</v>
      </c>
      <c r="C239" s="371">
        <v>2.9000000000000001E-2</v>
      </c>
      <c r="D239" s="371">
        <v>4.5999999999999999E-2</v>
      </c>
      <c r="E239" s="371">
        <v>5.8000000000000003E-2</v>
      </c>
      <c r="F239" s="371">
        <v>8.4000000000000005E-2</v>
      </c>
      <c r="G239" s="371">
        <v>0.17100000000000001</v>
      </c>
      <c r="H239" s="371">
        <v>0.28000000000000003</v>
      </c>
      <c r="I239" s="371">
        <v>0.45500000000000002</v>
      </c>
      <c r="J239" s="371">
        <v>0.58599999999999997</v>
      </c>
      <c r="K239" s="371">
        <v>0.74099999999999999</v>
      </c>
      <c r="L239" s="371">
        <v>0.95199999999999996</v>
      </c>
      <c r="M239" s="371">
        <v>1.2170000000000001</v>
      </c>
      <c r="N239" s="371">
        <v>1.43</v>
      </c>
      <c r="O239" s="371">
        <v>1.6259999999999999</v>
      </c>
      <c r="P239" s="371">
        <v>1.8069999999999999</v>
      </c>
      <c r="Q239" s="371">
        <v>1.9590000000000001</v>
      </c>
      <c r="R239" s="371">
        <v>2.1040000000000001</v>
      </c>
      <c r="S239" s="371">
        <v>2.1680000000000001</v>
      </c>
      <c r="T239" s="371">
        <v>2.21</v>
      </c>
      <c r="U239" s="371">
        <v>2.2469999999999999</v>
      </c>
      <c r="V239" s="371">
        <v>2.3290000000000002</v>
      </c>
      <c r="W239" s="371">
        <f>2.4</f>
        <v>2.4</v>
      </c>
      <c r="X239" s="371">
        <f>W239</f>
        <v>2.4</v>
      </c>
      <c r="Y239" s="381">
        <v>1000</v>
      </c>
    </row>
    <row r="240" spans="1:26" x14ac:dyDescent="0.2">
      <c r="A240" s="378" t="s">
        <v>34</v>
      </c>
      <c r="B240" s="372">
        <v>0</v>
      </c>
      <c r="C240" s="373">
        <v>90.25</v>
      </c>
      <c r="D240" s="373">
        <v>69.17</v>
      </c>
      <c r="E240" s="373">
        <v>59.947000000000003</v>
      </c>
      <c r="F240" s="373">
        <v>47.167000000000002</v>
      </c>
      <c r="G240" s="373">
        <v>57.970999999999997</v>
      </c>
      <c r="H240" s="373">
        <v>59.552</v>
      </c>
      <c r="I240" s="373">
        <v>61.265000000000001</v>
      </c>
      <c r="J240" s="373">
        <v>61.66</v>
      </c>
      <c r="K240" s="373">
        <v>62.319000000000003</v>
      </c>
      <c r="L240" s="373">
        <v>63.768000000000001</v>
      </c>
      <c r="M240" s="373">
        <v>64.69</v>
      </c>
      <c r="N240" s="373">
        <v>63.768000000000001</v>
      </c>
      <c r="O240" s="373">
        <v>61.265000000000001</v>
      </c>
      <c r="P240" s="373">
        <v>58.103000000000002</v>
      </c>
      <c r="Q240" s="373">
        <v>53.887</v>
      </c>
      <c r="R240" s="373">
        <v>48.353000000000002</v>
      </c>
      <c r="S240" s="373">
        <v>47.563000000000002</v>
      </c>
      <c r="T240" s="373">
        <v>44.005000000000003</v>
      </c>
      <c r="U240" s="373">
        <v>37.286000000000001</v>
      </c>
      <c r="V240" s="373">
        <v>22.265999999999998</v>
      </c>
      <c r="W240" s="373">
        <v>0</v>
      </c>
      <c r="X240" s="373">
        <f>W240</f>
        <v>0</v>
      </c>
      <c r="Y240" s="382">
        <v>0</v>
      </c>
    </row>
    <row r="241" spans="1:26" ht="13.5" thickBot="1" x14ac:dyDescent="0.25">
      <c r="A241" s="379" t="s">
        <v>119</v>
      </c>
      <c r="B241" s="374">
        <f t="shared" ref="B241:X241" si="60">(C240+B240)*(C239-B239)/2</f>
        <v>1.3086250000000001</v>
      </c>
      <c r="C241" s="375">
        <f t="shared" si="60"/>
        <v>1.35507</v>
      </c>
      <c r="D241" s="375">
        <f t="shared" si="60"/>
        <v>0.77470200000000033</v>
      </c>
      <c r="E241" s="375">
        <f t="shared" si="60"/>
        <v>1.3924820000000002</v>
      </c>
      <c r="F241" s="375">
        <f t="shared" si="60"/>
        <v>4.5735030000000005</v>
      </c>
      <c r="G241" s="375">
        <f t="shared" si="60"/>
        <v>6.4050035000000003</v>
      </c>
      <c r="H241" s="375">
        <f t="shared" si="60"/>
        <v>10.5714875</v>
      </c>
      <c r="I241" s="375">
        <f t="shared" si="60"/>
        <v>8.0515874999999966</v>
      </c>
      <c r="J241" s="375">
        <f t="shared" si="60"/>
        <v>9.6083725000000015</v>
      </c>
      <c r="K241" s="375">
        <f t="shared" si="60"/>
        <v>13.302178499999998</v>
      </c>
      <c r="L241" s="375">
        <f t="shared" si="60"/>
        <v>17.020685000000007</v>
      </c>
      <c r="M241" s="375">
        <f t="shared" si="60"/>
        <v>13.68077699999999</v>
      </c>
      <c r="N241" s="375">
        <f t="shared" si="60"/>
        <v>12.253233999999997</v>
      </c>
      <c r="O241" s="375">
        <f t="shared" si="60"/>
        <v>10.802804000000002</v>
      </c>
      <c r="P241" s="375">
        <f t="shared" si="60"/>
        <v>8.5112400000000079</v>
      </c>
      <c r="Q241" s="375">
        <f t="shared" si="60"/>
        <v>7.4124000000000017</v>
      </c>
      <c r="R241" s="375">
        <f t="shared" si="60"/>
        <v>3.0693120000000027</v>
      </c>
      <c r="S241" s="375">
        <f t="shared" si="60"/>
        <v>1.9229279999999918</v>
      </c>
      <c r="T241" s="375">
        <f t="shared" si="60"/>
        <v>1.5038834999999968</v>
      </c>
      <c r="U241" s="375">
        <f t="shared" si="60"/>
        <v>2.4416320000000087</v>
      </c>
      <c r="V241" s="375">
        <f t="shared" si="60"/>
        <v>0.7904429999999969</v>
      </c>
      <c r="W241" s="375">
        <f t="shared" si="60"/>
        <v>0</v>
      </c>
      <c r="X241" s="375">
        <f t="shared" si="60"/>
        <v>0</v>
      </c>
      <c r="Y241" s="369"/>
    </row>
    <row r="242" spans="1:26" ht="13.5" thickBot="1" x14ac:dyDescent="0.25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6" ht="13.5" thickBot="1" x14ac:dyDescent="0.25">
      <c r="A243" s="361" t="s">
        <v>386</v>
      </c>
      <c r="B243" s="359">
        <f>ROW(A243)</f>
        <v>243</v>
      </c>
      <c r="C243" s="363" t="s">
        <v>118</v>
      </c>
      <c r="D243" s="353">
        <f>SUM(B246:Y246)</f>
        <v>127.06944999999999</v>
      </c>
      <c r="E243" s="363" t="s">
        <v>117</v>
      </c>
      <c r="F243" s="354">
        <f>D243/g/J243</f>
        <v>180.65624835614466</v>
      </c>
      <c r="G243" s="363" t="s">
        <v>59</v>
      </c>
      <c r="H243" s="64">
        <v>0.18840000000000001</v>
      </c>
      <c r="I243" s="363" t="s">
        <v>276</v>
      </c>
      <c r="J243" s="355">
        <f>H243-L243</f>
        <v>7.1700000000000014E-2</v>
      </c>
      <c r="K243" s="363" t="s">
        <v>277</v>
      </c>
      <c r="L243" s="64">
        <v>0.1167</v>
      </c>
      <c r="M243" s="363" t="s">
        <v>60</v>
      </c>
      <c r="N243" s="65">
        <v>63</v>
      </c>
      <c r="O243" s="363" t="s">
        <v>62</v>
      </c>
      <c r="P243" s="65">
        <v>114</v>
      </c>
      <c r="Q243" s="363" t="s">
        <v>63</v>
      </c>
      <c r="R243" s="65">
        <v>127</v>
      </c>
      <c r="S243" s="363" t="s">
        <v>64</v>
      </c>
      <c r="T243" s="65">
        <v>38</v>
      </c>
      <c r="U243" s="363" t="s">
        <v>57</v>
      </c>
      <c r="V243" s="66" t="s">
        <v>122</v>
      </c>
      <c r="W243" s="463" t="s">
        <v>400</v>
      </c>
      <c r="X243" s="465">
        <v>0.69</v>
      </c>
      <c r="Y243" s="463" t="s">
        <v>399</v>
      </c>
      <c r="Z243" s="358">
        <v>12</v>
      </c>
    </row>
    <row r="244" spans="1:26" x14ac:dyDescent="0.2">
      <c r="A244" s="362" t="s">
        <v>33</v>
      </c>
      <c r="B244" s="370">
        <v>0</v>
      </c>
      <c r="C244" s="371">
        <v>0.01</v>
      </c>
      <c r="D244" s="371">
        <v>0.02</v>
      </c>
      <c r="E244" s="371">
        <v>0.05</v>
      </c>
      <c r="F244" s="371">
        <v>0.1</v>
      </c>
      <c r="G244" s="371">
        <v>0.2</v>
      </c>
      <c r="H244" s="371">
        <v>0.3</v>
      </c>
      <c r="I244" s="371">
        <v>0.35</v>
      </c>
      <c r="J244" s="371">
        <v>0.4</v>
      </c>
      <c r="K244" s="371">
        <v>0.45</v>
      </c>
      <c r="L244" s="371">
        <v>0.5</v>
      </c>
      <c r="M244" s="371">
        <v>0.55000000000000004</v>
      </c>
      <c r="N244" s="371">
        <v>0.6</v>
      </c>
      <c r="O244" s="371">
        <v>0.61</v>
      </c>
      <c r="P244" s="371">
        <v>0.63</v>
      </c>
      <c r="Q244" s="371">
        <v>0.64</v>
      </c>
      <c r="R244" s="371">
        <v>0.65</v>
      </c>
      <c r="S244" s="371">
        <v>0.67</v>
      </c>
      <c r="T244" s="371">
        <v>0.68</v>
      </c>
      <c r="U244" s="371">
        <v>0.69</v>
      </c>
      <c r="V244" s="371">
        <f t="shared" ref="V244:X245" si="61">U244</f>
        <v>0.69</v>
      </c>
      <c r="W244" s="371">
        <f t="shared" si="61"/>
        <v>0.69</v>
      </c>
      <c r="X244" s="371">
        <v>2</v>
      </c>
      <c r="Y244" s="381">
        <v>1000</v>
      </c>
    </row>
    <row r="245" spans="1:26" x14ac:dyDescent="0.2">
      <c r="A245" s="378" t="s">
        <v>34</v>
      </c>
      <c r="B245" s="372">
        <v>0</v>
      </c>
      <c r="C245" s="373">
        <v>108.72</v>
      </c>
      <c r="D245" s="373">
        <v>131.19</v>
      </c>
      <c r="E245" s="373">
        <v>153.13999999999999</v>
      </c>
      <c r="F245" s="373">
        <v>168.97</v>
      </c>
      <c r="G245" s="373">
        <v>189.92</v>
      </c>
      <c r="H245" s="373">
        <v>199.95</v>
      </c>
      <c r="I245" s="373">
        <v>203.59</v>
      </c>
      <c r="J245" s="373">
        <v>205.03</v>
      </c>
      <c r="K245" s="373">
        <v>202.6</v>
      </c>
      <c r="L245" s="373">
        <v>203.06</v>
      </c>
      <c r="M245" s="373">
        <v>199.34</v>
      </c>
      <c r="N245" s="373">
        <v>194.71</v>
      </c>
      <c r="O245" s="373">
        <v>194.1</v>
      </c>
      <c r="P245" s="373">
        <v>193.49</v>
      </c>
      <c r="Q245" s="373">
        <v>193.68</v>
      </c>
      <c r="R245" s="373">
        <v>202.91</v>
      </c>
      <c r="S245" s="373">
        <v>163.38999999999999</v>
      </c>
      <c r="T245" s="373">
        <v>80.44</v>
      </c>
      <c r="U245" s="373">
        <v>0</v>
      </c>
      <c r="V245" s="373">
        <f t="shared" si="61"/>
        <v>0</v>
      </c>
      <c r="W245" s="373">
        <f t="shared" si="61"/>
        <v>0</v>
      </c>
      <c r="X245" s="373">
        <f t="shared" si="61"/>
        <v>0</v>
      </c>
      <c r="Y245" s="382">
        <v>0</v>
      </c>
    </row>
    <row r="246" spans="1:26" ht="13.5" thickBot="1" x14ac:dyDescent="0.25">
      <c r="A246" s="379" t="s">
        <v>119</v>
      </c>
      <c r="B246" s="374">
        <f t="shared" ref="B246:X246" si="62">(C245+B245)*(C244-B244)/2</f>
        <v>0.54359999999999997</v>
      </c>
      <c r="C246" s="375">
        <f t="shared" si="62"/>
        <v>1.1995500000000001</v>
      </c>
      <c r="D246" s="375">
        <f t="shared" si="62"/>
        <v>4.2649499999999998</v>
      </c>
      <c r="E246" s="375">
        <f t="shared" si="62"/>
        <v>8.0527500000000014</v>
      </c>
      <c r="F246" s="375">
        <f t="shared" si="62"/>
        <v>17.944500000000001</v>
      </c>
      <c r="G246" s="375">
        <f t="shared" si="62"/>
        <v>19.493499999999997</v>
      </c>
      <c r="H246" s="375">
        <f t="shared" si="62"/>
        <v>10.088499999999996</v>
      </c>
      <c r="I246" s="375">
        <f t="shared" si="62"/>
        <v>10.215500000000009</v>
      </c>
      <c r="J246" s="375">
        <f t="shared" si="62"/>
        <v>10.190749999999998</v>
      </c>
      <c r="K246" s="375">
        <f t="shared" si="62"/>
        <v>10.141499999999997</v>
      </c>
      <c r="L246" s="375">
        <f t="shared" si="62"/>
        <v>10.060000000000008</v>
      </c>
      <c r="M246" s="375">
        <f t="shared" si="62"/>
        <v>9.8512499999999878</v>
      </c>
      <c r="N246" s="375">
        <f t="shared" si="62"/>
        <v>1.9440500000000018</v>
      </c>
      <c r="O246" s="375">
        <f t="shared" si="62"/>
        <v>3.8759000000000037</v>
      </c>
      <c r="P246" s="375">
        <f t="shared" si="62"/>
        <v>1.9358500000000018</v>
      </c>
      <c r="Q246" s="375">
        <f t="shared" si="62"/>
        <v>1.982950000000002</v>
      </c>
      <c r="R246" s="375">
        <f t="shared" si="62"/>
        <v>3.6630000000000029</v>
      </c>
      <c r="S246" s="375">
        <f t="shared" si="62"/>
        <v>1.2191500000000011</v>
      </c>
      <c r="T246" s="375">
        <f t="shared" si="62"/>
        <v>0.40219999999999589</v>
      </c>
      <c r="U246" s="375">
        <f t="shared" si="62"/>
        <v>0</v>
      </c>
      <c r="V246" s="375">
        <f t="shared" si="62"/>
        <v>0</v>
      </c>
      <c r="W246" s="375">
        <f t="shared" si="62"/>
        <v>0</v>
      </c>
      <c r="X246" s="375">
        <f t="shared" si="62"/>
        <v>0</v>
      </c>
      <c r="Y246" s="369"/>
    </row>
    <row r="247" spans="1:26" ht="13.5" thickBot="1" x14ac:dyDescent="0.25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6" ht="13.5" thickBot="1" x14ac:dyDescent="0.25">
      <c r="A248" s="361" t="s">
        <v>394</v>
      </c>
      <c r="B248" s="359">
        <f>ROW(A248)</f>
        <v>248</v>
      </c>
      <c r="C248" s="363" t="s">
        <v>118</v>
      </c>
      <c r="D248" s="353">
        <f>SUM(B251:Y251)</f>
        <v>142.7236025</v>
      </c>
      <c r="E248" s="363" t="s">
        <v>117</v>
      </c>
      <c r="F248" s="354">
        <v>208</v>
      </c>
      <c r="G248" s="363" t="s">
        <v>59</v>
      </c>
      <c r="H248" s="64">
        <v>0.19700000000000001</v>
      </c>
      <c r="I248" s="363" t="s">
        <v>276</v>
      </c>
      <c r="J248" s="355">
        <f>H248-L248</f>
        <v>7.0000000000000007E-2</v>
      </c>
      <c r="K248" s="363" t="s">
        <v>277</v>
      </c>
      <c r="L248" s="64">
        <v>0.127</v>
      </c>
      <c r="M248" s="363" t="s">
        <v>60</v>
      </c>
      <c r="N248" s="65">
        <v>63</v>
      </c>
      <c r="O248" s="363" t="s">
        <v>62</v>
      </c>
      <c r="P248" s="65">
        <v>114</v>
      </c>
      <c r="Q248" s="363" t="s">
        <v>63</v>
      </c>
      <c r="R248" s="65">
        <v>127</v>
      </c>
      <c r="S248" s="363" t="s">
        <v>64</v>
      </c>
      <c r="T248" s="65">
        <v>38</v>
      </c>
      <c r="U248" s="363" t="s">
        <v>57</v>
      </c>
      <c r="V248" s="66" t="s">
        <v>122</v>
      </c>
      <c r="W248" s="463" t="s">
        <v>400</v>
      </c>
      <c r="X248" s="465">
        <v>1.8</v>
      </c>
      <c r="Y248" s="463" t="s">
        <v>399</v>
      </c>
      <c r="Z248" s="358">
        <v>15</v>
      </c>
    </row>
    <row r="249" spans="1:26" x14ac:dyDescent="0.2">
      <c r="A249" s="362" t="s">
        <v>33</v>
      </c>
      <c r="B249" s="370">
        <v>0</v>
      </c>
      <c r="C249" s="370">
        <v>6.0000000000000001E-3</v>
      </c>
      <c r="D249" s="371">
        <v>1.7999999999999999E-2</v>
      </c>
      <c r="E249" s="371">
        <v>3.5999999999999997E-2</v>
      </c>
      <c r="F249" s="371">
        <v>4.7E-2</v>
      </c>
      <c r="G249" s="371">
        <v>8.4000000000000005E-2</v>
      </c>
      <c r="H249" s="371">
        <v>0.13500000000000001</v>
      </c>
      <c r="I249" s="371">
        <v>0.23799999999999999</v>
      </c>
      <c r="J249" s="371">
        <v>0.438</v>
      </c>
      <c r="K249" s="371">
        <v>0.63</v>
      </c>
      <c r="L249" s="371">
        <v>0.85899999999999999</v>
      </c>
      <c r="M249" s="371">
        <v>1.2829999999999999</v>
      </c>
      <c r="N249" s="371">
        <v>1.4470000000000001</v>
      </c>
      <c r="O249" s="371">
        <v>1.643</v>
      </c>
      <c r="P249" s="371">
        <v>1.7130000000000001</v>
      </c>
      <c r="Q249" s="371">
        <v>1.7430000000000001</v>
      </c>
      <c r="R249" s="371">
        <v>1.79</v>
      </c>
      <c r="S249" s="371">
        <v>1.8180000000000001</v>
      </c>
      <c r="T249" s="371">
        <v>1.8520000000000001</v>
      </c>
      <c r="U249" s="371">
        <v>2</v>
      </c>
      <c r="V249" s="371">
        <f t="shared" ref="V249:X250" si="63">U249</f>
        <v>2</v>
      </c>
      <c r="W249" s="371">
        <f t="shared" si="63"/>
        <v>2</v>
      </c>
      <c r="X249" s="371">
        <f t="shared" si="63"/>
        <v>2</v>
      </c>
      <c r="Y249" s="381">
        <v>1000</v>
      </c>
    </row>
    <row r="250" spans="1:26" x14ac:dyDescent="0.2">
      <c r="A250" s="378" t="s">
        <v>34</v>
      </c>
      <c r="B250" s="372">
        <v>0</v>
      </c>
      <c r="C250" s="372">
        <v>104.068</v>
      </c>
      <c r="D250" s="373">
        <v>137.928</v>
      </c>
      <c r="E250" s="373">
        <v>70.706999999999994</v>
      </c>
      <c r="F250" s="373">
        <v>62.241999999999997</v>
      </c>
      <c r="G250" s="373">
        <v>73.694000000000003</v>
      </c>
      <c r="H250" s="373">
        <v>78.176000000000002</v>
      </c>
      <c r="I250" s="373">
        <v>84.150999999999996</v>
      </c>
      <c r="J250" s="373">
        <v>89.628</v>
      </c>
      <c r="K250" s="373">
        <v>88.135000000000005</v>
      </c>
      <c r="L250" s="373">
        <v>87.138999999999996</v>
      </c>
      <c r="M250" s="373">
        <v>77.180000000000007</v>
      </c>
      <c r="N250" s="373">
        <v>70.706999999999994</v>
      </c>
      <c r="O250" s="373">
        <v>67.718999999999994</v>
      </c>
      <c r="P250" s="373">
        <v>64.233999999999995</v>
      </c>
      <c r="Q250" s="373">
        <v>54.274999999999999</v>
      </c>
      <c r="R250" s="373">
        <v>18.423999999999999</v>
      </c>
      <c r="S250" s="373">
        <v>6.4729999999999999</v>
      </c>
      <c r="T250" s="373">
        <v>0</v>
      </c>
      <c r="U250" s="373">
        <v>0</v>
      </c>
      <c r="V250" s="373">
        <f t="shared" si="63"/>
        <v>0</v>
      </c>
      <c r="W250" s="373">
        <f t="shared" si="63"/>
        <v>0</v>
      </c>
      <c r="X250" s="373">
        <f t="shared" si="63"/>
        <v>0</v>
      </c>
      <c r="Y250" s="382">
        <v>0</v>
      </c>
    </row>
    <row r="251" spans="1:26" ht="13.5" thickBot="1" x14ac:dyDescent="0.25">
      <c r="A251" s="379" t="s">
        <v>119</v>
      </c>
      <c r="B251" s="374">
        <f t="shared" ref="B251:X251" si="64">(C250+B250)*(C249-B249)/2</f>
        <v>0.31220399999999998</v>
      </c>
      <c r="C251" s="375">
        <f t="shared" si="64"/>
        <v>1.4519759999999997</v>
      </c>
      <c r="D251" s="375">
        <f t="shared" si="64"/>
        <v>1.8777149999999998</v>
      </c>
      <c r="E251" s="375">
        <f t="shared" si="64"/>
        <v>0.73121950000000013</v>
      </c>
      <c r="F251" s="375">
        <f t="shared" si="64"/>
        <v>2.5148160000000006</v>
      </c>
      <c r="G251" s="375">
        <f t="shared" si="64"/>
        <v>3.8726850000000006</v>
      </c>
      <c r="H251" s="375">
        <f t="shared" si="64"/>
        <v>8.3598404999999989</v>
      </c>
      <c r="I251" s="375">
        <f t="shared" si="64"/>
        <v>17.3779</v>
      </c>
      <c r="J251" s="375">
        <f t="shared" si="64"/>
        <v>17.065248</v>
      </c>
      <c r="K251" s="375">
        <f t="shared" si="64"/>
        <v>20.068873</v>
      </c>
      <c r="L251" s="375">
        <f t="shared" si="64"/>
        <v>34.835628</v>
      </c>
      <c r="M251" s="375">
        <f t="shared" si="64"/>
        <v>12.126734000000011</v>
      </c>
      <c r="N251" s="375">
        <f t="shared" si="64"/>
        <v>13.565747999999996</v>
      </c>
      <c r="O251" s="375">
        <f t="shared" si="64"/>
        <v>4.6183550000000029</v>
      </c>
      <c r="P251" s="375">
        <f t="shared" si="64"/>
        <v>1.7776350000000014</v>
      </c>
      <c r="Q251" s="375">
        <f t="shared" si="64"/>
        <v>1.7084264999999974</v>
      </c>
      <c r="R251" s="375">
        <f t="shared" si="64"/>
        <v>0.34855800000000031</v>
      </c>
      <c r="S251" s="375">
        <f t="shared" si="64"/>
        <v>0.1100410000000001</v>
      </c>
      <c r="T251" s="375">
        <f t="shared" si="64"/>
        <v>0</v>
      </c>
      <c r="U251" s="375">
        <f t="shared" si="64"/>
        <v>0</v>
      </c>
      <c r="V251" s="375">
        <f t="shared" si="64"/>
        <v>0</v>
      </c>
      <c r="W251" s="375">
        <f t="shared" si="64"/>
        <v>0</v>
      </c>
      <c r="X251" s="375">
        <f t="shared" si="64"/>
        <v>0</v>
      </c>
      <c r="Y251" s="369"/>
    </row>
    <row r="252" spans="1:26" ht="13.5" thickBot="1" x14ac:dyDescent="0.25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6" ht="13.5" thickBot="1" x14ac:dyDescent="0.25">
      <c r="A253" s="361" t="s">
        <v>279</v>
      </c>
      <c r="B253" s="360">
        <f>ROW(A253)</f>
        <v>253</v>
      </c>
      <c r="C253" s="363" t="s">
        <v>118</v>
      </c>
      <c r="D253" s="353">
        <f>SUM(B256:Y256)</f>
        <v>33.500000000000007</v>
      </c>
      <c r="E253" s="363" t="s">
        <v>117</v>
      </c>
      <c r="F253" s="354">
        <f>D253/g/J253</f>
        <v>68.297655453618759</v>
      </c>
      <c r="G253" s="363" t="s">
        <v>59</v>
      </c>
      <c r="H253" s="64">
        <v>8.5000000000000006E-2</v>
      </c>
      <c r="I253" s="363" t="s">
        <v>276</v>
      </c>
      <c r="J253" s="355">
        <f>H253-L253</f>
        <v>0.05</v>
      </c>
      <c r="K253" s="363" t="s">
        <v>277</v>
      </c>
      <c r="L253" s="64">
        <v>3.5000000000000003E-2</v>
      </c>
      <c r="M253" s="363" t="s">
        <v>60</v>
      </c>
      <c r="N253" s="65">
        <v>20</v>
      </c>
      <c r="O253" s="363" t="s">
        <v>62</v>
      </c>
      <c r="P253" s="65">
        <v>20</v>
      </c>
      <c r="Q253" s="363" t="s">
        <v>63</v>
      </c>
      <c r="R253" s="65">
        <v>39</v>
      </c>
      <c r="S253" s="363" t="s">
        <v>64</v>
      </c>
      <c r="T253" s="65">
        <v>39</v>
      </c>
      <c r="U253" s="363" t="s">
        <v>57</v>
      </c>
      <c r="V253" s="66" t="s">
        <v>407</v>
      </c>
      <c r="W253" s="12"/>
      <c r="X253" s="12"/>
      <c r="Y253" s="12"/>
    </row>
    <row r="254" spans="1:26" x14ac:dyDescent="0.2">
      <c r="A254" s="362" t="s">
        <v>33</v>
      </c>
      <c r="B254" s="370">
        <v>0</v>
      </c>
      <c r="C254" s="371">
        <v>0.05</v>
      </c>
      <c r="D254" s="371">
        <v>0.1</v>
      </c>
      <c r="E254" s="371">
        <v>0.25</v>
      </c>
      <c r="F254" s="371">
        <v>0.3</v>
      </c>
      <c r="G254" s="371">
        <v>0.35</v>
      </c>
      <c r="H254" s="371">
        <v>0.45</v>
      </c>
      <c r="I254" s="371">
        <v>0.55000000000000004</v>
      </c>
      <c r="J254" s="371">
        <v>3.5</v>
      </c>
      <c r="K254" s="371">
        <v>3.6</v>
      </c>
      <c r="L254" s="371">
        <v>3.6</v>
      </c>
      <c r="M254" s="371">
        <v>3.6</v>
      </c>
      <c r="N254" s="371">
        <v>3.6</v>
      </c>
      <c r="O254" s="371">
        <v>3.6</v>
      </c>
      <c r="P254" s="371">
        <v>3.6</v>
      </c>
      <c r="Q254" s="371">
        <v>3.6</v>
      </c>
      <c r="R254" s="371">
        <v>3.6</v>
      </c>
      <c r="S254" s="371">
        <v>3.6</v>
      </c>
      <c r="T254" s="371">
        <v>3.6</v>
      </c>
      <c r="U254" s="371">
        <v>3.6</v>
      </c>
      <c r="V254" s="371">
        <v>3.6</v>
      </c>
      <c r="W254" s="371">
        <v>3.6</v>
      </c>
      <c r="X254" s="371">
        <v>3.6</v>
      </c>
      <c r="Y254" s="381">
        <v>1000</v>
      </c>
    </row>
    <row r="255" spans="1:26" x14ac:dyDescent="0.2">
      <c r="A255" s="378" t="s">
        <v>34</v>
      </c>
      <c r="B255" s="372">
        <v>0</v>
      </c>
      <c r="C255" s="373">
        <v>68</v>
      </c>
      <c r="D255" s="373">
        <v>62</v>
      </c>
      <c r="E255" s="373">
        <v>60</v>
      </c>
      <c r="F255" s="373">
        <v>39</v>
      </c>
      <c r="G255" s="373">
        <v>38</v>
      </c>
      <c r="H255" s="373">
        <v>9</v>
      </c>
      <c r="I255" s="373">
        <v>5</v>
      </c>
      <c r="J255" s="373">
        <v>3</v>
      </c>
      <c r="K255" s="373">
        <v>0</v>
      </c>
      <c r="L255" s="373">
        <v>0</v>
      </c>
      <c r="M255" s="373">
        <v>0</v>
      </c>
      <c r="N255" s="373">
        <v>0</v>
      </c>
      <c r="O255" s="373">
        <v>0</v>
      </c>
      <c r="P255" s="373">
        <v>0</v>
      </c>
      <c r="Q255" s="373">
        <v>0</v>
      </c>
      <c r="R255" s="373">
        <v>0</v>
      </c>
      <c r="S255" s="373">
        <v>0</v>
      </c>
      <c r="T255" s="373">
        <v>0</v>
      </c>
      <c r="U255" s="373">
        <v>0</v>
      </c>
      <c r="V255" s="373">
        <v>0</v>
      </c>
      <c r="W255" s="373">
        <v>0</v>
      </c>
      <c r="X255" s="373">
        <v>0</v>
      </c>
      <c r="Y255" s="382">
        <v>0</v>
      </c>
    </row>
    <row r="256" spans="1:26" ht="13.5" thickBot="1" x14ac:dyDescent="0.25">
      <c r="A256" s="379" t="s">
        <v>119</v>
      </c>
      <c r="B256" s="374">
        <f t="shared" ref="B256:V256" si="65">(C255+B255)*(C254-B254)/2</f>
        <v>1.7000000000000002</v>
      </c>
      <c r="C256" s="375">
        <f t="shared" si="65"/>
        <v>3.25</v>
      </c>
      <c r="D256" s="375">
        <f t="shared" si="65"/>
        <v>9.15</v>
      </c>
      <c r="E256" s="375">
        <f t="shared" si="65"/>
        <v>2.4749999999999996</v>
      </c>
      <c r="F256" s="375">
        <f t="shared" si="65"/>
        <v>1.9249999999999996</v>
      </c>
      <c r="G256" s="375">
        <f t="shared" si="65"/>
        <v>2.350000000000001</v>
      </c>
      <c r="H256" s="375">
        <f t="shared" si="65"/>
        <v>0.70000000000000018</v>
      </c>
      <c r="I256" s="375">
        <f t="shared" si="65"/>
        <v>11.8</v>
      </c>
      <c r="J256" s="375">
        <f t="shared" si="65"/>
        <v>0.15000000000000013</v>
      </c>
      <c r="K256" s="375">
        <f t="shared" si="65"/>
        <v>0</v>
      </c>
      <c r="L256" s="375">
        <f t="shared" si="65"/>
        <v>0</v>
      </c>
      <c r="M256" s="375">
        <f t="shared" si="65"/>
        <v>0</v>
      </c>
      <c r="N256" s="375">
        <f t="shared" si="65"/>
        <v>0</v>
      </c>
      <c r="O256" s="375">
        <f t="shared" si="65"/>
        <v>0</v>
      </c>
      <c r="P256" s="375">
        <f t="shared" si="65"/>
        <v>0</v>
      </c>
      <c r="Q256" s="375">
        <f t="shared" si="65"/>
        <v>0</v>
      </c>
      <c r="R256" s="375">
        <f t="shared" si="65"/>
        <v>0</v>
      </c>
      <c r="S256" s="375">
        <f t="shared" si="65"/>
        <v>0</v>
      </c>
      <c r="T256" s="375">
        <f t="shared" si="65"/>
        <v>0</v>
      </c>
      <c r="U256" s="375">
        <f t="shared" si="65"/>
        <v>0</v>
      </c>
      <c r="V256" s="375">
        <f t="shared" si="65"/>
        <v>0</v>
      </c>
      <c r="W256" s="375">
        <f>(X255+W255)*(X254-W254)/2</f>
        <v>0</v>
      </c>
      <c r="X256" s="375">
        <f>(Y255+X255)*(Y254-X254)/2</f>
        <v>0</v>
      </c>
      <c r="Y256" s="369"/>
    </row>
    <row r="257" spans="1:25" ht="13.5" thickBot="1" x14ac:dyDescent="0.25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3.5" thickBot="1" x14ac:dyDescent="0.25">
      <c r="A258" s="361" t="s">
        <v>280</v>
      </c>
      <c r="B258" s="359">
        <f>ROW(A258)</f>
        <v>258</v>
      </c>
      <c r="C258" s="363" t="s">
        <v>118</v>
      </c>
      <c r="D258" s="353">
        <f>SUM(B261:Y261)</f>
        <v>145.46</v>
      </c>
      <c r="E258" s="363" t="s">
        <v>117</v>
      </c>
      <c r="F258" s="354">
        <f>D258/g/J258</f>
        <v>211.82466870540264</v>
      </c>
      <c r="G258" s="363" t="s">
        <v>59</v>
      </c>
      <c r="H258" s="64">
        <v>0.22</v>
      </c>
      <c r="I258" s="363" t="s">
        <v>276</v>
      </c>
      <c r="J258" s="355">
        <f>H258-L258</f>
        <v>7.0000000000000007E-2</v>
      </c>
      <c r="K258" s="363" t="s">
        <v>277</v>
      </c>
      <c r="L258" s="64">
        <v>0.15</v>
      </c>
      <c r="M258" s="363" t="s">
        <v>60</v>
      </c>
      <c r="N258" s="65">
        <v>50</v>
      </c>
      <c r="O258" s="363" t="s">
        <v>62</v>
      </c>
      <c r="P258" s="65">
        <v>55</v>
      </c>
      <c r="Q258" s="363" t="s">
        <v>63</v>
      </c>
      <c r="R258" s="65">
        <v>76</v>
      </c>
      <c r="S258" s="363" t="s">
        <v>64</v>
      </c>
      <c r="T258" s="65">
        <v>40</v>
      </c>
      <c r="U258" s="363" t="s">
        <v>57</v>
      </c>
      <c r="V258" s="66" t="s">
        <v>407</v>
      </c>
      <c r="W258" s="12"/>
      <c r="X258" s="12"/>
      <c r="Y258" s="12"/>
    </row>
    <row r="259" spans="1:25" x14ac:dyDescent="0.2">
      <c r="A259" s="362" t="s">
        <v>33</v>
      </c>
      <c r="B259" s="370">
        <v>0</v>
      </c>
      <c r="C259" s="371">
        <v>0.02</v>
      </c>
      <c r="D259" s="371">
        <v>0.04</v>
      </c>
      <c r="E259" s="371">
        <v>0.05</v>
      </c>
      <c r="F259" s="371">
        <v>0.06</v>
      </c>
      <c r="G259" s="371">
        <v>0.94</v>
      </c>
      <c r="H259" s="377">
        <v>0.94200000000000006</v>
      </c>
      <c r="I259" s="371">
        <v>0.95</v>
      </c>
      <c r="J259" s="371">
        <v>0.95</v>
      </c>
      <c r="K259" s="371">
        <v>0.95</v>
      </c>
      <c r="L259" s="371">
        <v>0.95</v>
      </c>
      <c r="M259" s="371">
        <v>0.95</v>
      </c>
      <c r="N259" s="371">
        <v>0.95</v>
      </c>
      <c r="O259" s="371">
        <v>0.95</v>
      </c>
      <c r="P259" s="371">
        <v>0.95</v>
      </c>
      <c r="Q259" s="371">
        <v>0.95</v>
      </c>
      <c r="R259" s="371">
        <v>0.95</v>
      </c>
      <c r="S259" s="371">
        <v>0.95</v>
      </c>
      <c r="T259" s="371">
        <v>0.95</v>
      </c>
      <c r="U259" s="371">
        <v>0.95</v>
      </c>
      <c r="V259" s="371">
        <v>0.95</v>
      </c>
      <c r="W259" s="371">
        <v>0.95</v>
      </c>
      <c r="X259" s="371">
        <v>2</v>
      </c>
      <c r="Y259" s="381">
        <v>1000</v>
      </c>
    </row>
    <row r="260" spans="1:25" x14ac:dyDescent="0.2">
      <c r="A260" s="378" t="s">
        <v>34</v>
      </c>
      <c r="B260" s="372">
        <v>0</v>
      </c>
      <c r="C260" s="373">
        <v>320</v>
      </c>
      <c r="D260" s="373">
        <v>170</v>
      </c>
      <c r="E260" s="373">
        <v>205</v>
      </c>
      <c r="F260" s="373">
        <v>217</v>
      </c>
      <c r="G260" s="373">
        <v>85</v>
      </c>
      <c r="H260" s="373">
        <v>82</v>
      </c>
      <c r="I260" s="373">
        <v>0</v>
      </c>
      <c r="J260" s="373">
        <v>0</v>
      </c>
      <c r="K260" s="373">
        <v>0</v>
      </c>
      <c r="L260" s="373">
        <v>0</v>
      </c>
      <c r="M260" s="373">
        <v>0</v>
      </c>
      <c r="N260" s="373">
        <v>0</v>
      </c>
      <c r="O260" s="373">
        <v>0</v>
      </c>
      <c r="P260" s="373">
        <v>0</v>
      </c>
      <c r="Q260" s="373">
        <v>0</v>
      </c>
      <c r="R260" s="373">
        <v>0</v>
      </c>
      <c r="S260" s="373">
        <v>0</v>
      </c>
      <c r="T260" s="373">
        <v>0</v>
      </c>
      <c r="U260" s="373">
        <v>0</v>
      </c>
      <c r="V260" s="373">
        <v>0</v>
      </c>
      <c r="W260" s="373">
        <v>0</v>
      </c>
      <c r="X260" s="373">
        <v>0</v>
      </c>
      <c r="Y260" s="382">
        <v>0</v>
      </c>
    </row>
    <row r="261" spans="1:25" ht="13.5" thickBot="1" x14ac:dyDescent="0.25">
      <c r="A261" s="379" t="s">
        <v>119</v>
      </c>
      <c r="B261" s="374">
        <f t="shared" ref="B261:H261" si="66">(C260+B260)*(C259-B259)/2</f>
        <v>3.2</v>
      </c>
      <c r="C261" s="375">
        <f t="shared" si="66"/>
        <v>4.9000000000000004</v>
      </c>
      <c r="D261" s="375">
        <f t="shared" si="66"/>
        <v>1.8750000000000004</v>
      </c>
      <c r="E261" s="375">
        <f t="shared" si="66"/>
        <v>2.109999999999999</v>
      </c>
      <c r="F261" s="375">
        <f t="shared" si="66"/>
        <v>132.88</v>
      </c>
      <c r="G261" s="375">
        <f t="shared" si="66"/>
        <v>0.16700000000000942</v>
      </c>
      <c r="H261" s="375">
        <f t="shared" si="66"/>
        <v>0.32799999999999574</v>
      </c>
      <c r="I261" s="375">
        <f t="shared" ref="I261:V261" si="67">(J260+I260)*(J259-I259)/2</f>
        <v>0</v>
      </c>
      <c r="J261" s="375">
        <f>(K260+J260)*(K259-J259)/2</f>
        <v>0</v>
      </c>
      <c r="K261" s="375">
        <f t="shared" si="67"/>
        <v>0</v>
      </c>
      <c r="L261" s="375">
        <f t="shared" si="67"/>
        <v>0</v>
      </c>
      <c r="M261" s="375">
        <f t="shared" si="67"/>
        <v>0</v>
      </c>
      <c r="N261" s="375">
        <f t="shared" si="67"/>
        <v>0</v>
      </c>
      <c r="O261" s="375">
        <f t="shared" si="67"/>
        <v>0</v>
      </c>
      <c r="P261" s="375">
        <f t="shared" si="67"/>
        <v>0</v>
      </c>
      <c r="Q261" s="375">
        <f t="shared" si="67"/>
        <v>0</v>
      </c>
      <c r="R261" s="375">
        <f t="shared" si="67"/>
        <v>0</v>
      </c>
      <c r="S261" s="375">
        <f>(T260+S260)*(T259-S259)/2</f>
        <v>0</v>
      </c>
      <c r="T261" s="375">
        <f t="shared" si="67"/>
        <v>0</v>
      </c>
      <c r="U261" s="375">
        <f t="shared" si="67"/>
        <v>0</v>
      </c>
      <c r="V261" s="375">
        <f t="shared" si="67"/>
        <v>0</v>
      </c>
      <c r="W261" s="375">
        <f>(X260+W260)*(X259-W259)/2</f>
        <v>0</v>
      </c>
      <c r="X261" s="375">
        <f>(Y260+X260)*(Y259-X259)/2</f>
        <v>0</v>
      </c>
      <c r="Y261" s="369"/>
    </row>
    <row r="262" spans="1:25" x14ac:dyDescent="0.2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3.5" thickBot="1" x14ac:dyDescent="0.25">
      <c r="A263" s="6" t="s">
        <v>318</v>
      </c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3.5" thickBot="1" x14ac:dyDescent="0.25">
      <c r="A264" s="361" t="s">
        <v>35</v>
      </c>
      <c r="B264" s="359">
        <f>ROW(A264)</f>
        <v>264</v>
      </c>
      <c r="C264" s="363" t="s">
        <v>118</v>
      </c>
      <c r="D264" s="353">
        <f>SUM(B267:Y267)</f>
        <v>1071.5999999999999</v>
      </c>
      <c r="E264" s="363" t="s">
        <v>117</v>
      </c>
      <c r="F264" s="354">
        <f>D264/g/J264</f>
        <v>163.03802090465106</v>
      </c>
      <c r="G264" s="363" t="s">
        <v>59</v>
      </c>
      <c r="H264" s="64">
        <v>2.02</v>
      </c>
      <c r="I264" s="363" t="s">
        <v>276</v>
      </c>
      <c r="J264" s="355">
        <f>H264-L264</f>
        <v>0.66999999999999993</v>
      </c>
      <c r="K264" s="363" t="s">
        <v>277</v>
      </c>
      <c r="L264" s="64">
        <v>1.35</v>
      </c>
      <c r="M264" s="363" t="s">
        <v>60</v>
      </c>
      <c r="N264" s="65">
        <v>154</v>
      </c>
      <c r="O264" s="363" t="s">
        <v>62</v>
      </c>
      <c r="P264" s="65">
        <v>168</v>
      </c>
      <c r="Q264" s="363" t="s">
        <v>63</v>
      </c>
      <c r="R264" s="65">
        <v>230</v>
      </c>
      <c r="S264" s="363" t="s">
        <v>64</v>
      </c>
      <c r="T264" s="65">
        <v>67</v>
      </c>
      <c r="U264" s="363" t="s">
        <v>57</v>
      </c>
      <c r="V264" s="66" t="s">
        <v>121</v>
      </c>
      <c r="W264" s="12"/>
      <c r="X264" s="12"/>
      <c r="Y264" s="12"/>
    </row>
    <row r="265" spans="1:25" x14ac:dyDescent="0.2">
      <c r="A265" s="362" t="s">
        <v>33</v>
      </c>
      <c r="B265" s="370">
        <v>0</v>
      </c>
      <c r="C265" s="371">
        <v>0.02</v>
      </c>
      <c r="D265" s="371">
        <v>0.05</v>
      </c>
      <c r="E265" s="371">
        <v>0.06</v>
      </c>
      <c r="F265" s="371">
        <v>0.09</v>
      </c>
      <c r="G265" s="371">
        <v>0.17</v>
      </c>
      <c r="H265" s="371">
        <v>0.2</v>
      </c>
      <c r="I265" s="371">
        <v>0.38</v>
      </c>
      <c r="J265" s="371">
        <v>0.75</v>
      </c>
      <c r="K265" s="371">
        <v>0.79</v>
      </c>
      <c r="L265" s="371">
        <v>1.1299999999999999</v>
      </c>
      <c r="M265" s="371">
        <v>1.2</v>
      </c>
      <c r="N265" s="371">
        <v>1.5</v>
      </c>
      <c r="O265" s="371">
        <v>1.54</v>
      </c>
      <c r="P265" s="371">
        <v>1.65</v>
      </c>
      <c r="Q265" s="371">
        <v>1.7</v>
      </c>
      <c r="R265" s="371">
        <v>1.79</v>
      </c>
      <c r="S265" s="371">
        <v>1.79</v>
      </c>
      <c r="T265" s="371">
        <v>1.79</v>
      </c>
      <c r="U265" s="371">
        <v>1.79</v>
      </c>
      <c r="V265" s="371">
        <v>1.79</v>
      </c>
      <c r="W265" s="371">
        <v>1.79</v>
      </c>
      <c r="X265" s="371">
        <v>1.79</v>
      </c>
      <c r="Y265" s="381">
        <v>1000</v>
      </c>
    </row>
    <row r="266" spans="1:25" x14ac:dyDescent="0.2">
      <c r="A266" s="378" t="s">
        <v>34</v>
      </c>
      <c r="B266" s="372">
        <v>0</v>
      </c>
      <c r="C266" s="373">
        <v>20</v>
      </c>
      <c r="D266" s="373">
        <v>870</v>
      </c>
      <c r="E266" s="373">
        <v>530</v>
      </c>
      <c r="F266" s="373">
        <v>790</v>
      </c>
      <c r="G266" s="373">
        <v>700</v>
      </c>
      <c r="H266" s="373">
        <v>710</v>
      </c>
      <c r="I266" s="373">
        <v>670</v>
      </c>
      <c r="J266" s="373">
        <v>630</v>
      </c>
      <c r="K266" s="373">
        <v>630</v>
      </c>
      <c r="L266" s="373">
        <v>710</v>
      </c>
      <c r="M266" s="373">
        <v>690</v>
      </c>
      <c r="N266" s="373">
        <v>690</v>
      </c>
      <c r="O266" s="373">
        <v>660</v>
      </c>
      <c r="P266" s="373">
        <v>160</v>
      </c>
      <c r="Q266" s="373">
        <v>10</v>
      </c>
      <c r="R266" s="373">
        <v>0</v>
      </c>
      <c r="S266" s="373">
        <v>0</v>
      </c>
      <c r="T266" s="373">
        <v>0</v>
      </c>
      <c r="U266" s="373">
        <v>0</v>
      </c>
      <c r="V266" s="373">
        <v>0</v>
      </c>
      <c r="W266" s="373">
        <v>0</v>
      </c>
      <c r="X266" s="373">
        <v>0</v>
      </c>
      <c r="Y266" s="382">
        <v>0</v>
      </c>
    </row>
    <row r="267" spans="1:25" ht="13.5" thickBot="1" x14ac:dyDescent="0.25">
      <c r="A267" s="379" t="s">
        <v>119</v>
      </c>
      <c r="B267" s="374">
        <f t="shared" ref="B267:Q267" si="68">(C266+B266)*(C265-B265)/2</f>
        <v>0.2</v>
      </c>
      <c r="C267" s="375">
        <f t="shared" si="68"/>
        <v>13.350000000000001</v>
      </c>
      <c r="D267" s="375">
        <f t="shared" si="68"/>
        <v>6.9999999999999964</v>
      </c>
      <c r="E267" s="375">
        <f t="shared" si="68"/>
        <v>19.8</v>
      </c>
      <c r="F267" s="375">
        <f t="shared" si="68"/>
        <v>59.600000000000009</v>
      </c>
      <c r="G267" s="375">
        <f t="shared" si="68"/>
        <v>21.15</v>
      </c>
      <c r="H267" s="375">
        <f t="shared" si="68"/>
        <v>124.19999999999999</v>
      </c>
      <c r="I267" s="375">
        <f t="shared" si="68"/>
        <v>240.5</v>
      </c>
      <c r="J267" s="375">
        <f>(K266+J266)*(K265-J265)/2</f>
        <v>25.200000000000024</v>
      </c>
      <c r="K267" s="375">
        <f t="shared" si="68"/>
        <v>227.7999999999999</v>
      </c>
      <c r="L267" s="375">
        <f t="shared" si="68"/>
        <v>49.000000000000043</v>
      </c>
      <c r="M267" s="375">
        <f t="shared" si="68"/>
        <v>207.00000000000003</v>
      </c>
      <c r="N267" s="375">
        <f t="shared" si="68"/>
        <v>27.000000000000025</v>
      </c>
      <c r="O267" s="375">
        <f t="shared" si="68"/>
        <v>45.099999999999952</v>
      </c>
      <c r="P267" s="375">
        <f t="shared" si="68"/>
        <v>4.2500000000000036</v>
      </c>
      <c r="Q267" s="375">
        <f t="shared" si="68"/>
        <v>0.4500000000000004</v>
      </c>
      <c r="R267" s="375">
        <f t="shared" ref="R267:X267" si="69">(S266+R266)*(S265-R265)/2</f>
        <v>0</v>
      </c>
      <c r="S267" s="375">
        <f t="shared" si="69"/>
        <v>0</v>
      </c>
      <c r="T267" s="375">
        <f t="shared" si="69"/>
        <v>0</v>
      </c>
      <c r="U267" s="375">
        <f t="shared" si="69"/>
        <v>0</v>
      </c>
      <c r="V267" s="375">
        <f t="shared" si="69"/>
        <v>0</v>
      </c>
      <c r="W267" s="375">
        <f t="shared" si="69"/>
        <v>0</v>
      </c>
      <c r="X267" s="375">
        <f t="shared" si="69"/>
        <v>0</v>
      </c>
      <c r="Y267" s="383"/>
    </row>
    <row r="268" spans="1:25" ht="13.5" thickBot="1" x14ac:dyDescent="0.25">
      <c r="S268" s="12"/>
      <c r="T268" s="12"/>
      <c r="U268" s="12"/>
      <c r="V268" s="12"/>
      <c r="W268" s="12"/>
      <c r="X268" s="12"/>
      <c r="Y268" s="12"/>
    </row>
    <row r="269" spans="1:25" ht="13.5" thickBot="1" x14ac:dyDescent="0.25">
      <c r="A269" s="361" t="s">
        <v>36</v>
      </c>
      <c r="B269" s="359">
        <f>ROW(A269)</f>
        <v>269</v>
      </c>
      <c r="C269" s="363" t="s">
        <v>118</v>
      </c>
      <c r="D269" s="353">
        <f>SUM(B272:Y272)</f>
        <v>2102.35</v>
      </c>
      <c r="E269" s="363" t="s">
        <v>117</v>
      </c>
      <c r="F269" s="354">
        <f>D269/g/J269</f>
        <v>174.23319493133766</v>
      </c>
      <c r="G269" s="363" t="s">
        <v>59</v>
      </c>
      <c r="H269" s="64">
        <v>3.7</v>
      </c>
      <c r="I269" s="363" t="s">
        <v>276</v>
      </c>
      <c r="J269" s="355">
        <f>H269-L269</f>
        <v>1.23</v>
      </c>
      <c r="K269" s="363" t="s">
        <v>277</v>
      </c>
      <c r="L269" s="64">
        <v>2.4700000000000002</v>
      </c>
      <c r="M269" s="363" t="s">
        <v>60</v>
      </c>
      <c r="N269" s="65">
        <v>151</v>
      </c>
      <c r="O269" s="363" t="s">
        <v>62</v>
      </c>
      <c r="P269" s="65">
        <v>171</v>
      </c>
      <c r="Q269" s="363" t="s">
        <v>63</v>
      </c>
      <c r="R269" s="65">
        <v>247</v>
      </c>
      <c r="S269" s="363" t="s">
        <v>64</v>
      </c>
      <c r="T269" s="65">
        <v>90</v>
      </c>
      <c r="U269" s="363" t="s">
        <v>57</v>
      </c>
      <c r="V269" s="66" t="s">
        <v>121</v>
      </c>
      <c r="W269" s="12"/>
      <c r="X269" s="12"/>
      <c r="Y269" s="12"/>
    </row>
    <row r="270" spans="1:25" x14ac:dyDescent="0.2">
      <c r="A270" s="362" t="s">
        <v>33</v>
      </c>
      <c r="B270" s="370">
        <v>0</v>
      </c>
      <c r="C270" s="371">
        <v>0.05</v>
      </c>
      <c r="D270" s="371">
        <v>0.1</v>
      </c>
      <c r="E270" s="371">
        <v>1</v>
      </c>
      <c r="F270" s="371">
        <v>1.35</v>
      </c>
      <c r="G270" s="371">
        <v>1.75</v>
      </c>
      <c r="H270" s="371">
        <v>2.15</v>
      </c>
      <c r="I270" s="371">
        <v>2.25</v>
      </c>
      <c r="J270" s="371">
        <v>2.48</v>
      </c>
      <c r="K270" s="371">
        <v>2.6</v>
      </c>
      <c r="L270" s="371">
        <v>2.8</v>
      </c>
      <c r="M270" s="371">
        <v>2.8</v>
      </c>
      <c r="N270" s="371">
        <v>2.8</v>
      </c>
      <c r="O270" s="371">
        <v>2.8</v>
      </c>
      <c r="P270" s="371">
        <v>2.8</v>
      </c>
      <c r="Q270" s="371">
        <v>2.8</v>
      </c>
      <c r="R270" s="371">
        <v>2.8</v>
      </c>
      <c r="S270" s="371">
        <v>2.8</v>
      </c>
      <c r="T270" s="371">
        <v>2.8</v>
      </c>
      <c r="U270" s="371">
        <v>2.8</v>
      </c>
      <c r="V270" s="371">
        <v>2.8</v>
      </c>
      <c r="W270" s="371">
        <v>2.8</v>
      </c>
      <c r="X270" s="371">
        <v>2.8</v>
      </c>
      <c r="Y270" s="381">
        <v>1000</v>
      </c>
    </row>
    <row r="271" spans="1:25" x14ac:dyDescent="0.2">
      <c r="A271" s="378" t="s">
        <v>34</v>
      </c>
      <c r="B271" s="372">
        <v>0</v>
      </c>
      <c r="C271" s="373">
        <v>860</v>
      </c>
      <c r="D271" s="373">
        <v>840</v>
      </c>
      <c r="E271" s="373">
        <v>840</v>
      </c>
      <c r="F271" s="373">
        <v>850</v>
      </c>
      <c r="G271" s="373">
        <v>900</v>
      </c>
      <c r="H271" s="373">
        <v>1050</v>
      </c>
      <c r="I271" s="373">
        <v>1020</v>
      </c>
      <c r="J271" s="373">
        <v>120</v>
      </c>
      <c r="K271" s="373">
        <v>30</v>
      </c>
      <c r="L271" s="373">
        <v>0</v>
      </c>
      <c r="M271" s="373">
        <v>0</v>
      </c>
      <c r="N271" s="373">
        <v>0</v>
      </c>
      <c r="O271" s="373">
        <v>0</v>
      </c>
      <c r="P271" s="373">
        <v>0</v>
      </c>
      <c r="Q271" s="373">
        <v>0</v>
      </c>
      <c r="R271" s="373">
        <v>0</v>
      </c>
      <c r="S271" s="373">
        <v>0</v>
      </c>
      <c r="T271" s="373">
        <v>0</v>
      </c>
      <c r="U271" s="373">
        <v>0</v>
      </c>
      <c r="V271" s="373">
        <v>0</v>
      </c>
      <c r="W271" s="373">
        <v>0</v>
      </c>
      <c r="X271" s="373">
        <v>0</v>
      </c>
      <c r="Y271" s="382">
        <v>0</v>
      </c>
    </row>
    <row r="272" spans="1:25" ht="13.5" thickBot="1" x14ac:dyDescent="0.25">
      <c r="A272" s="379" t="s">
        <v>119</v>
      </c>
      <c r="B272" s="374">
        <f t="shared" ref="B272:K272" si="70">(C271+B271)*(C270-B270)/2</f>
        <v>21.5</v>
      </c>
      <c r="C272" s="375">
        <f t="shared" si="70"/>
        <v>42.5</v>
      </c>
      <c r="D272" s="375">
        <f t="shared" si="70"/>
        <v>756</v>
      </c>
      <c r="E272" s="375">
        <f t="shared" si="70"/>
        <v>295.75000000000006</v>
      </c>
      <c r="F272" s="375">
        <f t="shared" si="70"/>
        <v>349.99999999999994</v>
      </c>
      <c r="G272" s="375">
        <f t="shared" si="70"/>
        <v>389.99999999999989</v>
      </c>
      <c r="H272" s="375">
        <f t="shared" si="70"/>
        <v>103.50000000000009</v>
      </c>
      <c r="I272" s="375">
        <f t="shared" si="70"/>
        <v>131.1</v>
      </c>
      <c r="J272" s="375">
        <f>(K271+J271)*(K270-J270)/2</f>
        <v>9.0000000000000071</v>
      </c>
      <c r="K272" s="375">
        <f t="shared" si="70"/>
        <v>2.999999999999996</v>
      </c>
      <c r="L272" s="375">
        <f t="shared" ref="L272:V272" si="71">(M271+L271)*(M270-L270)/2</f>
        <v>0</v>
      </c>
      <c r="M272" s="375">
        <f t="shared" si="71"/>
        <v>0</v>
      </c>
      <c r="N272" s="375">
        <f t="shared" si="71"/>
        <v>0</v>
      </c>
      <c r="O272" s="375">
        <f t="shared" si="71"/>
        <v>0</v>
      </c>
      <c r="P272" s="375">
        <f t="shared" si="71"/>
        <v>0</v>
      </c>
      <c r="Q272" s="375">
        <f t="shared" si="71"/>
        <v>0</v>
      </c>
      <c r="R272" s="375">
        <f t="shared" si="71"/>
        <v>0</v>
      </c>
      <c r="S272" s="375">
        <f>(T271+S271)*(T270-S270)/2</f>
        <v>0</v>
      </c>
      <c r="T272" s="375">
        <f t="shared" si="71"/>
        <v>0</v>
      </c>
      <c r="U272" s="375">
        <f t="shared" si="71"/>
        <v>0</v>
      </c>
      <c r="V272" s="375">
        <f t="shared" si="71"/>
        <v>0</v>
      </c>
      <c r="W272" s="375">
        <f>(X271+W271)*(X270-W270)/2</f>
        <v>0</v>
      </c>
      <c r="X272" s="375">
        <f>(Y271+X271)*(Y270-X270)/2</f>
        <v>0</v>
      </c>
      <c r="Y272" s="369"/>
    </row>
    <row r="273" spans="1:25" ht="13.5" thickBot="1" x14ac:dyDescent="0.25"/>
    <row r="274" spans="1:25" ht="13.5" thickBot="1" x14ac:dyDescent="0.25">
      <c r="A274" s="361" t="s">
        <v>45</v>
      </c>
      <c r="B274" s="359">
        <f>ROW(A274)</f>
        <v>274</v>
      </c>
      <c r="C274" s="363" t="s">
        <v>118</v>
      </c>
      <c r="D274" s="353">
        <f>SUM(B277:Y277)</f>
        <v>2058.37</v>
      </c>
      <c r="E274" s="363" t="s">
        <v>117</v>
      </c>
      <c r="F274" s="354">
        <f>D274/g/J274</f>
        <v>203.12066731598335</v>
      </c>
      <c r="G274" s="363" t="s">
        <v>59</v>
      </c>
      <c r="H274" s="64">
        <v>1.6850000000000001</v>
      </c>
      <c r="I274" s="363" t="s">
        <v>276</v>
      </c>
      <c r="J274" s="355">
        <f>H274-L274</f>
        <v>1.0329999999999999</v>
      </c>
      <c r="K274" s="363" t="s">
        <v>277</v>
      </c>
      <c r="L274" s="64">
        <v>0.65200000000000002</v>
      </c>
      <c r="M274" s="363" t="s">
        <v>60</v>
      </c>
      <c r="N274" s="65">
        <v>250</v>
      </c>
      <c r="O274" s="363" t="s">
        <v>62</v>
      </c>
      <c r="P274" s="65">
        <v>240</v>
      </c>
      <c r="Q274" s="363" t="s">
        <v>63</v>
      </c>
      <c r="R274" s="65">
        <v>488</v>
      </c>
      <c r="S274" s="363" t="s">
        <v>64</v>
      </c>
      <c r="T274" s="65">
        <v>54</v>
      </c>
      <c r="U274" s="363" t="s">
        <v>57</v>
      </c>
      <c r="V274" s="66" t="s">
        <v>121</v>
      </c>
      <c r="W274" s="12"/>
      <c r="X274" s="12"/>
      <c r="Y274" s="12"/>
    </row>
    <row r="275" spans="1:25" x14ac:dyDescent="0.2">
      <c r="A275" s="362" t="s">
        <v>33</v>
      </c>
      <c r="B275" s="370">
        <v>0</v>
      </c>
      <c r="C275" s="371">
        <v>0.05</v>
      </c>
      <c r="D275" s="371">
        <v>0.5</v>
      </c>
      <c r="E275" s="371">
        <v>1</v>
      </c>
      <c r="F275" s="371">
        <v>1.5</v>
      </c>
      <c r="G275" s="371">
        <v>2</v>
      </c>
      <c r="H275" s="371">
        <v>2.5</v>
      </c>
      <c r="I275" s="371">
        <v>2.97</v>
      </c>
      <c r="J275" s="371">
        <v>3.2</v>
      </c>
      <c r="K275" s="371">
        <v>3.47</v>
      </c>
      <c r="L275" s="371">
        <v>3.59</v>
      </c>
      <c r="M275" s="371">
        <v>3.59</v>
      </c>
      <c r="N275" s="371">
        <v>3.59</v>
      </c>
      <c r="O275" s="371">
        <v>3.59</v>
      </c>
      <c r="P275" s="371">
        <v>3.59</v>
      </c>
      <c r="Q275" s="371">
        <v>3.59</v>
      </c>
      <c r="R275" s="371">
        <v>3.59</v>
      </c>
      <c r="S275" s="371">
        <v>3.59</v>
      </c>
      <c r="T275" s="371">
        <v>3.59</v>
      </c>
      <c r="U275" s="371">
        <v>3.59</v>
      </c>
      <c r="V275" s="371">
        <v>3.59</v>
      </c>
      <c r="W275" s="371">
        <v>3.59</v>
      </c>
      <c r="X275" s="371">
        <v>3.59</v>
      </c>
      <c r="Y275" s="381">
        <v>1000</v>
      </c>
    </row>
    <row r="276" spans="1:25" x14ac:dyDescent="0.2">
      <c r="A276" s="378" t="s">
        <v>34</v>
      </c>
      <c r="B276" s="372">
        <v>0</v>
      </c>
      <c r="C276" s="373">
        <v>893</v>
      </c>
      <c r="D276" s="373">
        <v>798</v>
      </c>
      <c r="E276" s="373">
        <v>739</v>
      </c>
      <c r="F276" s="373">
        <v>659</v>
      </c>
      <c r="G276" s="373">
        <v>586</v>
      </c>
      <c r="H276" s="373">
        <v>513</v>
      </c>
      <c r="I276" s="373">
        <v>417</v>
      </c>
      <c r="J276" s="373">
        <v>225</v>
      </c>
      <c r="K276" s="373">
        <v>67</v>
      </c>
      <c r="L276" s="373">
        <v>0</v>
      </c>
      <c r="M276" s="373">
        <v>0</v>
      </c>
      <c r="N276" s="373">
        <v>0</v>
      </c>
      <c r="O276" s="373">
        <v>0</v>
      </c>
      <c r="P276" s="373">
        <v>0</v>
      </c>
      <c r="Q276" s="373">
        <v>0</v>
      </c>
      <c r="R276" s="373">
        <v>0</v>
      </c>
      <c r="S276" s="373">
        <v>0</v>
      </c>
      <c r="T276" s="373">
        <v>0</v>
      </c>
      <c r="U276" s="373">
        <v>0</v>
      </c>
      <c r="V276" s="373">
        <v>0</v>
      </c>
      <c r="W276" s="373">
        <v>0</v>
      </c>
      <c r="X276" s="373">
        <v>0</v>
      </c>
      <c r="Y276" s="382">
        <v>0</v>
      </c>
    </row>
    <row r="277" spans="1:25" ht="13.5" thickBot="1" x14ac:dyDescent="0.25">
      <c r="A277" s="380" t="s">
        <v>119</v>
      </c>
      <c r="B277" s="374">
        <f t="shared" ref="B277:V277" si="72">(C276+B276)*(C275-B275)/2</f>
        <v>22.325000000000003</v>
      </c>
      <c r="C277" s="375">
        <f t="shared" si="72"/>
        <v>380.47500000000002</v>
      </c>
      <c r="D277" s="375">
        <f t="shared" si="72"/>
        <v>384.25</v>
      </c>
      <c r="E277" s="375">
        <f t="shared" si="72"/>
        <v>349.5</v>
      </c>
      <c r="F277" s="375">
        <f t="shared" si="72"/>
        <v>311.25</v>
      </c>
      <c r="G277" s="375">
        <f t="shared" si="72"/>
        <v>274.75</v>
      </c>
      <c r="H277" s="375">
        <f t="shared" si="72"/>
        <v>218.5500000000001</v>
      </c>
      <c r="I277" s="375">
        <f t="shared" si="72"/>
        <v>73.83</v>
      </c>
      <c r="J277" s="375">
        <f>(K276+J276)*(K275-J275)/2</f>
        <v>39.42</v>
      </c>
      <c r="K277" s="375">
        <f t="shared" si="72"/>
        <v>4.0199999999999889</v>
      </c>
      <c r="L277" s="375">
        <f t="shared" si="72"/>
        <v>0</v>
      </c>
      <c r="M277" s="375">
        <f t="shared" si="72"/>
        <v>0</v>
      </c>
      <c r="N277" s="375">
        <f t="shared" si="72"/>
        <v>0</v>
      </c>
      <c r="O277" s="375">
        <f t="shared" si="72"/>
        <v>0</v>
      </c>
      <c r="P277" s="375">
        <f t="shared" si="72"/>
        <v>0</v>
      </c>
      <c r="Q277" s="375">
        <f t="shared" si="72"/>
        <v>0</v>
      </c>
      <c r="R277" s="375">
        <f t="shared" si="72"/>
        <v>0</v>
      </c>
      <c r="S277" s="375">
        <f>(T276+S276)*(T275-S275)/2</f>
        <v>0</v>
      </c>
      <c r="T277" s="375">
        <f t="shared" si="72"/>
        <v>0</v>
      </c>
      <c r="U277" s="375">
        <f t="shared" si="72"/>
        <v>0</v>
      </c>
      <c r="V277" s="375">
        <f t="shared" si="72"/>
        <v>0</v>
      </c>
      <c r="W277" s="375">
        <f>(X276+W276)*(X275-W275)/2</f>
        <v>0</v>
      </c>
      <c r="X277" s="375">
        <f>(Y276+X276)*(Y275-X275)/2</f>
        <v>0</v>
      </c>
      <c r="Y277" s="369"/>
    </row>
    <row r="278" spans="1:25" ht="13.5" thickBot="1" x14ac:dyDescent="0.25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13.5" thickBot="1" x14ac:dyDescent="0.25">
      <c r="A279" s="361" t="s">
        <v>37</v>
      </c>
      <c r="B279" s="359">
        <f>ROW(A279)</f>
        <v>279</v>
      </c>
      <c r="C279" s="363" t="s">
        <v>118</v>
      </c>
      <c r="D279" s="353">
        <f>SUM(B282:Y282)</f>
        <v>2486.041999999999</v>
      </c>
      <c r="E279" s="363" t="s">
        <v>117</v>
      </c>
      <c r="F279" s="354">
        <f>D279/g/J279</f>
        <v>199.54264891200521</v>
      </c>
      <c r="G279" s="363" t="s">
        <v>59</v>
      </c>
      <c r="H279" s="64">
        <v>2.59</v>
      </c>
      <c r="I279" s="363" t="s">
        <v>276</v>
      </c>
      <c r="J279" s="355">
        <f>H279-L279</f>
        <v>1.2699999999999998</v>
      </c>
      <c r="K279" s="363" t="s">
        <v>277</v>
      </c>
      <c r="L279" s="64">
        <v>1.32</v>
      </c>
      <c r="M279" s="363" t="s">
        <v>60</v>
      </c>
      <c r="N279" s="65">
        <v>175</v>
      </c>
      <c r="O279" s="363" t="s">
        <v>62</v>
      </c>
      <c r="P279" s="65">
        <v>175</v>
      </c>
      <c r="Q279" s="363" t="s">
        <v>63</v>
      </c>
      <c r="R279" s="65">
        <v>350</v>
      </c>
      <c r="S279" s="363" t="s">
        <v>64</v>
      </c>
      <c r="T279" s="65">
        <v>75</v>
      </c>
      <c r="U279" s="363" t="s">
        <v>57</v>
      </c>
      <c r="V279" s="66" t="s">
        <v>121</v>
      </c>
      <c r="W279" s="12"/>
      <c r="X279" s="12"/>
      <c r="Y279" s="12"/>
    </row>
    <row r="280" spans="1:25" x14ac:dyDescent="0.2">
      <c r="A280" s="362" t="s">
        <v>33</v>
      </c>
      <c r="B280" s="370">
        <v>0</v>
      </c>
      <c r="C280" s="371">
        <v>0.04</v>
      </c>
      <c r="D280" s="371">
        <v>7.0000000000000007E-2</v>
      </c>
      <c r="E280" s="371">
        <v>0.1</v>
      </c>
      <c r="F280" s="371">
        <v>0.21</v>
      </c>
      <c r="G280" s="371">
        <v>0.35</v>
      </c>
      <c r="H280" s="371">
        <v>0.53</v>
      </c>
      <c r="I280" s="371">
        <v>0.82</v>
      </c>
      <c r="J280" s="371">
        <v>1.18</v>
      </c>
      <c r="K280" s="371">
        <v>1.72</v>
      </c>
      <c r="L280" s="371">
        <v>2.15</v>
      </c>
      <c r="M280" s="371">
        <v>2.39</v>
      </c>
      <c r="N280" s="371">
        <v>2.9</v>
      </c>
      <c r="O280" s="371">
        <v>3.07</v>
      </c>
      <c r="P280" s="371">
        <v>3.56</v>
      </c>
      <c r="Q280" s="371">
        <v>3.98</v>
      </c>
      <c r="R280" s="371">
        <v>4.32</v>
      </c>
      <c r="S280" s="371">
        <v>4.4800000000000004</v>
      </c>
      <c r="T280" s="371">
        <v>4.5999999999999996</v>
      </c>
      <c r="U280" s="371">
        <v>4.6500000000000004</v>
      </c>
      <c r="V280" s="371">
        <v>4.8</v>
      </c>
      <c r="W280" s="371">
        <v>4.83</v>
      </c>
      <c r="X280" s="371">
        <v>4.84</v>
      </c>
      <c r="Y280" s="381">
        <v>1000</v>
      </c>
    </row>
    <row r="281" spans="1:25" x14ac:dyDescent="0.2">
      <c r="A281" s="378" t="s">
        <v>34</v>
      </c>
      <c r="B281" s="372">
        <v>0</v>
      </c>
      <c r="C281" s="373">
        <v>394.4</v>
      </c>
      <c r="D281" s="373">
        <v>617.70000000000005</v>
      </c>
      <c r="E281" s="373">
        <v>645.1</v>
      </c>
      <c r="F281" s="373">
        <v>658.2</v>
      </c>
      <c r="G281" s="373">
        <v>669.2</v>
      </c>
      <c r="H281" s="373">
        <v>667.7</v>
      </c>
      <c r="I281" s="373">
        <v>661.6</v>
      </c>
      <c r="J281" s="373">
        <v>626.9</v>
      </c>
      <c r="K281" s="373">
        <v>588.5</v>
      </c>
      <c r="L281" s="373">
        <v>557.70000000000005</v>
      </c>
      <c r="M281" s="373">
        <v>542.29999999999995</v>
      </c>
      <c r="N281" s="373">
        <v>492.9</v>
      </c>
      <c r="O281" s="373">
        <v>470.3</v>
      </c>
      <c r="P281" s="373">
        <v>426.8</v>
      </c>
      <c r="Q281" s="373">
        <v>399</v>
      </c>
      <c r="R281" s="373">
        <v>394</v>
      </c>
      <c r="S281" s="373">
        <v>380.6</v>
      </c>
      <c r="T281" s="373">
        <v>364.2</v>
      </c>
      <c r="U281" s="373">
        <v>290.89999999999998</v>
      </c>
      <c r="V281" s="373">
        <v>91.2</v>
      </c>
      <c r="W281" s="373">
        <v>45.8</v>
      </c>
      <c r="X281" s="373">
        <v>0</v>
      </c>
      <c r="Y281" s="382">
        <v>0</v>
      </c>
    </row>
    <row r="282" spans="1:25" ht="13.5" thickBot="1" x14ac:dyDescent="0.25">
      <c r="A282" s="379" t="s">
        <v>119</v>
      </c>
      <c r="B282" s="374">
        <f t="shared" ref="B282:V282" si="73">(C281+B281)*(C280-B280)/2</f>
        <v>7.8879999999999999</v>
      </c>
      <c r="C282" s="375">
        <f t="shared" si="73"/>
        <v>15.181500000000003</v>
      </c>
      <c r="D282" s="375">
        <f t="shared" si="73"/>
        <v>18.942000000000004</v>
      </c>
      <c r="E282" s="375">
        <f t="shared" si="73"/>
        <v>71.6815</v>
      </c>
      <c r="F282" s="375">
        <f t="shared" si="73"/>
        <v>92.917999999999992</v>
      </c>
      <c r="G282" s="375">
        <f t="shared" si="73"/>
        <v>120.32100000000004</v>
      </c>
      <c r="H282" s="375">
        <f t="shared" si="73"/>
        <v>192.74849999999998</v>
      </c>
      <c r="I282" s="375">
        <f t="shared" si="73"/>
        <v>231.92999999999998</v>
      </c>
      <c r="J282" s="375">
        <f>(K281+J281)*(K280-J280)/2</f>
        <v>328.15800000000007</v>
      </c>
      <c r="K282" s="375">
        <f t="shared" si="73"/>
        <v>246.43299999999996</v>
      </c>
      <c r="L282" s="375">
        <f t="shared" si="73"/>
        <v>132.00000000000011</v>
      </c>
      <c r="M282" s="375">
        <f t="shared" si="73"/>
        <v>263.97599999999983</v>
      </c>
      <c r="N282" s="375">
        <f t="shared" si="73"/>
        <v>81.871999999999971</v>
      </c>
      <c r="O282" s="375">
        <f t="shared" si="73"/>
        <v>219.78950000000009</v>
      </c>
      <c r="P282" s="375">
        <f t="shared" si="73"/>
        <v>173.41799999999995</v>
      </c>
      <c r="Q282" s="375">
        <f t="shared" si="73"/>
        <v>134.81000000000012</v>
      </c>
      <c r="R282" s="375">
        <f t="shared" si="73"/>
        <v>61.96800000000006</v>
      </c>
      <c r="S282" s="375">
        <f>(T281+S281)*(T280-S280)/2</f>
        <v>44.687999999999704</v>
      </c>
      <c r="T282" s="375">
        <f t="shared" si="73"/>
        <v>16.377500000000232</v>
      </c>
      <c r="U282" s="375">
        <f t="shared" si="73"/>
        <v>28.657499999999896</v>
      </c>
      <c r="V282" s="375">
        <f t="shared" si="73"/>
        <v>2.055000000000017</v>
      </c>
      <c r="W282" s="375">
        <f>(X281+W281)*(X280-W280)/2</f>
        <v>0.2289999999999951</v>
      </c>
      <c r="X282" s="375">
        <f>(Y281+X281)*(Y280-X280)/2</f>
        <v>0</v>
      </c>
      <c r="Y282" s="369"/>
    </row>
    <row r="283" spans="1:25" ht="13.5" thickBot="1" x14ac:dyDescent="0.25">
      <c r="A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3.5" thickBot="1" x14ac:dyDescent="0.25">
      <c r="A284" s="361" t="s">
        <v>46</v>
      </c>
      <c r="B284" s="359">
        <f>ROW(A284)</f>
        <v>284</v>
      </c>
      <c r="C284" s="363" t="s">
        <v>118</v>
      </c>
      <c r="D284" s="353">
        <f>SUM(B287:Y287)</f>
        <v>3739.0284999999994</v>
      </c>
      <c r="E284" s="363" t="s">
        <v>117</v>
      </c>
      <c r="F284" s="354">
        <f>D284/g/J284</f>
        <v>203.4941790441234</v>
      </c>
      <c r="G284" s="363" t="s">
        <v>59</v>
      </c>
      <c r="H284" s="64">
        <v>3.5110000000000001</v>
      </c>
      <c r="I284" s="363" t="s">
        <v>276</v>
      </c>
      <c r="J284" s="355">
        <f>H284-L284</f>
        <v>1.8730000000000002</v>
      </c>
      <c r="K284" s="363" t="s">
        <v>277</v>
      </c>
      <c r="L284" s="64">
        <v>1.6379999999999999</v>
      </c>
      <c r="M284" s="363" t="s">
        <v>60</v>
      </c>
      <c r="N284" s="65">
        <v>243</v>
      </c>
      <c r="O284" s="363" t="s">
        <v>62</v>
      </c>
      <c r="P284" s="65">
        <v>243</v>
      </c>
      <c r="Q284" s="363" t="s">
        <v>63</v>
      </c>
      <c r="R284" s="65">
        <v>486</v>
      </c>
      <c r="S284" s="363" t="s">
        <v>64</v>
      </c>
      <c r="T284" s="65">
        <v>75</v>
      </c>
      <c r="U284" s="363" t="s">
        <v>57</v>
      </c>
      <c r="V284" s="66" t="s">
        <v>121</v>
      </c>
      <c r="W284" s="12"/>
      <c r="X284" s="12"/>
      <c r="Y284" s="12"/>
    </row>
    <row r="285" spans="1:25" x14ac:dyDescent="0.2">
      <c r="A285" s="362" t="s">
        <v>33</v>
      </c>
      <c r="B285" s="370">
        <v>0</v>
      </c>
      <c r="C285" s="371">
        <v>0.01</v>
      </c>
      <c r="D285" s="371">
        <v>0.1</v>
      </c>
      <c r="E285" s="371">
        <v>0.12</v>
      </c>
      <c r="F285" s="371">
        <v>0.26</v>
      </c>
      <c r="G285" s="371">
        <v>0.71</v>
      </c>
      <c r="H285" s="371">
        <v>1.28</v>
      </c>
      <c r="I285" s="371">
        <v>2.0499999999999998</v>
      </c>
      <c r="J285" s="371">
        <v>2.41</v>
      </c>
      <c r="K285" s="371">
        <v>2.83</v>
      </c>
      <c r="L285" s="371">
        <v>3.25</v>
      </c>
      <c r="M285" s="371">
        <v>3.65</v>
      </c>
      <c r="N285" s="371">
        <v>3.8</v>
      </c>
      <c r="O285" s="371">
        <v>4</v>
      </c>
      <c r="P285" s="371">
        <v>4.0999999999999996</v>
      </c>
      <c r="Q285" s="371">
        <v>4.1900000000000004</v>
      </c>
      <c r="R285" s="371">
        <v>4.3099999999999996</v>
      </c>
      <c r="S285" s="371">
        <v>4.41</v>
      </c>
      <c r="T285" s="371">
        <v>4.5199999999999996</v>
      </c>
      <c r="U285" s="371">
        <v>4.5999999999999996</v>
      </c>
      <c r="V285" s="371">
        <v>4.6500000000000004</v>
      </c>
      <c r="W285" s="371">
        <v>4.67</v>
      </c>
      <c r="X285" s="371">
        <v>4.68</v>
      </c>
      <c r="Y285" s="381">
        <v>1000</v>
      </c>
    </row>
    <row r="286" spans="1:25" x14ac:dyDescent="0.2">
      <c r="A286" s="378" t="s">
        <v>34</v>
      </c>
      <c r="B286" s="372">
        <v>27</v>
      </c>
      <c r="C286" s="373">
        <v>402.4</v>
      </c>
      <c r="D286" s="373">
        <v>1286</v>
      </c>
      <c r="E286" s="373">
        <v>1257</v>
      </c>
      <c r="F286" s="373">
        <v>1042</v>
      </c>
      <c r="G286" s="373">
        <v>1027</v>
      </c>
      <c r="H286" s="373">
        <v>998.4</v>
      </c>
      <c r="I286" s="373">
        <v>901.4</v>
      </c>
      <c r="J286" s="373">
        <v>849.6</v>
      </c>
      <c r="K286" s="373">
        <v>763.5</v>
      </c>
      <c r="L286" s="373">
        <v>707.1</v>
      </c>
      <c r="M286" s="373">
        <v>655.1</v>
      </c>
      <c r="N286" s="373">
        <v>651.70000000000005</v>
      </c>
      <c r="O286" s="373">
        <v>624.1</v>
      </c>
      <c r="P286" s="373">
        <v>601.29999999999995</v>
      </c>
      <c r="Q286" s="373">
        <v>536.20000000000005</v>
      </c>
      <c r="R286" s="373">
        <v>415.7</v>
      </c>
      <c r="S286" s="373">
        <v>270.2</v>
      </c>
      <c r="T286" s="373">
        <v>140.19999999999999</v>
      </c>
      <c r="U286" s="373">
        <v>76.900000000000006</v>
      </c>
      <c r="V286" s="373">
        <v>54.9</v>
      </c>
      <c r="W286" s="373">
        <v>40.200000000000003</v>
      </c>
      <c r="X286" s="373">
        <v>0</v>
      </c>
      <c r="Y286" s="382">
        <v>0</v>
      </c>
    </row>
    <row r="287" spans="1:25" ht="13.5" thickBot="1" x14ac:dyDescent="0.25">
      <c r="A287" s="379" t="s">
        <v>119</v>
      </c>
      <c r="B287" s="374">
        <f t="shared" ref="B287:V287" si="74">(C286+B286)*(C285-B285)/2</f>
        <v>2.1469999999999998</v>
      </c>
      <c r="C287" s="375">
        <f t="shared" si="74"/>
        <v>75.978000000000009</v>
      </c>
      <c r="D287" s="375">
        <f t="shared" si="74"/>
        <v>25.429999999999989</v>
      </c>
      <c r="E287" s="375">
        <f t="shared" si="74"/>
        <v>160.93</v>
      </c>
      <c r="F287" s="375">
        <f t="shared" si="74"/>
        <v>465.52499999999998</v>
      </c>
      <c r="G287" s="375">
        <f t="shared" si="74"/>
        <v>577.23900000000003</v>
      </c>
      <c r="H287" s="375">
        <f t="shared" si="74"/>
        <v>731.42299999999977</v>
      </c>
      <c r="I287" s="375">
        <f t="shared" si="74"/>
        <v>315.18000000000029</v>
      </c>
      <c r="J287" s="375">
        <f>(K286+J286)*(K285-J285)/2</f>
        <v>338.75099999999992</v>
      </c>
      <c r="K287" s="375">
        <f t="shared" si="74"/>
        <v>308.82599999999991</v>
      </c>
      <c r="L287" s="375">
        <f t="shared" si="74"/>
        <v>272.43999999999994</v>
      </c>
      <c r="M287" s="375">
        <f t="shared" si="74"/>
        <v>98.009999999999962</v>
      </c>
      <c r="N287" s="375">
        <f t="shared" si="74"/>
        <v>127.58000000000013</v>
      </c>
      <c r="O287" s="375">
        <f t="shared" si="74"/>
        <v>61.26999999999979</v>
      </c>
      <c r="P287" s="375">
        <f t="shared" si="74"/>
        <v>51.187500000000426</v>
      </c>
      <c r="Q287" s="375">
        <f t="shared" si="74"/>
        <v>57.113999999999635</v>
      </c>
      <c r="R287" s="375">
        <f t="shared" si="74"/>
        <v>34.295000000000179</v>
      </c>
      <c r="S287" s="375">
        <f>(T286+S286)*(T285-S285)/2</f>
        <v>22.571999999999882</v>
      </c>
      <c r="T287" s="375">
        <f t="shared" si="74"/>
        <v>8.6840000000000082</v>
      </c>
      <c r="U287" s="375">
        <f t="shared" si="74"/>
        <v>3.295000000000047</v>
      </c>
      <c r="V287" s="375">
        <f t="shared" si="74"/>
        <v>0.95099999999997964</v>
      </c>
      <c r="W287" s="375">
        <f>(X286+W286)*(X285-W285)/2</f>
        <v>0.20099999999999574</v>
      </c>
      <c r="X287" s="375">
        <f>(Y286+X286)*(Y285-X285)/2</f>
        <v>0</v>
      </c>
      <c r="Y287" s="369"/>
    </row>
    <row r="288" spans="1:25" ht="13.5" thickBot="1" x14ac:dyDescent="0.25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3.5" thickBot="1" x14ac:dyDescent="0.25">
      <c r="A289" s="361" t="s">
        <v>323</v>
      </c>
      <c r="B289" s="359">
        <f>ROW(A289)</f>
        <v>289</v>
      </c>
      <c r="C289" s="363" t="s">
        <v>118</v>
      </c>
      <c r="D289" s="353">
        <f>SUM(B292:Y292)</f>
        <v>5322.2813159999996</v>
      </c>
      <c r="E289" s="363" t="s">
        <v>117</v>
      </c>
      <c r="F289" s="354">
        <f>D289/g/J289</f>
        <v>210.04116210318938</v>
      </c>
      <c r="G289" s="363" t="s">
        <v>59</v>
      </c>
      <c r="H289" s="64">
        <v>4.9770000000000003</v>
      </c>
      <c r="I289" s="363" t="s">
        <v>276</v>
      </c>
      <c r="J289" s="355">
        <f>H289-L289</f>
        <v>2.5830000000000002</v>
      </c>
      <c r="K289" s="363" t="s">
        <v>277</v>
      </c>
      <c r="L289" s="64">
        <v>2.3940000000000001</v>
      </c>
      <c r="M289" s="363" t="s">
        <v>60</v>
      </c>
      <c r="N289" s="65">
        <v>197</v>
      </c>
      <c r="O289" s="363" t="s">
        <v>62</v>
      </c>
      <c r="P289" s="65">
        <v>197</v>
      </c>
      <c r="Q289" s="363" t="s">
        <v>63</v>
      </c>
      <c r="R289" s="65">
        <v>394</v>
      </c>
      <c r="S289" s="363" t="s">
        <v>64</v>
      </c>
      <c r="T289" s="65">
        <v>98</v>
      </c>
      <c r="U289" s="363" t="s">
        <v>57</v>
      </c>
      <c r="V289" s="66" t="s">
        <v>121</v>
      </c>
      <c r="W289" s="12"/>
      <c r="X289" s="12"/>
      <c r="Y289" s="12"/>
    </row>
    <row r="290" spans="1:25" x14ac:dyDescent="0.2">
      <c r="A290" s="362" t="s">
        <v>33</v>
      </c>
      <c r="B290" s="370">
        <v>0</v>
      </c>
      <c r="C290" s="371">
        <v>3.6999999999999998E-2</v>
      </c>
      <c r="D290" s="371">
        <v>0.121</v>
      </c>
      <c r="E290" s="371">
        <v>0.32800000000000001</v>
      </c>
      <c r="F290" s="371">
        <v>1.2989999999999999</v>
      </c>
      <c r="G290" s="371">
        <v>1.5449999999999999</v>
      </c>
      <c r="H290" s="371">
        <v>1.7969999999999999</v>
      </c>
      <c r="I290" s="371">
        <v>1.998</v>
      </c>
      <c r="J290" s="371">
        <v>2.2080000000000002</v>
      </c>
      <c r="K290" s="371">
        <v>2.4620000000000002</v>
      </c>
      <c r="L290" s="371">
        <v>2.782</v>
      </c>
      <c r="M290" s="371">
        <v>3.0859999999999999</v>
      </c>
      <c r="N290" s="371">
        <v>3.2130000000000001</v>
      </c>
      <c r="O290" s="371">
        <v>3.258</v>
      </c>
      <c r="P290" s="371">
        <v>3.3279999999999998</v>
      </c>
      <c r="Q290" s="371">
        <v>3.383</v>
      </c>
      <c r="R290" s="371">
        <v>3.4279999999999999</v>
      </c>
      <c r="S290" s="371">
        <v>3.5</v>
      </c>
      <c r="T290" s="371">
        <v>3.5</v>
      </c>
      <c r="U290" s="371">
        <v>3.5</v>
      </c>
      <c r="V290" s="371">
        <v>3.5</v>
      </c>
      <c r="W290" s="371">
        <v>3.5</v>
      </c>
      <c r="X290" s="371">
        <v>3.5</v>
      </c>
      <c r="Y290" s="381">
        <v>1000</v>
      </c>
    </row>
    <row r="291" spans="1:25" x14ac:dyDescent="0.2">
      <c r="A291" s="378" t="s">
        <v>34</v>
      </c>
      <c r="B291" s="372">
        <v>0</v>
      </c>
      <c r="C291" s="373">
        <v>1474.12</v>
      </c>
      <c r="D291" s="373">
        <v>1436.5</v>
      </c>
      <c r="E291" s="373">
        <v>1523.49</v>
      </c>
      <c r="F291" s="373">
        <v>1775.06</v>
      </c>
      <c r="G291" s="373">
        <v>1807.97</v>
      </c>
      <c r="H291" s="373">
        <v>1807.97</v>
      </c>
      <c r="I291" s="373">
        <v>1786.81</v>
      </c>
      <c r="J291" s="373">
        <v>1737.44</v>
      </c>
      <c r="K291" s="373">
        <v>1572.86</v>
      </c>
      <c r="L291" s="373">
        <v>1415.34</v>
      </c>
      <c r="M291" s="373">
        <v>1309.55</v>
      </c>
      <c r="N291" s="373">
        <v>1290.74</v>
      </c>
      <c r="O291" s="373">
        <v>1309.55</v>
      </c>
      <c r="P291" s="373">
        <v>679.45899999999995</v>
      </c>
      <c r="Q291" s="373">
        <v>173.97900000000001</v>
      </c>
      <c r="R291" s="373">
        <v>68.180999999999997</v>
      </c>
      <c r="S291" s="373">
        <v>0</v>
      </c>
      <c r="T291" s="373">
        <v>0</v>
      </c>
      <c r="U291" s="373">
        <v>0</v>
      </c>
      <c r="V291" s="373">
        <v>0</v>
      </c>
      <c r="W291" s="373">
        <v>0</v>
      </c>
      <c r="X291" s="373">
        <v>0</v>
      </c>
      <c r="Y291" s="382">
        <v>0</v>
      </c>
    </row>
    <row r="292" spans="1:25" ht="13.5" thickBot="1" x14ac:dyDescent="0.25">
      <c r="A292" s="379" t="s">
        <v>119</v>
      </c>
      <c r="B292" s="374">
        <f t="shared" ref="B292:X292" si="75">(C291+B291)*(C290-B290)/2</f>
        <v>27.271219999999996</v>
      </c>
      <c r="C292" s="375">
        <f t="shared" si="75"/>
        <v>122.24603999999998</v>
      </c>
      <c r="D292" s="375">
        <f t="shared" si="75"/>
        <v>306.35896500000001</v>
      </c>
      <c r="E292" s="375">
        <f t="shared" si="75"/>
        <v>1601.446025</v>
      </c>
      <c r="F292" s="375">
        <f t="shared" si="75"/>
        <v>440.71268999999995</v>
      </c>
      <c r="G292" s="375">
        <f t="shared" si="75"/>
        <v>455.60844000000003</v>
      </c>
      <c r="H292" s="375">
        <f t="shared" si="75"/>
        <v>361.27539000000007</v>
      </c>
      <c r="I292" s="375">
        <f t="shared" si="75"/>
        <v>370.04625000000033</v>
      </c>
      <c r="J292" s="375">
        <f t="shared" si="75"/>
        <v>420.40810000000005</v>
      </c>
      <c r="K292" s="375">
        <f t="shared" si="75"/>
        <v>478.11199999999974</v>
      </c>
      <c r="L292" s="375">
        <f t="shared" si="75"/>
        <v>414.18327999999974</v>
      </c>
      <c r="M292" s="375">
        <f t="shared" si="75"/>
        <v>165.11841500000028</v>
      </c>
      <c r="N292" s="375">
        <f t="shared" si="75"/>
        <v>58.506524999999904</v>
      </c>
      <c r="O292" s="375">
        <f t="shared" si="75"/>
        <v>69.615314999999839</v>
      </c>
      <c r="P292" s="375">
        <f t="shared" si="75"/>
        <v>23.469545000000068</v>
      </c>
      <c r="Q292" s="375">
        <f t="shared" si="75"/>
        <v>5.4485999999999919</v>
      </c>
      <c r="R292" s="375">
        <f t="shared" si="75"/>
        <v>2.4545160000000021</v>
      </c>
      <c r="S292" s="375">
        <f t="shared" si="75"/>
        <v>0</v>
      </c>
      <c r="T292" s="375">
        <f t="shared" si="75"/>
        <v>0</v>
      </c>
      <c r="U292" s="375">
        <f t="shared" si="75"/>
        <v>0</v>
      </c>
      <c r="V292" s="375">
        <f t="shared" si="75"/>
        <v>0</v>
      </c>
      <c r="W292" s="375">
        <f t="shared" si="75"/>
        <v>0</v>
      </c>
      <c r="X292" s="375">
        <f t="shared" si="75"/>
        <v>0</v>
      </c>
      <c r="Y292" s="369"/>
    </row>
    <row r="293" spans="1:25" ht="13.5" thickBot="1" x14ac:dyDescent="0.25">
      <c r="A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3.5" thickBot="1" x14ac:dyDescent="0.25">
      <c r="A294" s="361" t="s">
        <v>324</v>
      </c>
      <c r="B294" s="359">
        <f>ROW(A294)</f>
        <v>294</v>
      </c>
      <c r="C294" s="363" t="s">
        <v>118</v>
      </c>
      <c r="D294" s="353">
        <f>SUM(B297:Y297)</f>
        <v>7412.4371409999985</v>
      </c>
      <c r="E294" s="363" t="s">
        <v>117</v>
      </c>
      <c r="F294" s="354">
        <f>D294/g/J294</f>
        <v>223.28608637999045</v>
      </c>
      <c r="G294" s="363" t="s">
        <v>59</v>
      </c>
      <c r="H294" s="64">
        <v>6.25</v>
      </c>
      <c r="I294" s="363" t="s">
        <v>276</v>
      </c>
      <c r="J294" s="355">
        <f>H294-L294</f>
        <v>3.3839999999999999</v>
      </c>
      <c r="K294" s="363" t="s">
        <v>277</v>
      </c>
      <c r="L294" s="64">
        <v>2.8660000000000001</v>
      </c>
      <c r="M294" s="363" t="s">
        <v>60</v>
      </c>
      <c r="N294" s="65">
        <v>290</v>
      </c>
      <c r="O294" s="363" t="s">
        <v>62</v>
      </c>
      <c r="P294" s="65">
        <v>290</v>
      </c>
      <c r="Q294" s="363" t="s">
        <v>63</v>
      </c>
      <c r="R294" s="65">
        <v>579</v>
      </c>
      <c r="S294" s="363" t="s">
        <v>64</v>
      </c>
      <c r="T294" s="65">
        <v>98</v>
      </c>
      <c r="U294" s="363" t="s">
        <v>57</v>
      </c>
      <c r="V294" s="66" t="s">
        <v>121</v>
      </c>
      <c r="W294" s="12"/>
      <c r="X294" s="12"/>
      <c r="Y294" s="12"/>
    </row>
    <row r="295" spans="1:25" x14ac:dyDescent="0.2">
      <c r="A295" s="362" t="s">
        <v>33</v>
      </c>
      <c r="B295" s="370">
        <v>0</v>
      </c>
      <c r="C295" s="371">
        <v>1.7000000000000001E-2</v>
      </c>
      <c r="D295" s="371">
        <v>5.1999999999999998E-2</v>
      </c>
      <c r="E295" s="371">
        <v>8.7999999999999995E-2</v>
      </c>
      <c r="F295" s="371">
        <v>0.108</v>
      </c>
      <c r="G295" s="371">
        <v>0.127</v>
      </c>
      <c r="H295" s="371">
        <v>0.17399999999999999</v>
      </c>
      <c r="I295" s="371">
        <v>0.25700000000000001</v>
      </c>
      <c r="J295" s="371">
        <v>0.40300000000000002</v>
      </c>
      <c r="K295" s="371">
        <v>0.76200000000000001</v>
      </c>
      <c r="L295" s="371">
        <v>0.97699999999999998</v>
      </c>
      <c r="M295" s="371">
        <v>1.341</v>
      </c>
      <c r="N295" s="371">
        <v>1.5009999999999999</v>
      </c>
      <c r="O295" s="371">
        <v>1.661</v>
      </c>
      <c r="P295" s="371">
        <v>1.96</v>
      </c>
      <c r="Q295" s="371">
        <v>2.4039999999999999</v>
      </c>
      <c r="R295" s="371">
        <v>2.641</v>
      </c>
      <c r="S295" s="371">
        <v>2.7160000000000002</v>
      </c>
      <c r="T295" s="371">
        <v>2.8210000000000002</v>
      </c>
      <c r="U295" s="371">
        <v>2.8919999999999999</v>
      </c>
      <c r="V295" s="371">
        <v>2.92</v>
      </c>
      <c r="W295" s="371">
        <v>2.97</v>
      </c>
      <c r="X295" s="371">
        <v>3</v>
      </c>
      <c r="Y295" s="381">
        <v>1000</v>
      </c>
    </row>
    <row r="296" spans="1:25" x14ac:dyDescent="0.2">
      <c r="A296" s="378" t="s">
        <v>34</v>
      </c>
      <c r="B296" s="372">
        <v>0</v>
      </c>
      <c r="C296" s="373">
        <v>329.84699999999998</v>
      </c>
      <c r="D296" s="373">
        <v>1003.68</v>
      </c>
      <c r="E296" s="373">
        <v>2346.62</v>
      </c>
      <c r="F296" s="373">
        <v>2549.2399999999998</v>
      </c>
      <c r="G296" s="373">
        <v>2605.79</v>
      </c>
      <c r="H296" s="373">
        <v>2520.9699999999998</v>
      </c>
      <c r="I296" s="373">
        <v>2516.2600000000002</v>
      </c>
      <c r="J296" s="373">
        <v>2596.37</v>
      </c>
      <c r="K296" s="373">
        <v>2808.41</v>
      </c>
      <c r="L296" s="373">
        <v>2954.49</v>
      </c>
      <c r="M296" s="373">
        <v>2959.2</v>
      </c>
      <c r="N296" s="373">
        <v>2907.36</v>
      </c>
      <c r="O296" s="373">
        <v>2869.67</v>
      </c>
      <c r="P296" s="373">
        <v>2695.32</v>
      </c>
      <c r="Q296" s="373">
        <v>2351.34</v>
      </c>
      <c r="R296" s="373">
        <v>2228.8200000000002</v>
      </c>
      <c r="S296" s="373">
        <v>2007.35</v>
      </c>
      <c r="T296" s="373">
        <v>1427.77</v>
      </c>
      <c r="U296" s="373">
        <v>504.19400000000002</v>
      </c>
      <c r="V296" s="373">
        <v>334.55900000000003</v>
      </c>
      <c r="W296" s="373">
        <v>122.515</v>
      </c>
      <c r="X296" s="373">
        <v>0</v>
      </c>
      <c r="Y296" s="382">
        <v>0</v>
      </c>
    </row>
    <row r="297" spans="1:25" ht="13.5" thickBot="1" x14ac:dyDescent="0.25">
      <c r="A297" s="379" t="s">
        <v>119</v>
      </c>
      <c r="B297" s="374">
        <f t="shared" ref="B297:X297" si="76">(C296+B296)*(C295-B295)/2</f>
        <v>2.8036995</v>
      </c>
      <c r="C297" s="375">
        <f t="shared" si="76"/>
        <v>23.336722499999997</v>
      </c>
      <c r="D297" s="375">
        <f t="shared" si="76"/>
        <v>60.305399999999992</v>
      </c>
      <c r="E297" s="375">
        <f t="shared" si="76"/>
        <v>48.958600000000004</v>
      </c>
      <c r="F297" s="375">
        <f t="shared" si="76"/>
        <v>48.972785000000002</v>
      </c>
      <c r="G297" s="375">
        <f t="shared" si="76"/>
        <v>120.47885999999997</v>
      </c>
      <c r="H297" s="375">
        <f t="shared" si="76"/>
        <v>209.04504500000002</v>
      </c>
      <c r="I297" s="375">
        <f t="shared" si="76"/>
        <v>373.22199000000006</v>
      </c>
      <c r="J297" s="375">
        <f t="shared" si="76"/>
        <v>970.15800999999988</v>
      </c>
      <c r="K297" s="375">
        <f t="shared" si="76"/>
        <v>619.51174999999989</v>
      </c>
      <c r="L297" s="375">
        <f t="shared" si="76"/>
        <v>1076.2915799999998</v>
      </c>
      <c r="M297" s="375">
        <f t="shared" si="76"/>
        <v>469.3247999999997</v>
      </c>
      <c r="N297" s="375">
        <f t="shared" si="76"/>
        <v>462.16240000000045</v>
      </c>
      <c r="O297" s="375">
        <f t="shared" si="76"/>
        <v>831.96600499999977</v>
      </c>
      <c r="P297" s="375">
        <f t="shared" si="76"/>
        <v>1120.3585199999998</v>
      </c>
      <c r="Q297" s="375">
        <f t="shared" si="76"/>
        <v>542.74896000000024</v>
      </c>
      <c r="R297" s="375">
        <f t="shared" si="76"/>
        <v>158.85637500000038</v>
      </c>
      <c r="S297" s="375">
        <f t="shared" si="76"/>
        <v>180.34379999999996</v>
      </c>
      <c r="T297" s="375">
        <f t="shared" si="76"/>
        <v>68.584721999999744</v>
      </c>
      <c r="U297" s="375">
        <f t="shared" si="76"/>
        <v>11.742542000000011</v>
      </c>
      <c r="V297" s="375">
        <f t="shared" si="76"/>
        <v>11.42685000000006</v>
      </c>
      <c r="W297" s="375">
        <f t="shared" si="76"/>
        <v>1.8377249999999881</v>
      </c>
      <c r="X297" s="375">
        <f t="shared" si="76"/>
        <v>0</v>
      </c>
      <c r="Y297" s="369"/>
    </row>
    <row r="298" spans="1:25" ht="13.5" thickBot="1" x14ac:dyDescent="0.25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3.5" thickBot="1" x14ac:dyDescent="0.25">
      <c r="A299" s="361" t="s">
        <v>47</v>
      </c>
      <c r="B299" s="359">
        <f>ROW(A299)</f>
        <v>299</v>
      </c>
      <c r="C299" s="363" t="s">
        <v>118</v>
      </c>
      <c r="D299" s="353">
        <f>SUM(B302:Y302)</f>
        <v>1E-3</v>
      </c>
      <c r="E299" s="363" t="s">
        <v>117</v>
      </c>
      <c r="F299" s="354">
        <f>D299/g/J299</f>
        <v>1.019367991845056</v>
      </c>
      <c r="G299" s="363" t="s">
        <v>59</v>
      </c>
      <c r="H299" s="64">
        <v>1E-4</v>
      </c>
      <c r="I299" s="363" t="s">
        <v>276</v>
      </c>
      <c r="J299" s="355">
        <f>H299-L299</f>
        <v>1E-4</v>
      </c>
      <c r="K299" s="363" t="s">
        <v>277</v>
      </c>
      <c r="L299" s="64">
        <v>0</v>
      </c>
      <c r="M299" s="363" t="s">
        <v>60</v>
      </c>
      <c r="N299" s="65">
        <v>0</v>
      </c>
      <c r="O299" s="363" t="s">
        <v>62</v>
      </c>
      <c r="P299" s="65">
        <v>0</v>
      </c>
      <c r="Q299" s="363" t="s">
        <v>63</v>
      </c>
      <c r="R299" s="65">
        <v>0</v>
      </c>
      <c r="S299" s="363" t="s">
        <v>64</v>
      </c>
      <c r="T299" s="65">
        <v>0</v>
      </c>
      <c r="U299" s="363" t="s">
        <v>57</v>
      </c>
      <c r="V299" s="66" t="s">
        <v>121</v>
      </c>
      <c r="W299" s="12"/>
      <c r="X299" s="12"/>
      <c r="Y299" s="12"/>
    </row>
    <row r="300" spans="1:25" x14ac:dyDescent="0.2">
      <c r="A300" s="362" t="s">
        <v>33</v>
      </c>
      <c r="B300" s="370">
        <v>0</v>
      </c>
      <c r="C300" s="371">
        <v>0.1</v>
      </c>
      <c r="D300" s="371">
        <v>0.2</v>
      </c>
      <c r="E300" s="371">
        <v>1</v>
      </c>
      <c r="F300" s="371">
        <v>1</v>
      </c>
      <c r="G300" s="371">
        <v>1</v>
      </c>
      <c r="H300" s="371">
        <v>1</v>
      </c>
      <c r="I300" s="371">
        <v>1</v>
      </c>
      <c r="J300" s="371">
        <v>1</v>
      </c>
      <c r="K300" s="371">
        <v>1</v>
      </c>
      <c r="L300" s="371">
        <v>1</v>
      </c>
      <c r="M300" s="371">
        <v>1</v>
      </c>
      <c r="N300" s="371">
        <v>1</v>
      </c>
      <c r="O300" s="371">
        <v>1</v>
      </c>
      <c r="P300" s="371">
        <v>1</v>
      </c>
      <c r="Q300" s="371">
        <v>1</v>
      </c>
      <c r="R300" s="371">
        <v>1</v>
      </c>
      <c r="S300" s="371">
        <v>1</v>
      </c>
      <c r="T300" s="371">
        <v>1</v>
      </c>
      <c r="U300" s="371">
        <v>1</v>
      </c>
      <c r="V300" s="371">
        <v>1</v>
      </c>
      <c r="W300" s="371">
        <v>1</v>
      </c>
      <c r="X300" s="371">
        <v>1</v>
      </c>
      <c r="Y300" s="381">
        <v>1000</v>
      </c>
    </row>
    <row r="301" spans="1:25" x14ac:dyDescent="0.2">
      <c r="A301" s="378" t="s">
        <v>34</v>
      </c>
      <c r="B301" s="372">
        <v>0</v>
      </c>
      <c r="C301" s="373">
        <v>0.01</v>
      </c>
      <c r="D301" s="373">
        <v>0</v>
      </c>
      <c r="E301" s="373">
        <v>0</v>
      </c>
      <c r="F301" s="373">
        <v>0</v>
      </c>
      <c r="G301" s="373">
        <v>0</v>
      </c>
      <c r="H301" s="373">
        <v>0</v>
      </c>
      <c r="I301" s="373">
        <v>0</v>
      </c>
      <c r="J301" s="373">
        <v>0</v>
      </c>
      <c r="K301" s="373">
        <v>0</v>
      </c>
      <c r="L301" s="373">
        <v>0</v>
      </c>
      <c r="M301" s="373">
        <v>0</v>
      </c>
      <c r="N301" s="373">
        <v>0</v>
      </c>
      <c r="O301" s="373">
        <v>0</v>
      </c>
      <c r="P301" s="373">
        <v>0</v>
      </c>
      <c r="Q301" s="373">
        <v>0</v>
      </c>
      <c r="R301" s="373">
        <v>0</v>
      </c>
      <c r="S301" s="373">
        <v>0</v>
      </c>
      <c r="T301" s="373">
        <v>0</v>
      </c>
      <c r="U301" s="373">
        <v>0</v>
      </c>
      <c r="V301" s="373">
        <v>0</v>
      </c>
      <c r="W301" s="373">
        <v>0</v>
      </c>
      <c r="X301" s="373">
        <v>0</v>
      </c>
      <c r="Y301" s="382">
        <v>0</v>
      </c>
    </row>
    <row r="302" spans="1:25" ht="13.5" thickBot="1" x14ac:dyDescent="0.25">
      <c r="A302" s="379" t="s">
        <v>119</v>
      </c>
      <c r="B302" s="374">
        <f t="shared" ref="B302:G302" si="77">(C301+B301)*(C300-B300)/2</f>
        <v>5.0000000000000001E-4</v>
      </c>
      <c r="C302" s="375">
        <f t="shared" si="77"/>
        <v>5.0000000000000001E-4</v>
      </c>
      <c r="D302" s="375">
        <f t="shared" si="77"/>
        <v>0</v>
      </c>
      <c r="E302" s="375">
        <f t="shared" si="77"/>
        <v>0</v>
      </c>
      <c r="F302" s="375">
        <f t="shared" si="77"/>
        <v>0</v>
      </c>
      <c r="G302" s="375">
        <f t="shared" si="77"/>
        <v>0</v>
      </c>
      <c r="H302" s="375">
        <f t="shared" ref="H302:V302" si="78">(I301+H301)*(I300-H300)/2</f>
        <v>0</v>
      </c>
      <c r="I302" s="375">
        <f t="shared" si="78"/>
        <v>0</v>
      </c>
      <c r="J302" s="375">
        <f>(K301+J301)*(K300-J300)/2</f>
        <v>0</v>
      </c>
      <c r="K302" s="375">
        <f t="shared" si="78"/>
        <v>0</v>
      </c>
      <c r="L302" s="375">
        <f t="shared" si="78"/>
        <v>0</v>
      </c>
      <c r="M302" s="375">
        <f t="shared" si="78"/>
        <v>0</v>
      </c>
      <c r="N302" s="375">
        <f t="shared" si="78"/>
        <v>0</v>
      </c>
      <c r="O302" s="375">
        <f t="shared" si="78"/>
        <v>0</v>
      </c>
      <c r="P302" s="375">
        <f t="shared" si="78"/>
        <v>0</v>
      </c>
      <c r="Q302" s="375">
        <f t="shared" si="78"/>
        <v>0</v>
      </c>
      <c r="R302" s="375">
        <f t="shared" si="78"/>
        <v>0</v>
      </c>
      <c r="S302" s="375">
        <f>(T301+S301)*(T300-S300)/2</f>
        <v>0</v>
      </c>
      <c r="T302" s="375">
        <f t="shared" si="78"/>
        <v>0</v>
      </c>
      <c r="U302" s="375">
        <f t="shared" si="78"/>
        <v>0</v>
      </c>
      <c r="V302" s="375">
        <f t="shared" si="78"/>
        <v>0</v>
      </c>
      <c r="W302" s="375">
        <f>(X301+W301)*(X300-W300)/2</f>
        <v>0</v>
      </c>
      <c r="X302" s="375">
        <f>(Y301+X301)*(Y300-X300)/2</f>
        <v>0</v>
      </c>
      <c r="Y302" s="369"/>
    </row>
    <row r="304" spans="1:25" x14ac:dyDescent="0.2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6" spans="1:19" x14ac:dyDescent="0.2">
      <c r="A306" s="397" t="str">
        <f>IF(Lang="Français","Liste des propu affichés :","Motor list (shown):")</f>
        <v>Liste des propu affichés :</v>
      </c>
      <c r="C306" s="640" t="s">
        <v>281</v>
      </c>
      <c r="D306" s="641"/>
      <c r="F306" s="640" t="s">
        <v>186</v>
      </c>
      <c r="G306" s="641"/>
      <c r="H306" s="12"/>
      <c r="I306" s="640" t="s">
        <v>403</v>
      </c>
      <c r="J306" s="641"/>
      <c r="K306" s="12"/>
      <c r="L306" s="640" t="s">
        <v>187</v>
      </c>
      <c r="M306" s="641"/>
      <c r="O306" s="640" t="s">
        <v>402</v>
      </c>
      <c r="P306" s="641"/>
      <c r="R306" s="640" t="s">
        <v>121</v>
      </c>
      <c r="S306" s="641"/>
    </row>
    <row r="307" spans="1:19" x14ac:dyDescent="0.2">
      <c r="A307" s="398" t="str">
        <f t="array" ref="A307:A336">IF(RIGHT(Type_fusee,1)=".",Liste_fusex, IF(LEFT(Type_fusee,4)="Mini",Liste_minif, IF(LEFT(Type_fusee,5)="Micro",Liste_µfu, IF(RIGHT(Type_fusee,1)=" ",Liste_H2O, IF(LEFT(Type_fusee,1)="R",Liste_RC, IF(LEFT(Type_fusee,1)=",",Liste_minifT))))))</f>
        <v>Barasinga (Pro54-5G)</v>
      </c>
      <c r="C307" s="630" t="str">
        <f>A26</f>
        <v>H2O 1.5L 300g 6bar</v>
      </c>
      <c r="D307" s="631"/>
      <c r="F307" s="630" t="str">
        <f>A67</f>
        <v>µ-propu A8-3</v>
      </c>
      <c r="G307" s="631"/>
      <c r="H307" s="473"/>
      <c r="I307" s="634" t="str">
        <f>A133</f>
        <v>p29-1G 41F36</v>
      </c>
      <c r="J307" s="635"/>
      <c r="K307" s="473"/>
      <c r="L307" s="634" t="str">
        <f>A113</f>
        <v>p24-1G 25E75 (Rufina)</v>
      </c>
      <c r="M307" s="635"/>
      <c r="O307" s="630" t="str">
        <f>A108</f>
        <v>p24-1G 24E22</v>
      </c>
      <c r="P307" s="631"/>
      <c r="R307" s="630" t="str">
        <f>A274</f>
        <v>Barasinga (Pro54-5G)</v>
      </c>
      <c r="S307" s="631"/>
    </row>
    <row r="308" spans="1:19" x14ac:dyDescent="0.2">
      <c r="A308" s="398" t="str">
        <v>Orignal (Pro75-3G)</v>
      </c>
      <c r="C308" s="630" t="str">
        <f>A31</f>
        <v>H2O 1.5L 450g 6bar</v>
      </c>
      <c r="D308" s="631"/>
      <c r="F308" s="630" t="str">
        <f>A72</f>
        <v>µ-propu B4-4</v>
      </c>
      <c r="G308" s="631"/>
      <c r="H308" s="473"/>
      <c r="I308" s="634" t="str">
        <f>A138</f>
        <v>p29-1G 51F36</v>
      </c>
      <c r="J308" s="635"/>
      <c r="K308" s="473"/>
      <c r="L308" s="634" t="str">
        <f>A148</f>
        <v>p29-1G 56F120</v>
      </c>
      <c r="M308" s="635"/>
      <c r="O308" s="630" t="str">
        <f>A113</f>
        <v>p24-1G 25E75 (Rufina)</v>
      </c>
      <c r="P308" s="631"/>
      <c r="R308" s="630" t="str">
        <f>A284</f>
        <v>Orignal (Pro75-3G)</v>
      </c>
      <c r="S308" s="631"/>
    </row>
    <row r="309" spans="1:19" x14ac:dyDescent="0.2">
      <c r="A309" s="398" t="str">
        <v xml:space="preserve"> </v>
      </c>
      <c r="C309" s="630" t="str">
        <f>A36</f>
        <v>H2O 1.5L 600g 6bar</v>
      </c>
      <c r="D309" s="631"/>
      <c r="F309" s="630" t="str">
        <f>A77</f>
        <v>µ-propu C6-3</v>
      </c>
      <c r="G309" s="631"/>
      <c r="H309" s="473"/>
      <c r="I309" s="634" t="str">
        <f>A143</f>
        <v>p29-1G 55F29</v>
      </c>
      <c r="J309" s="635"/>
      <c r="K309" s="473"/>
      <c r="L309" s="634" t="str">
        <f>A218</f>
        <v>p29-2G 110G250</v>
      </c>
      <c r="M309" s="635"/>
      <c r="O309" s="630" t="str">
        <f>A118</f>
        <v>p24-1G 26E31</v>
      </c>
      <c r="P309" s="631"/>
      <c r="R309" s="630" t="s">
        <v>188</v>
      </c>
      <c r="S309" s="631"/>
    </row>
    <row r="310" spans="1:19" x14ac:dyDescent="0.2">
      <c r="A310" s="398" t="str">
        <v xml:space="preserve"> </v>
      </c>
      <c r="C310" s="630" t="str">
        <f>A41</f>
        <v>H2O 1.5L 750g 6bar</v>
      </c>
      <c r="D310" s="631"/>
      <c r="F310" s="630" t="str">
        <f>A82</f>
        <v>µ-propu C6-3 x2</v>
      </c>
      <c r="G310" s="631"/>
      <c r="H310" s="473"/>
      <c r="I310" s="634" t="str">
        <f>A148</f>
        <v>p29-1G 56F120</v>
      </c>
      <c r="J310" s="635"/>
      <c r="K310" s="473"/>
      <c r="L310" s="634" t="str">
        <f>A258</f>
        <v>Cariacou</v>
      </c>
      <c r="M310" s="635"/>
      <c r="O310" s="630" t="str">
        <f>A123</f>
        <v>p24-2G 50E51</v>
      </c>
      <c r="P310" s="631"/>
      <c r="R310" s="630" t="s">
        <v>188</v>
      </c>
      <c r="S310" s="631"/>
    </row>
    <row r="311" spans="1:19" x14ac:dyDescent="0.2">
      <c r="A311" s="398" t="str">
        <v xml:space="preserve"> </v>
      </c>
      <c r="C311" s="630" t="str">
        <f>A46</f>
        <v>H2O 2.0L 400g 6bar</v>
      </c>
      <c r="D311" s="631"/>
      <c r="F311" s="630" t="str">
        <f>A87</f>
        <v>µ-propu C6-3 x3</v>
      </c>
      <c r="G311" s="631"/>
      <c r="H311" s="473"/>
      <c r="I311" s="634" t="str">
        <f>A153</f>
        <v>p29-1G 57F59</v>
      </c>
      <c r="J311" s="635"/>
      <c r="K311" s="473"/>
      <c r="L311" s="634" t="str">
        <f>A193</f>
        <v>Pandora</v>
      </c>
      <c r="M311" s="635"/>
      <c r="O311" s="630" t="str">
        <f>A128</f>
        <v>p24-1G 53E70</v>
      </c>
      <c r="P311" s="631"/>
      <c r="R311" s="630" t="s">
        <v>188</v>
      </c>
      <c r="S311" s="631"/>
    </row>
    <row r="312" spans="1:19" x14ac:dyDescent="0.2">
      <c r="A312" s="398" t="str">
        <v xml:space="preserve"> </v>
      </c>
      <c r="C312" s="630" t="str">
        <f>A51</f>
        <v>H2O 2.0L 600g 6bar</v>
      </c>
      <c r="D312" s="631"/>
      <c r="F312" s="630" t="s">
        <v>188</v>
      </c>
      <c r="G312" s="631"/>
      <c r="H312" s="473"/>
      <c r="I312" s="634" t="str">
        <f>A158</f>
        <v>p24-3G 60F50</v>
      </c>
      <c r="J312" s="635"/>
      <c r="K312" s="473"/>
      <c r="L312" s="630" t="s">
        <v>188</v>
      </c>
      <c r="M312" s="631"/>
      <c r="O312" s="630" t="str">
        <f>A133</f>
        <v>p29-1G 41F36</v>
      </c>
      <c r="P312" s="631"/>
      <c r="R312" s="630" t="s">
        <v>188</v>
      </c>
      <c r="S312" s="631"/>
    </row>
    <row r="313" spans="1:19" x14ac:dyDescent="0.2">
      <c r="A313" s="398" t="str">
        <v xml:space="preserve"> </v>
      </c>
      <c r="C313" s="630" t="str">
        <f>A56</f>
        <v>H2O 2.0L 800g 6bar</v>
      </c>
      <c r="D313" s="631"/>
      <c r="F313" s="630" t="s">
        <v>188</v>
      </c>
      <c r="G313" s="631"/>
      <c r="H313" s="473"/>
      <c r="I313" s="634" t="str">
        <f>A163</f>
        <v>p24-3G 68F79</v>
      </c>
      <c r="J313" s="635"/>
      <c r="K313" s="473"/>
      <c r="L313" s="630" t="s">
        <v>188</v>
      </c>
      <c r="M313" s="631"/>
      <c r="O313" s="630" t="str">
        <f>A138</f>
        <v>p29-1G 51F36</v>
      </c>
      <c r="P313" s="631"/>
      <c r="R313" s="630" t="s">
        <v>188</v>
      </c>
      <c r="S313" s="631"/>
    </row>
    <row r="314" spans="1:19" x14ac:dyDescent="0.2">
      <c r="A314" s="398" t="str">
        <v xml:space="preserve"> </v>
      </c>
      <c r="C314" s="630" t="str">
        <f>A61</f>
        <v>H2O 2.0L 1000g 6bar</v>
      </c>
      <c r="D314" s="631"/>
      <c r="F314" s="630" t="s">
        <v>188</v>
      </c>
      <c r="G314" s="631"/>
      <c r="H314" s="473"/>
      <c r="I314" s="634" t="str">
        <f>A168</f>
        <v>p24-3G 68F240</v>
      </c>
      <c r="J314" s="635"/>
      <c r="K314" s="473"/>
      <c r="L314" s="630" t="s">
        <v>188</v>
      </c>
      <c r="M314" s="631"/>
      <c r="O314" s="630" t="str">
        <f>A143</f>
        <v>p29-1G 55F29</v>
      </c>
      <c r="P314" s="631"/>
      <c r="R314" s="630" t="s">
        <v>188</v>
      </c>
      <c r="S314" s="631"/>
    </row>
    <row r="315" spans="1:19" x14ac:dyDescent="0.2">
      <c r="A315" s="398" t="str">
        <v xml:space="preserve"> </v>
      </c>
      <c r="C315" s="630" t="s">
        <v>188</v>
      </c>
      <c r="D315" s="631"/>
      <c r="F315" s="630" t="s">
        <v>188</v>
      </c>
      <c r="G315" s="631"/>
      <c r="H315" s="473"/>
      <c r="I315" s="634" t="str">
        <f>A173</f>
        <v>p24-3G 73F30</v>
      </c>
      <c r="J315" s="635"/>
      <c r="K315" s="473"/>
      <c r="L315" s="630" t="s">
        <v>188</v>
      </c>
      <c r="M315" s="631"/>
      <c r="O315" s="630" t="str">
        <f>A148</f>
        <v>p29-1G 56F120</v>
      </c>
      <c r="P315" s="631"/>
      <c r="R315" s="630" t="s">
        <v>188</v>
      </c>
      <c r="S315" s="631"/>
    </row>
    <row r="316" spans="1:19" x14ac:dyDescent="0.2">
      <c r="A316" s="398" t="str">
        <v xml:space="preserve"> </v>
      </c>
      <c r="C316" s="630" t="s">
        <v>188</v>
      </c>
      <c r="D316" s="631"/>
      <c r="F316" s="630" t="s">
        <v>188</v>
      </c>
      <c r="G316" s="631"/>
      <c r="H316" s="473"/>
      <c r="I316" s="634" t="str">
        <f>A178</f>
        <v>p24-3G 74F85</v>
      </c>
      <c r="J316" s="635"/>
      <c r="K316" s="473"/>
      <c r="L316" s="630" t="s">
        <v>188</v>
      </c>
      <c r="M316" s="631"/>
      <c r="O316" s="630" t="str">
        <f>A153</f>
        <v>p29-1G 57F59</v>
      </c>
      <c r="P316" s="631"/>
      <c r="R316" s="630" t="s">
        <v>188</v>
      </c>
      <c r="S316" s="631"/>
    </row>
    <row r="317" spans="1:19" x14ac:dyDescent="0.2">
      <c r="A317" s="398" t="str">
        <v xml:space="preserve"> </v>
      </c>
      <c r="C317" s="630" t="s">
        <v>188</v>
      </c>
      <c r="D317" s="631"/>
      <c r="F317" s="630" t="s">
        <v>188</v>
      </c>
      <c r="G317" s="631"/>
      <c r="H317" s="473"/>
      <c r="I317" s="634" t="str">
        <f>A183</f>
        <v>p24-3G 75F51</v>
      </c>
      <c r="J317" s="635"/>
      <c r="K317" s="473"/>
      <c r="L317" s="630" t="s">
        <v>188</v>
      </c>
      <c r="M317" s="631"/>
      <c r="O317" s="630" t="str">
        <f>A158</f>
        <v>p24-3G 60F50</v>
      </c>
      <c r="P317" s="631"/>
      <c r="R317" s="630" t="s">
        <v>188</v>
      </c>
      <c r="S317" s="631"/>
    </row>
    <row r="318" spans="1:19" x14ac:dyDescent="0.2">
      <c r="A318" s="398" t="str">
        <v xml:space="preserve"> </v>
      </c>
      <c r="C318" s="630" t="s">
        <v>188</v>
      </c>
      <c r="D318" s="631"/>
      <c r="F318" s="630" t="s">
        <v>188</v>
      </c>
      <c r="G318" s="631"/>
      <c r="H318" s="473"/>
      <c r="I318" s="634"/>
      <c r="J318" s="635"/>
      <c r="K318" s="473"/>
      <c r="L318" s="630" t="s">
        <v>188</v>
      </c>
      <c r="M318" s="631"/>
      <c r="O318" s="630" t="str">
        <f>A163</f>
        <v>p24-3G 68F79</v>
      </c>
      <c r="P318" s="631"/>
      <c r="R318" s="630" t="s">
        <v>188</v>
      </c>
      <c r="S318" s="631"/>
    </row>
    <row r="319" spans="1:19" x14ac:dyDescent="0.2">
      <c r="A319" s="398" t="str">
        <v xml:space="preserve"> </v>
      </c>
      <c r="C319" s="630" t="s">
        <v>188</v>
      </c>
      <c r="D319" s="631"/>
      <c r="F319" s="630" t="s">
        <v>188</v>
      </c>
      <c r="G319" s="631"/>
      <c r="H319" s="473"/>
      <c r="I319" s="634"/>
      <c r="J319" s="635"/>
      <c r="K319" s="473"/>
      <c r="L319" s="630" t="s">
        <v>188</v>
      </c>
      <c r="M319" s="631"/>
      <c r="O319" s="630" t="str">
        <f>A168</f>
        <v>p24-3G 68F240</v>
      </c>
      <c r="P319" s="631"/>
      <c r="R319" s="630" t="s">
        <v>188</v>
      </c>
      <c r="S319" s="631"/>
    </row>
    <row r="320" spans="1:19" x14ac:dyDescent="0.2">
      <c r="A320" s="398" t="str">
        <v xml:space="preserve"> </v>
      </c>
      <c r="C320" s="630" t="s">
        <v>188</v>
      </c>
      <c r="D320" s="631"/>
      <c r="F320" s="630" t="s">
        <v>188</v>
      </c>
      <c r="G320" s="631"/>
      <c r="H320" s="473"/>
      <c r="I320" s="634"/>
      <c r="J320" s="635"/>
      <c r="K320" s="473"/>
      <c r="L320" s="630" t="s">
        <v>188</v>
      </c>
      <c r="M320" s="631"/>
      <c r="O320" s="630" t="str">
        <f>A173</f>
        <v>p24-3G 73F30</v>
      </c>
      <c r="P320" s="631"/>
      <c r="R320" s="630" t="s">
        <v>188</v>
      </c>
      <c r="S320" s="631"/>
    </row>
    <row r="321" spans="1:19" x14ac:dyDescent="0.2">
      <c r="A321" s="398" t="str">
        <v xml:space="preserve"> </v>
      </c>
      <c r="C321" s="630" t="s">
        <v>188</v>
      </c>
      <c r="D321" s="631"/>
      <c r="F321" s="630" t="s">
        <v>188</v>
      </c>
      <c r="G321" s="631"/>
      <c r="H321" s="473"/>
      <c r="I321" s="637" t="s">
        <v>188</v>
      </c>
      <c r="J321" s="638"/>
      <c r="K321" s="473"/>
      <c r="L321" s="630" t="s">
        <v>188</v>
      </c>
      <c r="M321" s="631"/>
      <c r="O321" s="630" t="str">
        <f>A178</f>
        <v>p24-3G 74F85</v>
      </c>
      <c r="P321" s="631"/>
      <c r="R321" s="630" t="s">
        <v>188</v>
      </c>
      <c r="S321" s="631"/>
    </row>
    <row r="322" spans="1:19" x14ac:dyDescent="0.2">
      <c r="A322" s="462" t="str">
        <v xml:space="preserve"> </v>
      </c>
      <c r="C322" s="632" t="s">
        <v>188</v>
      </c>
      <c r="D322" s="633"/>
      <c r="F322" s="632" t="s">
        <v>188</v>
      </c>
      <c r="G322" s="633"/>
      <c r="H322" s="473"/>
      <c r="I322" s="632" t="s">
        <v>188</v>
      </c>
      <c r="J322" s="633"/>
      <c r="K322" s="473"/>
      <c r="L322" s="632" t="s">
        <v>188</v>
      </c>
      <c r="M322" s="633"/>
      <c r="O322" s="630" t="str">
        <f>A183</f>
        <v>p24-3G 75F51</v>
      </c>
      <c r="P322" s="631"/>
      <c r="R322" s="632" t="s">
        <v>188</v>
      </c>
      <c r="S322" s="633"/>
    </row>
    <row r="323" spans="1:19" x14ac:dyDescent="0.2">
      <c r="A323" s="398" t="str">
        <v xml:space="preserve"> </v>
      </c>
      <c r="C323" s="639" t="s">
        <v>188</v>
      </c>
      <c r="D323" s="639"/>
      <c r="F323" s="639" t="s">
        <v>188</v>
      </c>
      <c r="G323" s="639"/>
      <c r="I323" s="636" t="s">
        <v>188</v>
      </c>
      <c r="J323" s="636"/>
      <c r="L323" s="636" t="s">
        <v>188</v>
      </c>
      <c r="M323" s="636"/>
      <c r="O323" s="630" t="str">
        <f>A208</f>
        <v>p29-2G 84G88</v>
      </c>
      <c r="P323" s="631"/>
      <c r="R323" s="643" t="s">
        <v>188</v>
      </c>
      <c r="S323" s="643"/>
    </row>
    <row r="324" spans="1:19" x14ac:dyDescent="0.2">
      <c r="A324" s="398" t="str">
        <v>Isard</v>
      </c>
      <c r="C324" s="629" t="s">
        <v>188</v>
      </c>
      <c r="D324" s="629"/>
      <c r="F324" s="629" t="s">
        <v>188</v>
      </c>
      <c r="G324" s="629"/>
      <c r="I324" s="636" t="s">
        <v>188</v>
      </c>
      <c r="J324" s="636"/>
      <c r="L324" s="636" t="s">
        <v>188</v>
      </c>
      <c r="M324" s="636"/>
      <c r="O324" s="630" t="str">
        <f>A213</f>
        <v>p29-2G 93G80</v>
      </c>
      <c r="P324" s="631"/>
      <c r="R324" s="642" t="str">
        <f>A264</f>
        <v>Isard</v>
      </c>
      <c r="S324" s="642"/>
    </row>
    <row r="325" spans="1:19" x14ac:dyDescent="0.2">
      <c r="A325" s="398" t="str">
        <v>Chamois</v>
      </c>
      <c r="C325" s="629" t="s">
        <v>188</v>
      </c>
      <c r="D325" s="629"/>
      <c r="F325" s="629" t="s">
        <v>188</v>
      </c>
      <c r="G325" s="629"/>
      <c r="I325" s="636" t="s">
        <v>188</v>
      </c>
      <c r="J325" s="636"/>
      <c r="L325" s="636" t="s">
        <v>188</v>
      </c>
      <c r="M325" s="636"/>
      <c r="O325" s="630" t="str">
        <f>A218</f>
        <v>p29-2G 110G250</v>
      </c>
      <c r="P325" s="631"/>
      <c r="R325" s="642" t="str">
        <f>A269</f>
        <v>Chamois</v>
      </c>
      <c r="S325" s="642"/>
    </row>
    <row r="326" spans="1:19" x14ac:dyDescent="0.2">
      <c r="A326" s="398" t="str">
        <v>Pro75-2G</v>
      </c>
      <c r="C326" s="629" t="s">
        <v>188</v>
      </c>
      <c r="D326" s="629"/>
      <c r="F326" s="629" t="s">
        <v>188</v>
      </c>
      <c r="G326" s="629"/>
      <c r="I326" s="636" t="s">
        <v>188</v>
      </c>
      <c r="J326" s="636"/>
      <c r="L326" s="636" t="s">
        <v>188</v>
      </c>
      <c r="M326" s="636"/>
      <c r="O326" s="630" t="str">
        <f>A223</f>
        <v>p29-2G 116G126</v>
      </c>
      <c r="P326" s="631"/>
      <c r="R326" s="642" t="str">
        <f>A279</f>
        <v>Pro75-2G</v>
      </c>
      <c r="S326" s="642"/>
    </row>
    <row r="327" spans="1:19" x14ac:dyDescent="0.2">
      <c r="A327" s="398" t="str">
        <v>Pro98-2G WT</v>
      </c>
      <c r="C327" s="629" t="s">
        <v>188</v>
      </c>
      <c r="D327" s="629"/>
      <c r="F327" s="629" t="s">
        <v>188</v>
      </c>
      <c r="G327" s="629"/>
      <c r="I327" s="636" t="s">
        <v>188</v>
      </c>
      <c r="J327" s="636"/>
      <c r="L327" s="636" t="s">
        <v>188</v>
      </c>
      <c r="M327" s="636"/>
      <c r="O327" s="630" t="str">
        <f>A228</f>
        <v>p29-3G 125G131</v>
      </c>
      <c r="P327" s="631"/>
      <c r="R327" s="642" t="str">
        <f>A289</f>
        <v>Pro98-2G WT</v>
      </c>
      <c r="S327" s="642"/>
    </row>
    <row r="328" spans="1:19" x14ac:dyDescent="0.2">
      <c r="A328" s="398" t="str">
        <v>Pro98-3G WT</v>
      </c>
      <c r="C328" s="629" t="s">
        <v>188</v>
      </c>
      <c r="D328" s="629"/>
      <c r="F328" s="629" t="s">
        <v>188</v>
      </c>
      <c r="G328" s="629"/>
      <c r="I328" s="636" t="s">
        <v>188</v>
      </c>
      <c r="J328" s="636"/>
      <c r="L328" s="636" t="s">
        <v>188</v>
      </c>
      <c r="M328" s="636"/>
      <c r="O328" s="630" t="str">
        <f>A243</f>
        <v>p38-1G 128G185</v>
      </c>
      <c r="P328" s="631"/>
      <c r="R328" s="642" t="str">
        <f>A294</f>
        <v>Pro98-3G WT</v>
      </c>
      <c r="S328" s="642"/>
    </row>
    <row r="329" spans="1:19" x14ac:dyDescent="0.2">
      <c r="A329" s="398" t="str">
        <v>Aucun (2e ét. inerte)</v>
      </c>
      <c r="C329" s="629" t="s">
        <v>188</v>
      </c>
      <c r="D329" s="629"/>
      <c r="F329" s="629" t="s">
        <v>188</v>
      </c>
      <c r="G329" s="629"/>
      <c r="I329" s="636" t="s">
        <v>188</v>
      </c>
      <c r="J329" s="636"/>
      <c r="L329" s="636" t="s">
        <v>188</v>
      </c>
      <c r="M329" s="636"/>
      <c r="O329" s="630" t="str">
        <f>A238</f>
        <v>p38-1G 137G58</v>
      </c>
      <c r="P329" s="631"/>
      <c r="R329" s="642" t="str">
        <f>A299</f>
        <v>Aucun (2e ét. inerte)</v>
      </c>
      <c r="S329" s="642"/>
    </row>
    <row r="330" spans="1:19" x14ac:dyDescent="0.2">
      <c r="A330" s="398" t="str">
        <v xml:space="preserve"> </v>
      </c>
      <c r="C330" s="629" t="s">
        <v>188</v>
      </c>
      <c r="D330" s="629"/>
      <c r="F330" s="629" t="s">
        <v>188</v>
      </c>
      <c r="G330" s="629"/>
      <c r="I330" s="636" t="s">
        <v>188</v>
      </c>
      <c r="J330" s="636"/>
      <c r="L330" s="636" t="s">
        <v>188</v>
      </c>
      <c r="M330" s="636"/>
      <c r="O330" s="630" t="str">
        <f>A248</f>
        <v>p38-1G 141G78</v>
      </c>
      <c r="P330" s="631"/>
      <c r="R330" s="636" t="s">
        <v>188</v>
      </c>
      <c r="S330" s="636"/>
    </row>
    <row r="331" spans="1:19" x14ac:dyDescent="0.2">
      <c r="A331" s="398" t="str">
        <v xml:space="preserve"> </v>
      </c>
      <c r="C331" s="629" t="s">
        <v>188</v>
      </c>
      <c r="D331" s="629"/>
      <c r="F331" s="629" t="s">
        <v>188</v>
      </c>
      <c r="G331" s="629"/>
      <c r="I331" s="629" t="s">
        <v>188</v>
      </c>
      <c r="J331" s="629"/>
      <c r="L331" s="636" t="s">
        <v>188</v>
      </c>
      <c r="M331" s="636"/>
      <c r="O331" s="630" t="str">
        <f>A188</f>
        <v>p24-6G 140G145 PK</v>
      </c>
      <c r="P331" s="631"/>
      <c r="R331" s="629" t="s">
        <v>188</v>
      </c>
      <c r="S331" s="629"/>
    </row>
    <row r="332" spans="1:19" x14ac:dyDescent="0.2">
      <c r="A332" s="398" t="str">
        <v xml:space="preserve"> </v>
      </c>
      <c r="C332" s="629" t="s">
        <v>188</v>
      </c>
      <c r="D332" s="629"/>
      <c r="F332" s="629" t="s">
        <v>188</v>
      </c>
      <c r="G332" s="629"/>
      <c r="I332" s="629" t="s">
        <v>188</v>
      </c>
      <c r="J332" s="629"/>
      <c r="L332" s="636" t="s">
        <v>188</v>
      </c>
      <c r="M332" s="636"/>
      <c r="O332" s="630" t="str">
        <f>A193</f>
        <v>Pandora</v>
      </c>
      <c r="P332" s="631"/>
      <c r="R332" s="629" t="s">
        <v>188</v>
      </c>
      <c r="S332" s="629"/>
    </row>
    <row r="333" spans="1:19" x14ac:dyDescent="0.2">
      <c r="A333" s="398" t="str">
        <v xml:space="preserve"> </v>
      </c>
      <c r="C333" s="629" t="s">
        <v>188</v>
      </c>
      <c r="D333" s="629"/>
      <c r="F333" s="629" t="s">
        <v>188</v>
      </c>
      <c r="G333" s="629"/>
      <c r="I333" s="629" t="s">
        <v>188</v>
      </c>
      <c r="J333" s="629"/>
      <c r="L333" s="629" t="s">
        <v>188</v>
      </c>
      <c r="M333" s="629"/>
      <c r="O333" s="634" t="str">
        <f>A198</f>
        <v>p24-6G 142G117 WT</v>
      </c>
      <c r="P333" s="635"/>
      <c r="R333" s="629" t="s">
        <v>188</v>
      </c>
      <c r="S333" s="629"/>
    </row>
    <row r="334" spans="1:19" x14ac:dyDescent="0.2">
      <c r="A334" s="398" t="str">
        <v xml:space="preserve"> </v>
      </c>
      <c r="C334" s="629" t="s">
        <v>188</v>
      </c>
      <c r="D334" s="629"/>
      <c r="F334" s="629" t="s">
        <v>188</v>
      </c>
      <c r="G334" s="629"/>
      <c r="I334" s="629" t="s">
        <v>188</v>
      </c>
      <c r="J334" s="629"/>
      <c r="L334" s="629" t="s">
        <v>188</v>
      </c>
      <c r="M334" s="629"/>
      <c r="O334" s="634" t="str">
        <f>A203</f>
        <v>p24-6G 139G107 DT</v>
      </c>
      <c r="P334" s="635"/>
      <c r="R334" s="629" t="s">
        <v>188</v>
      </c>
      <c r="S334" s="629"/>
    </row>
    <row r="335" spans="1:19" x14ac:dyDescent="0.2">
      <c r="A335" s="398" t="str">
        <v xml:space="preserve"> </v>
      </c>
      <c r="C335" s="629" t="s">
        <v>188</v>
      </c>
      <c r="D335" s="629"/>
      <c r="F335" s="629" t="s">
        <v>188</v>
      </c>
      <c r="G335" s="629"/>
      <c r="I335" s="629" t="s">
        <v>188</v>
      </c>
      <c r="J335" s="629"/>
      <c r="L335" s="629" t="s">
        <v>188</v>
      </c>
      <c r="M335" s="629"/>
      <c r="O335" s="634" t="str">
        <f>A258</f>
        <v>Cariacou</v>
      </c>
      <c r="P335" s="635"/>
      <c r="R335" s="629" t="s">
        <v>188</v>
      </c>
      <c r="S335" s="629"/>
    </row>
    <row r="336" spans="1:19" x14ac:dyDescent="0.2">
      <c r="A336" s="474" t="str">
        <v xml:space="preserve"> </v>
      </c>
      <c r="C336" s="629" t="s">
        <v>188</v>
      </c>
      <c r="D336" s="629"/>
      <c r="F336" s="629" t="s">
        <v>188</v>
      </c>
      <c r="G336" s="629"/>
      <c r="I336" s="629" t="s">
        <v>188</v>
      </c>
      <c r="J336" s="629"/>
      <c r="L336" s="629" t="s">
        <v>188</v>
      </c>
      <c r="M336" s="629"/>
      <c r="O336" s="644" t="str">
        <f>A253</f>
        <v>Wapiti</v>
      </c>
      <c r="P336" s="645"/>
      <c r="R336" s="629" t="s">
        <v>188</v>
      </c>
      <c r="S336" s="629"/>
    </row>
  </sheetData>
  <sheetProtection password="C6AC" sheet="1"/>
  <dataConsolidate/>
  <mergeCells count="186">
    <mergeCell ref="R335:S335"/>
    <mergeCell ref="O335:P335"/>
    <mergeCell ref="O330:P330"/>
    <mergeCell ref="R336:S336"/>
    <mergeCell ref="R332:S332"/>
    <mergeCell ref="F332:G332"/>
    <mergeCell ref="F333:G333"/>
    <mergeCell ref="F334:G334"/>
    <mergeCell ref="F335:G335"/>
    <mergeCell ref="F336:G336"/>
    <mergeCell ref="O336:P336"/>
    <mergeCell ref="L335:M335"/>
    <mergeCell ref="L336:M336"/>
    <mergeCell ref="L334:M334"/>
    <mergeCell ref="I336:J336"/>
    <mergeCell ref="I335:J335"/>
    <mergeCell ref="O334:P334"/>
    <mergeCell ref="R334:S334"/>
    <mergeCell ref="L332:M332"/>
    <mergeCell ref="R325:S325"/>
    <mergeCell ref="R323:S323"/>
    <mergeCell ref="I327:J327"/>
    <mergeCell ref="I328:J328"/>
    <mergeCell ref="I329:J329"/>
    <mergeCell ref="O331:P331"/>
    <mergeCell ref="L324:M324"/>
    <mergeCell ref="R329:S329"/>
    <mergeCell ref="O333:P333"/>
    <mergeCell ref="R328:S328"/>
    <mergeCell ref="R326:S326"/>
    <mergeCell ref="R327:S327"/>
    <mergeCell ref="R324:S324"/>
    <mergeCell ref="O332:P332"/>
    <mergeCell ref="O325:P325"/>
    <mergeCell ref="R330:S330"/>
    <mergeCell ref="R331:S331"/>
    <mergeCell ref="R333:S333"/>
    <mergeCell ref="O328:P328"/>
    <mergeCell ref="O326:P326"/>
    <mergeCell ref="L333:M333"/>
    <mergeCell ref="I332:J332"/>
    <mergeCell ref="I333:J333"/>
    <mergeCell ref="L331:M331"/>
    <mergeCell ref="F310:G310"/>
    <mergeCell ref="O313:P313"/>
    <mergeCell ref="O310:P310"/>
    <mergeCell ref="O309:P309"/>
    <mergeCell ref="F315:G315"/>
    <mergeCell ref="F316:G316"/>
    <mergeCell ref="F317:G317"/>
    <mergeCell ref="O315:P315"/>
    <mergeCell ref="O320:P320"/>
    <mergeCell ref="O317:P317"/>
    <mergeCell ref="L318:M318"/>
    <mergeCell ref="R321:S321"/>
    <mergeCell ref="L321:M321"/>
    <mergeCell ref="L322:M322"/>
    <mergeCell ref="L319:M319"/>
    <mergeCell ref="L320:M320"/>
    <mergeCell ref="C312:D312"/>
    <mergeCell ref="C322:D322"/>
    <mergeCell ref="R312:S312"/>
    <mergeCell ref="R318:S318"/>
    <mergeCell ref="R322:S322"/>
    <mergeCell ref="F318:G318"/>
    <mergeCell ref="F312:G312"/>
    <mergeCell ref="O316:P316"/>
    <mergeCell ref="F313:G313"/>
    <mergeCell ref="O321:P321"/>
    <mergeCell ref="O314:P314"/>
    <mergeCell ref="O312:P312"/>
    <mergeCell ref="O322:P322"/>
    <mergeCell ref="F322:G322"/>
    <mergeCell ref="C319:D319"/>
    <mergeCell ref="I318:J318"/>
    <mergeCell ref="C317:D317"/>
    <mergeCell ref="C316:D316"/>
    <mergeCell ref="C315:D315"/>
    <mergeCell ref="R306:S306"/>
    <mergeCell ref="R307:S307"/>
    <mergeCell ref="R308:S308"/>
    <mergeCell ref="R309:S309"/>
    <mergeCell ref="R310:S310"/>
    <mergeCell ref="R317:S317"/>
    <mergeCell ref="L310:M310"/>
    <mergeCell ref="I306:J306"/>
    <mergeCell ref="R320:S320"/>
    <mergeCell ref="R319:S319"/>
    <mergeCell ref="O319:P319"/>
    <mergeCell ref="I309:J309"/>
    <mergeCell ref="O308:P308"/>
    <mergeCell ref="O307:P307"/>
    <mergeCell ref="I310:J310"/>
    <mergeCell ref="L308:M308"/>
    <mergeCell ref="L309:M309"/>
    <mergeCell ref="O306:P306"/>
    <mergeCell ref="I307:J307"/>
    <mergeCell ref="I308:J308"/>
    <mergeCell ref="R316:S316"/>
    <mergeCell ref="O318:P318"/>
    <mergeCell ref="I319:J319"/>
    <mergeCell ref="I320:J320"/>
    <mergeCell ref="C311:D311"/>
    <mergeCell ref="O311:P311"/>
    <mergeCell ref="R311:S311"/>
    <mergeCell ref="R315:S315"/>
    <mergeCell ref="R314:S314"/>
    <mergeCell ref="R313:S313"/>
    <mergeCell ref="I311:J311"/>
    <mergeCell ref="I312:J312"/>
    <mergeCell ref="I313:J313"/>
    <mergeCell ref="C314:D314"/>
    <mergeCell ref="C313:D313"/>
    <mergeCell ref="F314:G314"/>
    <mergeCell ref="F311:G311"/>
    <mergeCell ref="C324:D324"/>
    <mergeCell ref="L328:M328"/>
    <mergeCell ref="F323:G323"/>
    <mergeCell ref="C321:D321"/>
    <mergeCell ref="C320:D320"/>
    <mergeCell ref="C318:D318"/>
    <mergeCell ref="C323:D323"/>
    <mergeCell ref="F328:G328"/>
    <mergeCell ref="L306:M306"/>
    <mergeCell ref="L307:M307"/>
    <mergeCell ref="L316:M316"/>
    <mergeCell ref="L317:M317"/>
    <mergeCell ref="L311:M311"/>
    <mergeCell ref="L312:M312"/>
    <mergeCell ref="C306:D306"/>
    <mergeCell ref="C307:D307"/>
    <mergeCell ref="C308:D308"/>
    <mergeCell ref="C309:D309"/>
    <mergeCell ref="C310:D310"/>
    <mergeCell ref="F306:G306"/>
    <mergeCell ref="F309:G309"/>
    <mergeCell ref="F308:G308"/>
    <mergeCell ref="F307:G307"/>
    <mergeCell ref="F319:G319"/>
    <mergeCell ref="I321:J321"/>
    <mergeCell ref="F320:G320"/>
    <mergeCell ref="F321:G321"/>
    <mergeCell ref="O329:P329"/>
    <mergeCell ref="I324:J324"/>
    <mergeCell ref="I325:J325"/>
    <mergeCell ref="I330:J330"/>
    <mergeCell ref="L327:M327"/>
    <mergeCell ref="I331:J331"/>
    <mergeCell ref="F329:G329"/>
    <mergeCell ref="F330:G330"/>
    <mergeCell ref="L329:M329"/>
    <mergeCell ref="L330:M330"/>
    <mergeCell ref="F331:G331"/>
    <mergeCell ref="O327:P327"/>
    <mergeCell ref="F324:G324"/>
    <mergeCell ref="F325:G325"/>
    <mergeCell ref="F326:G326"/>
    <mergeCell ref="F327:G327"/>
    <mergeCell ref="O323:P323"/>
    <mergeCell ref="I326:J326"/>
    <mergeCell ref="L323:M323"/>
    <mergeCell ref="O324:P324"/>
    <mergeCell ref="C335:D335"/>
    <mergeCell ref="C336:D336"/>
    <mergeCell ref="C325:D325"/>
    <mergeCell ref="C326:D326"/>
    <mergeCell ref="C327:D327"/>
    <mergeCell ref="C328:D328"/>
    <mergeCell ref="C329:D329"/>
    <mergeCell ref="C330:D330"/>
    <mergeCell ref="L313:M313"/>
    <mergeCell ref="L314:M314"/>
    <mergeCell ref="L315:M315"/>
    <mergeCell ref="I322:J322"/>
    <mergeCell ref="I314:J314"/>
    <mergeCell ref="I315:J315"/>
    <mergeCell ref="I316:J316"/>
    <mergeCell ref="I317:J317"/>
    <mergeCell ref="C334:D334"/>
    <mergeCell ref="C331:D331"/>
    <mergeCell ref="C332:D332"/>
    <mergeCell ref="C333:D333"/>
    <mergeCell ref="L325:M325"/>
    <mergeCell ref="L326:M326"/>
    <mergeCell ref="I334:J334"/>
    <mergeCell ref="I323:J323"/>
  </mergeCells>
  <phoneticPr fontId="8" type="noConversion"/>
  <pageMargins left="0.39370078740157483" right="0.39370078740157483" top="0.39370078740157483" bottom="0.39370078740157483" header="0" footer="0"/>
  <pageSetup scale="44" firstPageNumber="0" fitToHeight="3" orientation="landscape" horizontalDpi="300" verticalDpi="300"/>
  <headerFooter alignWithMargins="0"/>
  <ignoredErrors>
    <ignoredError sqref="R307:S308 C307:D314 F307:G311 O312:P329 O332:P332 R324:S329 O330:O331 O307:P309 O310:P311 P331" unlocked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E1134-95F0-2D4D-BFC4-ECED88733CEF}">
  <sheetPr codeName="Feuil4">
    <pageSetUpPr fitToPage="1"/>
  </sheetPr>
  <dimension ref="A1:IN1075"/>
  <sheetViews>
    <sheetView showGridLines="0" workbookViewId="0">
      <pane xSplit="3" ySplit="7" topLeftCell="D561" activePane="bottomRight" state="frozen"/>
      <selection pane="topRight" activeCell="D1" sqref="D1"/>
      <selection pane="bottomLeft" activeCell="A8" sqref="A8"/>
      <selection pane="bottomRight" activeCell="Q526" sqref="Q526"/>
    </sheetView>
  </sheetViews>
  <sheetFormatPr baseColWidth="10" defaultColWidth="11.7109375" defaultRowHeight="12.75" x14ac:dyDescent="0.2"/>
  <cols>
    <col min="1" max="1" width="4.7109375" style="7" bestFit="1" customWidth="1"/>
    <col min="2" max="2" width="6" style="7" bestFit="1" customWidth="1"/>
    <col min="3" max="3" width="1.28515625" style="8" customWidth="1"/>
    <col min="4" max="4" width="7.140625" style="7" customWidth="1"/>
    <col min="5" max="6" width="7.28515625" style="7" customWidth="1"/>
    <col min="7" max="7" width="7.140625" style="7" customWidth="1"/>
    <col min="8" max="8" width="7.28515625" style="7" customWidth="1"/>
    <col min="9" max="9" width="7.140625" style="7" customWidth="1"/>
    <col min="10" max="12" width="7.7109375" style="7" bestFit="1" customWidth="1"/>
    <col min="13" max="13" width="5.7109375" style="7" customWidth="1"/>
    <col min="14" max="14" width="6.28515625" style="7" customWidth="1"/>
    <col min="15" max="15" width="1.28515625" style="8" customWidth="1"/>
    <col min="16" max="16" width="4" style="7" customWidth="1"/>
    <col min="17" max="17" width="8.7109375" style="7" customWidth="1"/>
    <col min="18" max="18" width="5.7109375" style="7" customWidth="1"/>
    <col min="19" max="19" width="5.28515625" style="7" customWidth="1"/>
    <col min="20" max="20" width="6" style="7" customWidth="1"/>
    <col min="21" max="21" width="8.7109375" style="7" customWidth="1"/>
    <col min="22" max="22" width="6.7109375" style="7" customWidth="1"/>
    <col min="23" max="23" width="7.140625" style="7" customWidth="1"/>
    <col min="24" max="24" width="1.28515625" style="8" customWidth="1"/>
    <col min="25" max="25" width="15.7109375" style="7" customWidth="1"/>
    <col min="26" max="26" width="5.7109375" style="7" customWidth="1"/>
    <col min="27" max="27" width="7.7109375" style="7" customWidth="1"/>
    <col min="28" max="28" width="1.7109375" style="7" customWidth="1"/>
    <col min="29" max="29" width="7.28515625" style="7" bestFit="1" customWidth="1"/>
    <col min="30" max="31" width="6.7109375" style="7" bestFit="1" customWidth="1"/>
    <col min="32" max="32" width="1.85546875" style="7" customWidth="1"/>
    <col min="33" max="238" width="11.28515625" style="7" customWidth="1"/>
    <col min="239" max="239" width="11" style="7" customWidth="1"/>
  </cols>
  <sheetData>
    <row r="1" spans="1:248" ht="13.5" thickBot="1" x14ac:dyDescent="0.25">
      <c r="D1" s="646" t="s">
        <v>270</v>
      </c>
      <c r="E1" s="647"/>
      <c r="F1" s="647"/>
      <c r="G1" s="647"/>
      <c r="H1" s="647"/>
      <c r="I1" s="647"/>
      <c r="J1" s="647"/>
      <c r="K1" s="647"/>
      <c r="L1" s="647"/>
      <c r="M1" s="647"/>
      <c r="N1" s="648"/>
      <c r="P1" s="646" t="s">
        <v>17</v>
      </c>
      <c r="Q1" s="647"/>
      <c r="R1" s="647"/>
      <c r="S1" s="647"/>
      <c r="T1" s="647"/>
      <c r="U1" s="647"/>
      <c r="V1" s="647"/>
      <c r="W1" s="648"/>
      <c r="Y1" s="9"/>
      <c r="Z1" s="9"/>
      <c r="AA1" s="9"/>
      <c r="AC1" s="653" t="s">
        <v>190</v>
      </c>
      <c r="AD1" s="653"/>
      <c r="AE1" s="653"/>
      <c r="AG1" s="649" t="s">
        <v>18</v>
      </c>
      <c r="AH1" s="649"/>
    </row>
    <row r="2" spans="1:248" s="12" customFormat="1" x14ac:dyDescent="0.2">
      <c r="A2" s="330" t="s">
        <v>19</v>
      </c>
      <c r="B2" s="331" t="s">
        <v>2</v>
      </c>
      <c r="C2" s="10"/>
      <c r="D2" s="334" t="s">
        <v>197</v>
      </c>
      <c r="E2" s="335" t="s">
        <v>198</v>
      </c>
      <c r="F2" s="331" t="s">
        <v>199</v>
      </c>
      <c r="G2" s="334" t="s">
        <v>194</v>
      </c>
      <c r="H2" s="335" t="s">
        <v>195</v>
      </c>
      <c r="I2" s="331" t="s">
        <v>196</v>
      </c>
      <c r="J2" s="334" t="s">
        <v>191</v>
      </c>
      <c r="K2" s="335" t="s">
        <v>192</v>
      </c>
      <c r="L2" s="331" t="s">
        <v>193</v>
      </c>
      <c r="M2" s="330" t="s">
        <v>20</v>
      </c>
      <c r="N2" s="331" t="s">
        <v>21</v>
      </c>
      <c r="O2" s="10"/>
      <c r="P2" s="330" t="s">
        <v>26</v>
      </c>
      <c r="Q2" s="331" t="s">
        <v>25</v>
      </c>
      <c r="R2" s="330" t="s">
        <v>22</v>
      </c>
      <c r="S2" s="335" t="s">
        <v>39</v>
      </c>
      <c r="T2" s="331" t="s">
        <v>27</v>
      </c>
      <c r="U2" s="338" t="s">
        <v>28</v>
      </c>
      <c r="V2" s="330" t="s">
        <v>24</v>
      </c>
      <c r="W2" s="331" t="s">
        <v>23</v>
      </c>
      <c r="X2" s="11"/>
      <c r="Y2" s="650" t="s">
        <v>189</v>
      </c>
      <c r="Z2" s="651"/>
      <c r="AA2" s="652"/>
      <c r="AC2" s="330" t="s">
        <v>11</v>
      </c>
      <c r="AD2" s="335" t="s">
        <v>3</v>
      </c>
      <c r="AE2" s="331" t="s">
        <v>29</v>
      </c>
      <c r="AG2" s="345" t="s">
        <v>31</v>
      </c>
      <c r="AH2" s="346" t="s">
        <v>30</v>
      </c>
      <c r="IF2"/>
      <c r="IG2"/>
      <c r="IH2"/>
      <c r="II2"/>
      <c r="IJ2"/>
      <c r="IK2"/>
      <c r="IL2"/>
      <c r="IM2"/>
      <c r="IN2"/>
    </row>
    <row r="3" spans="1:248" s="12" customFormat="1" x14ac:dyDescent="0.2">
      <c r="A3" s="332" t="s">
        <v>156</v>
      </c>
      <c r="B3" s="333" t="s">
        <v>156</v>
      </c>
      <c r="C3" s="10"/>
      <c r="D3" s="336" t="s">
        <v>7</v>
      </c>
      <c r="E3" s="337" t="s">
        <v>7</v>
      </c>
      <c r="F3" s="333" t="s">
        <v>7</v>
      </c>
      <c r="G3" s="336" t="s">
        <v>157</v>
      </c>
      <c r="H3" s="337" t="s">
        <v>157</v>
      </c>
      <c r="I3" s="333" t="s">
        <v>157</v>
      </c>
      <c r="J3" s="336" t="s">
        <v>39</v>
      </c>
      <c r="K3" s="337" t="s">
        <v>39</v>
      </c>
      <c r="L3" s="333" t="s">
        <v>39</v>
      </c>
      <c r="M3" s="332" t="s">
        <v>248</v>
      </c>
      <c r="N3" s="333" t="s">
        <v>158</v>
      </c>
      <c r="O3" s="10"/>
      <c r="P3" s="336" t="s">
        <v>14</v>
      </c>
      <c r="Q3" s="339" t="s">
        <v>231</v>
      </c>
      <c r="R3" s="336" t="s">
        <v>249</v>
      </c>
      <c r="S3" s="340" t="s">
        <v>232</v>
      </c>
      <c r="T3" s="339" t="s">
        <v>231</v>
      </c>
      <c r="U3" s="341" t="s">
        <v>231</v>
      </c>
      <c r="V3" s="336" t="s">
        <v>8</v>
      </c>
      <c r="W3" s="339" t="s">
        <v>231</v>
      </c>
      <c r="X3" s="11"/>
      <c r="Y3" s="342"/>
      <c r="Z3" s="343"/>
      <c r="AA3" s="344"/>
      <c r="AC3" s="336" t="s">
        <v>156</v>
      </c>
      <c r="AD3" s="340" t="s">
        <v>39</v>
      </c>
      <c r="AE3" s="339" t="s">
        <v>39</v>
      </c>
      <c r="AG3" s="342" t="s">
        <v>7</v>
      </c>
      <c r="AH3" s="339" t="s">
        <v>7</v>
      </c>
      <c r="IF3"/>
      <c r="IG3"/>
      <c r="IH3"/>
      <c r="II3"/>
      <c r="IJ3"/>
      <c r="IK3"/>
      <c r="IL3"/>
      <c r="IM3"/>
      <c r="IN3"/>
    </row>
    <row r="4" spans="1:248" x14ac:dyDescent="0.2">
      <c r="A4" s="292" t="s">
        <v>14</v>
      </c>
      <c r="B4" s="349">
        <f>T_ini</f>
        <v>0</v>
      </c>
      <c r="D4" s="292" t="s">
        <v>14</v>
      </c>
      <c r="E4" s="293" t="s">
        <v>14</v>
      </c>
      <c r="F4" s="294" t="s">
        <v>14</v>
      </c>
      <c r="G4" s="292">
        <f>vit_xz*COS(Beta)</f>
        <v>0</v>
      </c>
      <c r="H4" s="293">
        <f>vit_xz*SIN(Beta)</f>
        <v>0</v>
      </c>
      <c r="I4" s="349">
        <f>V_ini</f>
        <v>0</v>
      </c>
      <c r="J4" s="350">
        <f>X_ini</f>
        <v>0</v>
      </c>
      <c r="K4" s="351">
        <f>Z_ini</f>
        <v>0</v>
      </c>
      <c r="L4" s="327">
        <f t="shared" ref="L4:L67" si="0">SQRT(pos_x^2+pos_z^2)</f>
        <v>0</v>
      </c>
      <c r="M4" s="292">
        <f>RADIANS(N4)</f>
        <v>1.4835298641951802</v>
      </c>
      <c r="N4" s="349">
        <f>Beta_rampe</f>
        <v>85</v>
      </c>
      <c r="P4" s="292" t="s">
        <v>14</v>
      </c>
      <c r="Q4" s="294" t="s">
        <v>14</v>
      </c>
      <c r="R4" s="292" t="s">
        <v>14</v>
      </c>
      <c r="S4" s="351">
        <f ca="1">m_tot</f>
        <v>11.010999999999999</v>
      </c>
      <c r="T4" s="327">
        <f t="shared" ref="T4:T67" ca="1" si="1">m*g</f>
        <v>108.01791</v>
      </c>
      <c r="U4" s="328">
        <f t="shared" ref="U4:U67" ca="1" si="2">IF(pos_xz&lt;L_rampe,Poids*COS(Beta),0)</f>
        <v>9.4143811760996901</v>
      </c>
      <c r="V4" s="329">
        <f t="shared" ref="V4:V67" si="3">Rho_moyen*(20000-Alt_rampe-pos_z)/(20000+Alt_rampe+pos_z)</f>
        <v>1.2250000000000001</v>
      </c>
      <c r="W4" s="327">
        <f t="shared" ref="W4:W67" si="4">1/2*Rho*Sref*Cx*vit_xz^2</f>
        <v>0</v>
      </c>
      <c r="Y4" s="295" t="s">
        <v>14</v>
      </c>
      <c r="Z4" s="296" t="s">
        <v>14</v>
      </c>
      <c r="AA4" s="297" t="s">
        <v>14</v>
      </c>
      <c r="AC4" s="320">
        <f>IF(ABS(t-ROUND(t,0))&lt;0.001,t,-1)</f>
        <v>0</v>
      </c>
      <c r="AD4" s="321">
        <f>IF(ABS(t-ROUND(t,0))&lt;0.001,pos_x,-1)</f>
        <v>0</v>
      </c>
      <c r="AE4" s="322">
        <f t="shared" ref="AE4:AE67" si="5">IF(t&lt;T_para, pos_z, NA())</f>
        <v>0</v>
      </c>
      <c r="AG4" s="292" t="s">
        <v>14</v>
      </c>
      <c r="AH4" s="294" t="s">
        <v>14</v>
      </c>
    </row>
    <row r="5" spans="1:248" x14ac:dyDescent="0.2">
      <c r="A5" s="347">
        <f t="shared" ref="A5:A68" ca="1" si="6">IF(B4+0.01&lt;=T_ini+ROUNDUP(Temps_fin_propu,0), 0.01, IF(K4&gt;0, 0.1, 0.0001))</f>
        <v>0.01</v>
      </c>
      <c r="B5" s="304">
        <f t="shared" ref="B5:B68" ca="1" si="7">B4+pas</f>
        <v>0.01</v>
      </c>
      <c r="D5" s="306">
        <f t="shared" ref="D5:D68" ca="1" si="8">IF(AND(L4&lt;L_rampe,Poussee&lt;Poids*SIN(M4)),0,(-W4+Poussee)/m*COS(M4)-U4/m*SIN(M4))</f>
        <v>0.84776070497149658</v>
      </c>
      <c r="E5" s="307">
        <f t="shared" ref="E5:E68" ca="1" si="9">IF(AND(L4&lt;L_rampe,Poussee&lt;Poids*SIN(M4)),0,(-W4+Poussee)/m*SIN(M4)+U4/m*COS(M4)-Poids/m)</f>
        <v>9.6909074853067221</v>
      </c>
      <c r="F5" s="304">
        <f t="shared" ref="F5:F68" ca="1" si="10">SQRT(acc_x^2+acc_z^2)</f>
        <v>9.7279178708327727</v>
      </c>
      <c r="G5" s="306">
        <f t="shared" ref="G5:G68" ca="1" si="11">G4+acc_x*pas</f>
        <v>8.4776070497149664E-3</v>
      </c>
      <c r="H5" s="307">
        <f t="shared" ref="H5:H68" ca="1" si="12">H4+acc_z*pas</f>
        <v>9.6909074853067226E-2</v>
      </c>
      <c r="I5" s="304">
        <f t="shared" ref="I5:I68" ca="1" si="13">SQRT(vit_x^2+vit_z^2)</f>
        <v>9.7279178708327724E-2</v>
      </c>
      <c r="J5" s="306">
        <f t="shared" ref="J5:J68" ca="1" si="14">J4+0.5*(vit_x+G4)*pas*(K4&gt;=0)</f>
        <v>4.2388035248574833E-5</v>
      </c>
      <c r="K5" s="307">
        <f t="shared" ref="K5:K68" ca="1" si="15">K4+0.5*(vit_z+H4)*pas</f>
        <v>4.8454537426533613E-4</v>
      </c>
      <c r="L5" s="304">
        <f t="shared" ca="1" si="0"/>
        <v>4.8639589354163866E-4</v>
      </c>
      <c r="M5" s="306">
        <f t="shared" ref="M5:M68" ca="1" si="16">IF(AND(L4&gt;L_rampe,G5&gt;0),ATAN2(G5,H5),$M$4)</f>
        <v>1.4835298641951802</v>
      </c>
      <c r="N5" s="304">
        <f t="shared" ref="N5:N68" ca="1" si="17">DEGREES(Beta)</f>
        <v>85</v>
      </c>
      <c r="P5" s="310">
        <f t="shared" ref="P5:P68" ca="1" si="18">MATCH(t-pas/2-T_ini,CdP_t)</f>
        <v>1</v>
      </c>
      <c r="Q5" s="304">
        <f t="shared" ref="Q5:Q68" ca="1" si="19">(INDEX(CdP,2,i_P+1)-INDEX(CdP,2,i_P+0))/(INDEX(CdP,1,i_P+1)-INDEX(CdP,1,i_P+0))*(t-pas/2-T_ini-INDEX(CdP,1,i_P+0))+INDEX(CdP,2,i_P+0)</f>
        <v>214.70000000000002</v>
      </c>
      <c r="R5" s="306">
        <f t="shared" ref="R5:R68" ca="1" si="20">Poussee/(g*ISP)</f>
        <v>0.10755015641095009</v>
      </c>
      <c r="S5" s="307">
        <f t="shared" ref="S5:S68" ca="1" si="21">S4-Débit*pas</f>
        <v>11.00992449843589</v>
      </c>
      <c r="T5" s="304">
        <f t="shared" ca="1" si="1"/>
        <v>108.00735932965608</v>
      </c>
      <c r="U5" s="311">
        <f t="shared" ca="1" si="2"/>
        <v>9.4134616245893792</v>
      </c>
      <c r="V5" s="306">
        <f t="shared" ca="1" si="3"/>
        <v>1.2249999406431933</v>
      </c>
      <c r="W5" s="304">
        <f t="shared" ca="1" si="4"/>
        <v>3.0647197136376152E-5</v>
      </c>
      <c r="Y5" s="314" t="str">
        <f t="shared" ref="Y5:Y68" ca="1" si="22">IF(AND(pos_z&lt;=0,K4&gt;0),"Impact balistique","") &amp; IF(AND(H6&lt;0,vit_z&gt;=0),"Apogée","") &amp; IF(AND(Poussee=0,Q4&gt;0),"Fin de propulsion","") &amp; IF(AND(L6&gt;L_rampe,pos_xz&lt;=L_rampe),"Sortie de rampe","")</f>
        <v/>
      </c>
      <c r="Z5" s="315" t="str">
        <f t="shared" ref="Z5:Z68" ca="1" si="23">IF(ABS(t-T_para)&lt;pas/2,"Para","")</f>
        <v/>
      </c>
      <c r="AA5" s="316" t="str">
        <f t="shared" ref="AA5:AA68" ca="1" si="24">IF(ABS(t-T_satellite)&lt;pas/2,"Satellite","")</f>
        <v/>
      </c>
      <c r="AC5" s="310" t="e">
        <f t="shared" ref="AC5:AC68" ca="1" si="25">IF(ABS(t-ROUND(t,0))&lt;0.001,t,NA())</f>
        <v>#N/A</v>
      </c>
      <c r="AD5" s="323" t="e">
        <f t="shared" ref="AD5:AD68" ca="1" si="26">IF(ABS(t-ROUND(t,0))&lt;0.001,pos_x,NA())</f>
        <v>#N/A</v>
      </c>
      <c r="AE5" s="324">
        <f t="shared" ca="1" si="5"/>
        <v>4.8454537426533613E-4</v>
      </c>
      <c r="AG5" s="306">
        <f t="shared" ref="AG5:AG68" ca="1" si="27">IF(AND(L4&lt;L_rampe,Poussee&lt;Poids*SIN(M4)),0,(-W4+Poussee)/m-Poids*SIN(M4)/m)</f>
        <v>9.7279178704742382</v>
      </c>
      <c r="AH5" s="304">
        <f t="shared" ref="AH5:AH68" ca="1" si="28">IF(AND(L4&lt;L_rampe,Poussee&lt;Poids*SIN(M4)), g*SIN(M4), (-W4+Poussee)/m)</f>
        <v>19.500587858754262</v>
      </c>
    </row>
    <row r="6" spans="1:248" x14ac:dyDescent="0.2">
      <c r="A6" s="347">
        <f t="shared" ca="1" si="6"/>
        <v>0.01</v>
      </c>
      <c r="B6" s="304">
        <f t="shared" ca="1" si="7"/>
        <v>0.02</v>
      </c>
      <c r="D6" s="306">
        <f t="shared" ca="1" si="8"/>
        <v>2.7228492227145282</v>
      </c>
      <c r="E6" s="307">
        <f t="shared" ca="1" si="9"/>
        <v>31.124324607773637</v>
      </c>
      <c r="F6" s="304">
        <f t="shared" ca="1" si="10"/>
        <v>31.243199102839977</v>
      </c>
      <c r="G6" s="306">
        <f t="shared" ca="1" si="11"/>
        <v>3.5706099276860248E-2</v>
      </c>
      <c r="H6" s="307">
        <f t="shared" ca="1" si="12"/>
        <v>0.40815232093080361</v>
      </c>
      <c r="I6" s="304">
        <f t="shared" ca="1" si="13"/>
        <v>0.40971116973640187</v>
      </c>
      <c r="J6" s="306">
        <f t="shared" ca="1" si="14"/>
        <v>2.633065668814509E-4</v>
      </c>
      <c r="K6" s="307">
        <f t="shared" ca="1" si="15"/>
        <v>3.0098523531846906E-3</v>
      </c>
      <c r="L6" s="304">
        <f t="shared" ca="1" si="0"/>
        <v>3.0213476357636034E-3</v>
      </c>
      <c r="M6" s="306">
        <f t="shared" ca="1" si="16"/>
        <v>1.4835298641951802</v>
      </c>
      <c r="N6" s="304">
        <f t="shared" ca="1" si="17"/>
        <v>85</v>
      </c>
      <c r="P6" s="310">
        <f t="shared" ca="1" si="18"/>
        <v>2</v>
      </c>
      <c r="Q6" s="304">
        <f t="shared" ca="1" si="19"/>
        <v>451.48888888888888</v>
      </c>
      <c r="R6" s="306">
        <f t="shared" ca="1" si="20"/>
        <v>0.22616534987333983</v>
      </c>
      <c r="S6" s="307">
        <f t="shared" ca="1" si="21"/>
        <v>11.007662844937157</v>
      </c>
      <c r="T6" s="304">
        <f t="shared" ca="1" si="1"/>
        <v>107.98517250883351</v>
      </c>
      <c r="U6" s="311">
        <f t="shared" ca="1" si="2"/>
        <v>9.4115279157413791</v>
      </c>
      <c r="V6" s="306">
        <f t="shared" ca="1" si="3"/>
        <v>1.2249996312931424</v>
      </c>
      <c r="W6" s="304">
        <f t="shared" ca="1" si="4"/>
        <v>5.4363382356653926E-4</v>
      </c>
      <c r="Y6" s="314" t="str">
        <f t="shared" ca="1" si="22"/>
        <v/>
      </c>
      <c r="Z6" s="315" t="str">
        <f t="shared" ca="1" si="23"/>
        <v/>
      </c>
      <c r="AA6" s="316" t="str">
        <f t="shared" ca="1" si="24"/>
        <v/>
      </c>
      <c r="AC6" s="310" t="e">
        <f t="shared" ca="1" si="25"/>
        <v>#N/A</v>
      </c>
      <c r="AD6" s="323" t="e">
        <f t="shared" ca="1" si="26"/>
        <v>#N/A</v>
      </c>
      <c r="AE6" s="324">
        <f t="shared" ca="1" si="5"/>
        <v>3.0098523531846906E-3</v>
      </c>
      <c r="AG6" s="306">
        <f t="shared" ca="1" si="27"/>
        <v>31.243199102346118</v>
      </c>
      <c r="AH6" s="304">
        <f t="shared" ca="1" si="28"/>
        <v>41.01586909062614</v>
      </c>
    </row>
    <row r="7" spans="1:248" x14ac:dyDescent="0.2">
      <c r="A7" s="347">
        <f t="shared" ca="1" si="6"/>
        <v>0.01</v>
      </c>
      <c r="B7" s="304">
        <f t="shared" ca="1" si="7"/>
        <v>0.03</v>
      </c>
      <c r="D7" s="306">
        <f t="shared" ca="1" si="8"/>
        <v>3.5012414595704922</v>
      </c>
      <c r="E7" s="307">
        <f t="shared" ca="1" si="9"/>
        <v>40.021827495634298</v>
      </c>
      <c r="F7" s="304">
        <f t="shared" ca="1" si="10"/>
        <v>40.174685659610638</v>
      </c>
      <c r="G7" s="306">
        <f t="shared" ca="1" si="11"/>
        <v>7.071851387256517E-2</v>
      </c>
      <c r="H7" s="307">
        <f t="shared" ca="1" si="12"/>
        <v>0.80837059588714655</v>
      </c>
      <c r="I7" s="304">
        <f t="shared" ca="1" si="13"/>
        <v>0.8114580263324066</v>
      </c>
      <c r="J7" s="306">
        <f t="shared" ca="1" si="14"/>
        <v>7.9542963262857795E-4</v>
      </c>
      <c r="K7" s="307">
        <f t="shared" ca="1" si="15"/>
        <v>9.0924669372744408E-3</v>
      </c>
      <c r="L7" s="304">
        <f t="shared" ca="1" si="0"/>
        <v>9.1271936161063487E-3</v>
      </c>
      <c r="M7" s="306">
        <f t="shared" ca="1" si="16"/>
        <v>1.4835298641951802</v>
      </c>
      <c r="N7" s="304">
        <f t="shared" ca="1" si="17"/>
        <v>85</v>
      </c>
      <c r="P7" s="310">
        <f t="shared" ca="1" si="18"/>
        <v>2</v>
      </c>
      <c r="Q7" s="304">
        <f t="shared" ca="1" si="19"/>
        <v>549.66666666666663</v>
      </c>
      <c r="R7" s="306">
        <f t="shared" ca="1" si="20"/>
        <v>0.27534576606374267</v>
      </c>
      <c r="S7" s="307">
        <f t="shared" ca="1" si="21"/>
        <v>11.00490938727652</v>
      </c>
      <c r="T7" s="304">
        <f t="shared" ca="1" si="1"/>
        <v>107.95816108918267</v>
      </c>
      <c r="U7" s="311">
        <f t="shared" ca="1" si="2"/>
        <v>9.4091737153990405</v>
      </c>
      <c r="V7" s="306">
        <f t="shared" ca="1" si="3"/>
        <v>1.2249988861733065</v>
      </c>
      <c r="W7" s="304">
        <f t="shared" ca="1" si="4"/>
        <v>2.1324689584411756E-3</v>
      </c>
      <c r="Y7" s="314" t="str">
        <f t="shared" ca="1" si="22"/>
        <v/>
      </c>
      <c r="Z7" s="315" t="str">
        <f t="shared" ca="1" si="23"/>
        <v/>
      </c>
      <c r="AA7" s="316" t="str">
        <f t="shared" ca="1" si="24"/>
        <v/>
      </c>
      <c r="AC7" s="310" t="e">
        <f t="shared" ca="1" si="25"/>
        <v>#N/A</v>
      </c>
      <c r="AD7" s="323" t="e">
        <f t="shared" ca="1" si="26"/>
        <v>#N/A</v>
      </c>
      <c r="AE7" s="324">
        <f t="shared" ca="1" si="5"/>
        <v>9.0924669372744408E-3</v>
      </c>
      <c r="AG7" s="306">
        <f t="shared" ca="1" si="27"/>
        <v>40.174685659041089</v>
      </c>
      <c r="AH7" s="304">
        <f t="shared" ca="1" si="28"/>
        <v>49.947355647321118</v>
      </c>
    </row>
    <row r="8" spans="1:248" x14ac:dyDescent="0.2">
      <c r="A8" s="347">
        <f t="shared" ca="1" si="6"/>
        <v>0.01</v>
      </c>
      <c r="B8" s="304">
        <f t="shared" ca="1" si="7"/>
        <v>0.04</v>
      </c>
      <c r="D8" s="306">
        <f t="shared" ca="1" si="8"/>
        <v>4.2802441865071641</v>
      </c>
      <c r="E8" s="307">
        <f t="shared" ca="1" si="9"/>
        <v>48.926308666087373</v>
      </c>
      <c r="F8" s="304">
        <f t="shared" ca="1" si="10"/>
        <v>49.113177152220409</v>
      </c>
      <c r="G8" s="306">
        <f t="shared" ca="1" si="11"/>
        <v>0.11352095573763682</v>
      </c>
      <c r="H8" s="307">
        <f t="shared" ca="1" si="12"/>
        <v>1.2976336825480204</v>
      </c>
      <c r="I8" s="304">
        <f t="shared" ca="1" si="13"/>
        <v>1.3025897978545367</v>
      </c>
      <c r="J8" s="306">
        <f t="shared" ca="1" si="14"/>
        <v>1.7166269806795881E-3</v>
      </c>
      <c r="K8" s="307">
        <f t="shared" ca="1" si="15"/>
        <v>1.9622488329450273E-2</v>
      </c>
      <c r="L8" s="304">
        <f t="shared" ca="1" si="0"/>
        <v>1.9697432737039854E-2</v>
      </c>
      <c r="M8" s="306">
        <f t="shared" ca="1" si="16"/>
        <v>1.4835298641951802</v>
      </c>
      <c r="N8" s="304">
        <f t="shared" ca="1" si="17"/>
        <v>85</v>
      </c>
      <c r="P8" s="310">
        <f t="shared" ca="1" si="18"/>
        <v>2</v>
      </c>
      <c r="Q8" s="304">
        <f t="shared" ca="1" si="19"/>
        <v>647.84444444444443</v>
      </c>
      <c r="R8" s="306">
        <f t="shared" ca="1" si="20"/>
        <v>0.32452618225414559</v>
      </c>
      <c r="S8" s="307">
        <f t="shared" ca="1" si="21"/>
        <v>11.001664125453978</v>
      </c>
      <c r="T8" s="304">
        <f t="shared" ca="1" si="1"/>
        <v>107.92632507070353</v>
      </c>
      <c r="U8" s="311">
        <f t="shared" ca="1" si="2"/>
        <v>9.4063990235623631</v>
      </c>
      <c r="V8" s="306">
        <f t="shared" ca="1" si="3"/>
        <v>1.2249975962475381</v>
      </c>
      <c r="W8" s="304">
        <f t="shared" ca="1" si="4"/>
        <v>5.4949720127694043E-3</v>
      </c>
      <c r="Y8" s="314" t="str">
        <f t="shared" ca="1" si="22"/>
        <v/>
      </c>
      <c r="Z8" s="315" t="str">
        <f t="shared" ca="1" si="23"/>
        <v/>
      </c>
      <c r="AA8" s="316" t="str">
        <f t="shared" ca="1" si="24"/>
        <v/>
      </c>
      <c r="AC8" s="310" t="e">
        <f t="shared" ca="1" si="25"/>
        <v>#N/A</v>
      </c>
      <c r="AD8" s="323" t="e">
        <f t="shared" ca="1" si="26"/>
        <v>#N/A</v>
      </c>
      <c r="AE8" s="324">
        <f t="shared" ca="1" si="5"/>
        <v>1.9622488329450273E-2</v>
      </c>
      <c r="AG8" s="306">
        <f t="shared" ca="1" si="27"/>
        <v>49.113177151572849</v>
      </c>
      <c r="AH8" s="304">
        <f t="shared" ca="1" si="28"/>
        <v>58.885847139852871</v>
      </c>
    </row>
    <row r="9" spans="1:248" x14ac:dyDescent="0.2">
      <c r="A9" s="347">
        <f t="shared" ca="1" si="6"/>
        <v>0.01</v>
      </c>
      <c r="B9" s="304">
        <f t="shared" ca="1" si="7"/>
        <v>0.05</v>
      </c>
      <c r="D9" s="306">
        <f t="shared" ca="1" si="8"/>
        <v>5.0599569200038914</v>
      </c>
      <c r="E9" s="307">
        <f t="shared" ca="1" si="9"/>
        <v>57.838905656933818</v>
      </c>
      <c r="F9" s="304">
        <f t="shared" ca="1" si="10"/>
        <v>58.05981546322711</v>
      </c>
      <c r="G9" s="306">
        <f t="shared" ca="1" si="11"/>
        <v>0.16412052493767573</v>
      </c>
      <c r="H9" s="307">
        <f t="shared" ca="1" si="12"/>
        <v>1.8760227391173585</v>
      </c>
      <c r="I9" s="304">
        <f t="shared" ca="1" si="13"/>
        <v>1.8831879524867439</v>
      </c>
      <c r="J9" s="306">
        <f t="shared" ca="1" si="14"/>
        <v>3.1048343840561509E-3</v>
      </c>
      <c r="K9" s="307">
        <f t="shared" ca="1" si="15"/>
        <v>3.5490770437777167E-2</v>
      </c>
      <c r="L9" s="304">
        <f t="shared" ca="1" si="0"/>
        <v>3.5626321488745019E-2</v>
      </c>
      <c r="M9" s="306">
        <f t="shared" ca="1" si="16"/>
        <v>1.4835298641951802</v>
      </c>
      <c r="N9" s="304">
        <f t="shared" ca="1" si="17"/>
        <v>85</v>
      </c>
      <c r="P9" s="310">
        <f t="shared" ca="1" si="18"/>
        <v>2</v>
      </c>
      <c r="Q9" s="304">
        <f t="shared" ca="1" si="19"/>
        <v>746.02222222222224</v>
      </c>
      <c r="R9" s="306">
        <f t="shared" ca="1" si="20"/>
        <v>0.37370659844454851</v>
      </c>
      <c r="S9" s="307">
        <f t="shared" ca="1" si="21"/>
        <v>10.997927059469532</v>
      </c>
      <c r="T9" s="304">
        <f t="shared" ca="1" si="1"/>
        <v>107.88966445339612</v>
      </c>
      <c r="U9" s="311">
        <f t="shared" ca="1" si="2"/>
        <v>9.4032038402313489</v>
      </c>
      <c r="V9" s="306">
        <f t="shared" ca="1" si="3"/>
        <v>1.2249956523883363</v>
      </c>
      <c r="W9" s="304">
        <f t="shared" ca="1" si="4"/>
        <v>1.148515300439863E-2</v>
      </c>
      <c r="Y9" s="314" t="str">
        <f t="shared" ca="1" si="22"/>
        <v/>
      </c>
      <c r="Z9" s="315" t="str">
        <f t="shared" ca="1" si="23"/>
        <v/>
      </c>
      <c r="AA9" s="316" t="str">
        <f t="shared" ca="1" si="24"/>
        <v/>
      </c>
      <c r="AC9" s="310" t="e">
        <f t="shared" ca="1" si="25"/>
        <v>#N/A</v>
      </c>
      <c r="AD9" s="323" t="e">
        <f t="shared" ca="1" si="26"/>
        <v>#N/A</v>
      </c>
      <c r="AE9" s="324">
        <f t="shared" ca="1" si="5"/>
        <v>3.5490770437777167E-2</v>
      </c>
      <c r="AG9" s="306">
        <f t="shared" ca="1" si="27"/>
        <v>58.059815462500232</v>
      </c>
      <c r="AH9" s="304">
        <f t="shared" ca="1" si="28"/>
        <v>67.832485450780254</v>
      </c>
    </row>
    <row r="10" spans="1:248" x14ac:dyDescent="0.2">
      <c r="A10" s="347">
        <f t="shared" ca="1" si="6"/>
        <v>0.01</v>
      </c>
      <c r="B10" s="304">
        <f t="shared" ca="1" si="7"/>
        <v>6.0000000000000005E-2</v>
      </c>
      <c r="D10" s="306">
        <f t="shared" ca="1" si="8"/>
        <v>5.8404782552767944</v>
      </c>
      <c r="E10" s="307">
        <f t="shared" ca="1" si="9"/>
        <v>66.760745476072515</v>
      </c>
      <c r="F10" s="304">
        <f t="shared" ca="1" si="10"/>
        <v>67.015731905063149</v>
      </c>
      <c r="G10" s="306">
        <f t="shared" ca="1" si="11"/>
        <v>0.22252530749044369</v>
      </c>
      <c r="H10" s="307">
        <f t="shared" ca="1" si="12"/>
        <v>2.5436301938780836</v>
      </c>
      <c r="I10" s="304">
        <f t="shared" ca="1" si="13"/>
        <v>2.5533452715373168</v>
      </c>
      <c r="J10" s="306">
        <f t="shared" ca="1" si="14"/>
        <v>5.0380635461967482E-3</v>
      </c>
      <c r="K10" s="307">
        <f t="shared" ca="1" si="15"/>
        <v>5.7589035102754378E-2</v>
      </c>
      <c r="L10" s="304">
        <f t="shared" ca="1" si="0"/>
        <v>5.7808987608864014E-2</v>
      </c>
      <c r="M10" s="306">
        <f t="shared" ca="1" si="16"/>
        <v>1.4835298641951802</v>
      </c>
      <c r="N10" s="304">
        <f t="shared" ca="1" si="17"/>
        <v>85</v>
      </c>
      <c r="P10" s="310">
        <f t="shared" ca="1" si="18"/>
        <v>2</v>
      </c>
      <c r="Q10" s="304">
        <f t="shared" ca="1" si="19"/>
        <v>844.2</v>
      </c>
      <c r="R10" s="306">
        <f t="shared" ca="1" si="20"/>
        <v>0.42288701463495137</v>
      </c>
      <c r="S10" s="307">
        <f t="shared" ca="1" si="21"/>
        <v>10.993698189323183</v>
      </c>
      <c r="T10" s="304">
        <f t="shared" ca="1" si="1"/>
        <v>107.84817923726042</v>
      </c>
      <c r="U10" s="311">
        <f t="shared" ca="1" si="2"/>
        <v>9.3995881654059961</v>
      </c>
      <c r="V10" s="306">
        <f t="shared" ca="1" si="3"/>
        <v>1.2249929453635133</v>
      </c>
      <c r="W10" s="304">
        <f t="shared" ca="1" si="4"/>
        <v>2.1113857305825739E-2</v>
      </c>
      <c r="Y10" s="314" t="str">
        <f t="shared" ca="1" si="22"/>
        <v/>
      </c>
      <c r="Z10" s="315" t="str">
        <f t="shared" ca="1" si="23"/>
        <v/>
      </c>
      <c r="AA10" s="316" t="str">
        <f t="shared" ca="1" si="24"/>
        <v/>
      </c>
      <c r="AC10" s="310" t="e">
        <f t="shared" ca="1" si="25"/>
        <v>#N/A</v>
      </c>
      <c r="AD10" s="323" t="e">
        <f t="shared" ca="1" si="26"/>
        <v>#N/A</v>
      </c>
      <c r="AE10" s="324">
        <f t="shared" ca="1" si="5"/>
        <v>5.7589035102754378E-2</v>
      </c>
      <c r="AG10" s="306">
        <f t="shared" ca="1" si="27"/>
        <v>67.015731904256128</v>
      </c>
      <c r="AH10" s="304">
        <f t="shared" ca="1" si="28"/>
        <v>76.788401892536157</v>
      </c>
    </row>
    <row r="11" spans="1:248" x14ac:dyDescent="0.2">
      <c r="A11" s="347">
        <f t="shared" ca="1" si="6"/>
        <v>0.01</v>
      </c>
      <c r="B11" s="304">
        <f t="shared" ca="1" si="7"/>
        <v>7.0000000000000007E-2</v>
      </c>
      <c r="D11" s="306">
        <f t="shared" ca="1" si="8"/>
        <v>6.6219059037242705</v>
      </c>
      <c r="E11" s="307">
        <f t="shared" ca="1" si="9"/>
        <v>75.692945029531316</v>
      </c>
      <c r="F11" s="304">
        <f t="shared" ca="1" si="10"/>
        <v>75.982047649700959</v>
      </c>
      <c r="G11" s="306">
        <f t="shared" ca="1" si="11"/>
        <v>0.28874436652768642</v>
      </c>
      <c r="H11" s="307">
        <f t="shared" ca="1" si="12"/>
        <v>3.3005596441733971</v>
      </c>
      <c r="I11" s="304">
        <f t="shared" ca="1" si="13"/>
        <v>3.313165748034272</v>
      </c>
      <c r="J11" s="306">
        <f t="shared" ca="1" si="14"/>
        <v>7.594411916287399E-3</v>
      </c>
      <c r="K11" s="307">
        <f t="shared" ca="1" si="15"/>
        <v>8.6809984293011788E-2</v>
      </c>
      <c r="L11" s="304">
        <f t="shared" ca="1" si="0"/>
        <v>8.7141542706720559E-2</v>
      </c>
      <c r="M11" s="306">
        <f t="shared" ca="1" si="16"/>
        <v>1.4835298641951802</v>
      </c>
      <c r="N11" s="304">
        <f t="shared" ca="1" si="17"/>
        <v>85</v>
      </c>
      <c r="P11" s="310">
        <f t="shared" ca="1" si="18"/>
        <v>2</v>
      </c>
      <c r="Q11" s="304">
        <f t="shared" ca="1" si="19"/>
        <v>942.37777777777774</v>
      </c>
      <c r="R11" s="306">
        <f t="shared" ca="1" si="20"/>
        <v>0.47206743082535424</v>
      </c>
      <c r="S11" s="307">
        <f t="shared" ca="1" si="21"/>
        <v>10.988977515014929</v>
      </c>
      <c r="T11" s="304">
        <f t="shared" ca="1" si="1"/>
        <v>107.80186942229646</v>
      </c>
      <c r="U11" s="311">
        <f t="shared" ca="1" si="2"/>
        <v>9.3955519990863046</v>
      </c>
      <c r="V11" s="306">
        <f t="shared" ca="1" si="3"/>
        <v>1.2249893658230819</v>
      </c>
      <c r="W11" s="304">
        <f t="shared" ca="1" si="4"/>
        <v>3.5549504188363376E-2</v>
      </c>
      <c r="Y11" s="314" t="str">
        <f t="shared" ca="1" si="22"/>
        <v/>
      </c>
      <c r="Z11" s="315" t="str">
        <f t="shared" ca="1" si="23"/>
        <v/>
      </c>
      <c r="AA11" s="316" t="str">
        <f t="shared" ca="1" si="24"/>
        <v/>
      </c>
      <c r="AC11" s="310" t="e">
        <f t="shared" ca="1" si="25"/>
        <v>#N/A</v>
      </c>
      <c r="AD11" s="323" t="e">
        <f t="shared" ca="1" si="26"/>
        <v>#N/A</v>
      </c>
      <c r="AE11" s="324">
        <f t="shared" ca="1" si="5"/>
        <v>8.6809984293011788E-2</v>
      </c>
      <c r="AG11" s="306">
        <f t="shared" ca="1" si="27"/>
        <v>75.982047648813221</v>
      </c>
      <c r="AH11" s="304">
        <f t="shared" ca="1" si="28"/>
        <v>85.75471763709325</v>
      </c>
    </row>
    <row r="12" spans="1:248" x14ac:dyDescent="0.2">
      <c r="A12" s="347">
        <f t="shared" ca="1" si="6"/>
        <v>0.01</v>
      </c>
      <c r="B12" s="304">
        <f t="shared" ca="1" si="7"/>
        <v>0.08</v>
      </c>
      <c r="D12" s="306">
        <f t="shared" ca="1" si="8"/>
        <v>7.40433672911609</v>
      </c>
      <c r="E12" s="307">
        <f t="shared" ca="1" si="9"/>
        <v>84.636611535137348</v>
      </c>
      <c r="F12" s="304">
        <f t="shared" ca="1" si="10"/>
        <v>84.959874143903264</v>
      </c>
      <c r="G12" s="306">
        <f t="shared" ca="1" si="11"/>
        <v>0.36278773381884732</v>
      </c>
      <c r="H12" s="307">
        <f t="shared" ca="1" si="12"/>
        <v>4.1469257595247706</v>
      </c>
      <c r="I12" s="304">
        <f t="shared" ca="1" si="13"/>
        <v>4.1627644894732523</v>
      </c>
      <c r="J12" s="306">
        <f t="shared" ca="1" si="14"/>
        <v>1.0852072418020067E-2</v>
      </c>
      <c r="K12" s="307">
        <f t="shared" ca="1" si="15"/>
        <v>0.12404741131150263</v>
      </c>
      <c r="L12" s="304">
        <f t="shared" ca="1" si="0"/>
        <v>0.12452119389425666</v>
      </c>
      <c r="M12" s="306">
        <f t="shared" ca="1" si="16"/>
        <v>1.4835298641951802</v>
      </c>
      <c r="N12" s="304">
        <f t="shared" ca="1" si="17"/>
        <v>85</v>
      </c>
      <c r="P12" s="310">
        <f t="shared" ca="1" si="18"/>
        <v>2</v>
      </c>
      <c r="Q12" s="304">
        <f t="shared" ca="1" si="19"/>
        <v>1040.5555555555557</v>
      </c>
      <c r="R12" s="306">
        <f t="shared" ca="1" si="20"/>
        <v>0.52124784701575722</v>
      </c>
      <c r="S12" s="307">
        <f t="shared" ca="1" si="21"/>
        <v>10.983765036544771</v>
      </c>
      <c r="T12" s="304">
        <f t="shared" ca="1" si="1"/>
        <v>107.75073500850421</v>
      </c>
      <c r="U12" s="311">
        <f t="shared" ca="1" si="2"/>
        <v>9.3910953412722744</v>
      </c>
      <c r="V12" s="306">
        <f t="shared" ca="1" si="3"/>
        <v>1.2249848042863638</v>
      </c>
      <c r="W12" s="304">
        <f t="shared" ca="1" si="4"/>
        <v>5.6118917769029511E-2</v>
      </c>
      <c r="Y12" s="314" t="str">
        <f t="shared" ca="1" si="22"/>
        <v/>
      </c>
      <c r="Z12" s="315" t="str">
        <f t="shared" ca="1" si="23"/>
        <v/>
      </c>
      <c r="AA12" s="316" t="str">
        <f t="shared" ca="1" si="24"/>
        <v/>
      </c>
      <c r="AC12" s="310" t="e">
        <f t="shared" ca="1" si="25"/>
        <v>#N/A</v>
      </c>
      <c r="AD12" s="323" t="e">
        <f t="shared" ca="1" si="26"/>
        <v>#N/A</v>
      </c>
      <c r="AE12" s="324">
        <f t="shared" ca="1" si="5"/>
        <v>0.12404741131150263</v>
      </c>
      <c r="AG12" s="306">
        <f t="shared" ca="1" si="27"/>
        <v>84.959874142934382</v>
      </c>
      <c r="AH12" s="304">
        <f t="shared" ca="1" si="28"/>
        <v>94.732544131214411</v>
      </c>
    </row>
    <row r="13" spans="1:248" x14ac:dyDescent="0.2">
      <c r="A13" s="347">
        <f t="shared" ca="1" si="6"/>
        <v>0.01</v>
      </c>
      <c r="B13" s="304">
        <f t="shared" ca="1" si="7"/>
        <v>0.09</v>
      </c>
      <c r="D13" s="306">
        <f t="shared" ca="1" si="8"/>
        <v>8.1878667825678235</v>
      </c>
      <c r="E13" s="307">
        <f t="shared" ca="1" si="9"/>
        <v>93.59284292230393</v>
      </c>
      <c r="F13" s="304">
        <f t="shared" ca="1" si="10"/>
        <v>93.950313510536702</v>
      </c>
      <c r="G13" s="306">
        <f t="shared" ca="1" si="11"/>
        <v>0.44466640164452553</v>
      </c>
      <c r="H13" s="307">
        <f t="shared" ca="1" si="12"/>
        <v>5.0828541887478096</v>
      </c>
      <c r="I13" s="304">
        <f t="shared" ca="1" si="13"/>
        <v>5.1022676245785705</v>
      </c>
      <c r="J13" s="306">
        <f t="shared" ca="1" si="14"/>
        <v>1.4889343095336932E-2</v>
      </c>
      <c r="K13" s="307">
        <f t="shared" ca="1" si="15"/>
        <v>0.17019631105286553</v>
      </c>
      <c r="L13" s="304">
        <f t="shared" ca="1" si="0"/>
        <v>0.17084635446451416</v>
      </c>
      <c r="M13" s="306">
        <f t="shared" ca="1" si="16"/>
        <v>1.4835298641951802</v>
      </c>
      <c r="N13" s="304">
        <f t="shared" ca="1" si="17"/>
        <v>85</v>
      </c>
      <c r="P13" s="310">
        <f t="shared" ca="1" si="18"/>
        <v>2</v>
      </c>
      <c r="Q13" s="304">
        <f t="shared" ca="1" si="19"/>
        <v>1138.7333333333331</v>
      </c>
      <c r="R13" s="306">
        <f t="shared" ca="1" si="20"/>
        <v>0.57042826320615991</v>
      </c>
      <c r="S13" s="307">
        <f t="shared" ca="1" si="21"/>
        <v>10.978060753912709</v>
      </c>
      <c r="T13" s="304">
        <f t="shared" ca="1" si="1"/>
        <v>107.69477599588369</v>
      </c>
      <c r="U13" s="311">
        <f t="shared" ca="1" si="2"/>
        <v>9.3862181919639074</v>
      </c>
      <c r="V13" s="306">
        <f t="shared" ca="1" si="3"/>
        <v>1.224979151129316</v>
      </c>
      <c r="W13" s="304">
        <f t="shared" ca="1" si="4"/>
        <v>8.4308249047103989E-2</v>
      </c>
      <c r="Y13" s="314" t="str">
        <f t="shared" ca="1" si="22"/>
        <v/>
      </c>
      <c r="Z13" s="315" t="str">
        <f t="shared" ca="1" si="23"/>
        <v/>
      </c>
      <c r="AA13" s="316" t="str">
        <f t="shared" ca="1" si="24"/>
        <v/>
      </c>
      <c r="AC13" s="310" t="e">
        <f t="shared" ca="1" si="25"/>
        <v>#N/A</v>
      </c>
      <c r="AD13" s="323" t="e">
        <f t="shared" ca="1" si="26"/>
        <v>#N/A</v>
      </c>
      <c r="AE13" s="324">
        <f t="shared" ca="1" si="5"/>
        <v>0.17019631105286553</v>
      </c>
      <c r="AG13" s="306">
        <f t="shared" ca="1" si="27"/>
        <v>93.950313509486293</v>
      </c>
      <c r="AH13" s="304">
        <f t="shared" ca="1" si="28"/>
        <v>103.72298349776632</v>
      </c>
    </row>
    <row r="14" spans="1:248" x14ac:dyDescent="0.2">
      <c r="A14" s="347">
        <f t="shared" ca="1" si="6"/>
        <v>0.01</v>
      </c>
      <c r="B14" s="304">
        <f t="shared" ca="1" si="7"/>
        <v>9.9999999999999992E-2</v>
      </c>
      <c r="D14" s="306">
        <f t="shared" ca="1" si="8"/>
        <v>8.9725913363402903</v>
      </c>
      <c r="E14" s="307">
        <f t="shared" ca="1" si="9"/>
        <v>102.56272821838763</v>
      </c>
      <c r="F14" s="304">
        <f t="shared" ca="1" si="10"/>
        <v>102.95445893640458</v>
      </c>
      <c r="G14" s="306">
        <f t="shared" ca="1" si="11"/>
        <v>0.53439231500792839</v>
      </c>
      <c r="H14" s="307">
        <f t="shared" ca="1" si="12"/>
        <v>6.1084814709316859</v>
      </c>
      <c r="I14" s="304">
        <f t="shared" ca="1" si="13"/>
        <v>6.1318122139425686</v>
      </c>
      <c r="J14" s="306">
        <f t="shared" ca="1" si="14"/>
        <v>1.9784636678599202E-2</v>
      </c>
      <c r="K14" s="307">
        <f t="shared" ca="1" si="15"/>
        <v>0.22615298935126302</v>
      </c>
      <c r="L14" s="304">
        <f t="shared" ca="1" si="0"/>
        <v>0.22701675365711813</v>
      </c>
      <c r="M14" s="306">
        <f t="shared" ca="1" si="16"/>
        <v>1.4835298641951802</v>
      </c>
      <c r="N14" s="304">
        <f t="shared" ca="1" si="17"/>
        <v>85</v>
      </c>
      <c r="P14" s="310">
        <f t="shared" ca="1" si="18"/>
        <v>2</v>
      </c>
      <c r="Q14" s="304">
        <f t="shared" ca="1" si="19"/>
        <v>1236.911111111111</v>
      </c>
      <c r="R14" s="306">
        <f t="shared" ca="1" si="20"/>
        <v>0.61960867939656283</v>
      </c>
      <c r="S14" s="307">
        <f t="shared" ca="1" si="21"/>
        <v>10.971864667118744</v>
      </c>
      <c r="T14" s="304">
        <f t="shared" ca="1" si="1"/>
        <v>107.63399238443489</v>
      </c>
      <c r="U14" s="311">
        <f t="shared" ca="1" si="2"/>
        <v>9.3809205511612017</v>
      </c>
      <c r="V14" s="306">
        <f t="shared" ca="1" si="3"/>
        <v>1.2249722965720653</v>
      </c>
      <c r="W14" s="304">
        <f t="shared" ca="1" si="4"/>
        <v>0.12176398779357731</v>
      </c>
      <c r="Y14" s="314" t="str">
        <f t="shared" ca="1" si="22"/>
        <v/>
      </c>
      <c r="Z14" s="315" t="str">
        <f t="shared" ca="1" si="23"/>
        <v/>
      </c>
      <c r="AA14" s="316" t="str">
        <f t="shared" ca="1" si="24"/>
        <v/>
      </c>
      <c r="AC14" s="310" t="e">
        <f t="shared" ca="1" si="25"/>
        <v>#N/A</v>
      </c>
      <c r="AD14" s="323" t="e">
        <f t="shared" ca="1" si="26"/>
        <v>#N/A</v>
      </c>
      <c r="AE14" s="324">
        <f t="shared" ca="1" si="5"/>
        <v>0.22615298935126302</v>
      </c>
      <c r="AG14" s="306">
        <f t="shared" ca="1" si="27"/>
        <v>102.95445893527236</v>
      </c>
      <c r="AH14" s="304">
        <f t="shared" ca="1" si="28"/>
        <v>112.72712892355239</v>
      </c>
    </row>
    <row r="15" spans="1:248" x14ac:dyDescent="0.2">
      <c r="A15" s="347">
        <f t="shared" ca="1" si="6"/>
        <v>0.01</v>
      </c>
      <c r="B15" s="304">
        <f t="shared" ca="1" si="7"/>
        <v>0.10999999999999999</v>
      </c>
      <c r="D15" s="306">
        <f t="shared" ca="1" si="8"/>
        <v>9.3105605821228821</v>
      </c>
      <c r="E15" s="307">
        <f t="shared" ca="1" si="9"/>
        <v>106.42592511069893</v>
      </c>
      <c r="F15" s="304">
        <f t="shared" ca="1" si="10"/>
        <v>106.83241115888697</v>
      </c>
      <c r="G15" s="306">
        <f t="shared" ca="1" si="11"/>
        <v>0.62749792082915723</v>
      </c>
      <c r="H15" s="307">
        <f t="shared" ca="1" si="12"/>
        <v>7.1727407220386752</v>
      </c>
      <c r="I15" s="304">
        <f t="shared" ca="1" si="13"/>
        <v>7.2001363255313997</v>
      </c>
      <c r="J15" s="306">
        <f t="shared" ca="1" si="14"/>
        <v>2.559408785778463E-2</v>
      </c>
      <c r="K15" s="307">
        <f t="shared" ca="1" si="15"/>
        <v>0.29255910031611482</v>
      </c>
      <c r="L15" s="304">
        <f t="shared" ca="1" si="0"/>
        <v>0.29367649635448617</v>
      </c>
      <c r="M15" s="306">
        <f t="shared" ca="1" si="16"/>
        <v>1.4835298641951802</v>
      </c>
      <c r="N15" s="304">
        <f t="shared" ca="1" si="17"/>
        <v>85</v>
      </c>
      <c r="P15" s="310">
        <f t="shared" ca="1" si="18"/>
        <v>3</v>
      </c>
      <c r="Q15" s="304">
        <f t="shared" ca="1" si="19"/>
        <v>1278.75</v>
      </c>
      <c r="R15" s="306">
        <f t="shared" ca="1" si="20"/>
        <v>0.64056712860038389</v>
      </c>
      <c r="S15" s="307">
        <f t="shared" ca="1" si="21"/>
        <v>10.965458995832741</v>
      </c>
      <c r="T15" s="304">
        <f t="shared" ca="1" si="1"/>
        <v>107.57115274911919</v>
      </c>
      <c r="U15" s="311">
        <f t="shared" ca="1" si="2"/>
        <v>9.3754437160712705</v>
      </c>
      <c r="V15" s="306">
        <f t="shared" ca="1" si="3"/>
        <v>1.2249641620344476</v>
      </c>
      <c r="W15" s="304">
        <f t="shared" ca="1" si="4"/>
        <v>0.16788802694901953</v>
      </c>
      <c r="Y15" s="314" t="str">
        <f t="shared" ca="1" si="22"/>
        <v/>
      </c>
      <c r="Z15" s="315" t="str">
        <f t="shared" ca="1" si="23"/>
        <v/>
      </c>
      <c r="AA15" s="316" t="str">
        <f t="shared" ca="1" si="24"/>
        <v/>
      </c>
      <c r="AC15" s="310" t="e">
        <f t="shared" ca="1" si="25"/>
        <v>#N/A</v>
      </c>
      <c r="AD15" s="323" t="e">
        <f t="shared" ca="1" si="26"/>
        <v>#N/A</v>
      </c>
      <c r="AE15" s="324">
        <f t="shared" ca="1" si="5"/>
        <v>0.29255910031611482</v>
      </c>
      <c r="AG15" s="306">
        <f t="shared" ca="1" si="27"/>
        <v>106.83241115771942</v>
      </c>
      <c r="AH15" s="304">
        <f t="shared" ca="1" si="28"/>
        <v>116.60508114599945</v>
      </c>
    </row>
    <row r="16" spans="1:248" x14ac:dyDescent="0.2">
      <c r="A16" s="347">
        <f t="shared" ca="1" si="6"/>
        <v>0.01</v>
      </c>
      <c r="B16" s="304">
        <f t="shared" ca="1" si="7"/>
        <v>0.11999999999999998</v>
      </c>
      <c r="D16" s="306">
        <f t="shared" ca="1" si="8"/>
        <v>9.2007563752252057</v>
      </c>
      <c r="E16" s="307">
        <f t="shared" ca="1" si="9"/>
        <v>105.17079557546234</v>
      </c>
      <c r="F16" s="304">
        <f t="shared" ca="1" si="10"/>
        <v>105.57248770324556</v>
      </c>
      <c r="G16" s="306">
        <f t="shared" ca="1" si="11"/>
        <v>0.71950548458140928</v>
      </c>
      <c r="H16" s="307">
        <f t="shared" ca="1" si="12"/>
        <v>8.2244486777932977</v>
      </c>
      <c r="I16" s="304">
        <f t="shared" ca="1" si="13"/>
        <v>8.2558612025638283</v>
      </c>
      <c r="J16" s="306">
        <f t="shared" ca="1" si="14"/>
        <v>3.2329104884837465E-2</v>
      </c>
      <c r="K16" s="307">
        <f t="shared" ca="1" si="15"/>
        <v>0.36954504731527471</v>
      </c>
      <c r="L16" s="304">
        <f t="shared" ca="1" si="0"/>
        <v>0.37095648399496056</v>
      </c>
      <c r="M16" s="306">
        <f t="shared" ca="1" si="16"/>
        <v>1.4835298641951802</v>
      </c>
      <c r="N16" s="304">
        <f t="shared" ca="1" si="17"/>
        <v>85</v>
      </c>
      <c r="P16" s="310">
        <f t="shared" ca="1" si="18"/>
        <v>3</v>
      </c>
      <c r="Q16" s="304">
        <f t="shared" ca="1" si="19"/>
        <v>1264.25</v>
      </c>
      <c r="R16" s="306">
        <f t="shared" ca="1" si="20"/>
        <v>0.63330361081762288</v>
      </c>
      <c r="S16" s="307">
        <f t="shared" ca="1" si="21"/>
        <v>10.959125959724565</v>
      </c>
      <c r="T16" s="304">
        <f t="shared" ca="1" si="1"/>
        <v>107.50902566489799</v>
      </c>
      <c r="U16" s="311">
        <f t="shared" ca="1" si="2"/>
        <v>9.370028983901225</v>
      </c>
      <c r="V16" s="306">
        <f t="shared" ca="1" si="3"/>
        <v>1.2249547315681402</v>
      </c>
      <c r="W16" s="304">
        <f t="shared" ca="1" si="4"/>
        <v>0.22072915925929085</v>
      </c>
      <c r="Y16" s="314" t="str">
        <f t="shared" ca="1" si="22"/>
        <v/>
      </c>
      <c r="Z16" s="315" t="str">
        <f t="shared" ca="1" si="23"/>
        <v/>
      </c>
      <c r="AA16" s="316" t="str">
        <f t="shared" ca="1" si="24"/>
        <v/>
      </c>
      <c r="AC16" s="310" t="e">
        <f t="shared" ca="1" si="25"/>
        <v>#N/A</v>
      </c>
      <c r="AD16" s="323" t="e">
        <f t="shared" ca="1" si="26"/>
        <v>#N/A</v>
      </c>
      <c r="AE16" s="324">
        <f t="shared" ca="1" si="5"/>
        <v>0.36954504731527471</v>
      </c>
      <c r="AG16" s="306">
        <f t="shared" ca="1" si="27"/>
        <v>105.57248770208939</v>
      </c>
      <c r="AH16" s="304">
        <f t="shared" ca="1" si="28"/>
        <v>115.34515769036942</v>
      </c>
    </row>
    <row r="17" spans="1:34" x14ac:dyDescent="0.2">
      <c r="A17" s="347">
        <f t="shared" ca="1" si="6"/>
        <v>0.01</v>
      </c>
      <c r="B17" s="304">
        <f t="shared" ca="1" si="7"/>
        <v>0.12999999999999998</v>
      </c>
      <c r="D17" s="306">
        <f t="shared" ca="1" si="8"/>
        <v>9.0872937301931174</v>
      </c>
      <c r="E17" s="307">
        <f t="shared" ca="1" si="9"/>
        <v>103.87384786851825</v>
      </c>
      <c r="F17" s="304">
        <f t="shared" ca="1" si="10"/>
        <v>104.270586352772</v>
      </c>
      <c r="G17" s="306">
        <f t="shared" ca="1" si="11"/>
        <v>0.81037842188334042</v>
      </c>
      <c r="H17" s="307">
        <f t="shared" ca="1" si="12"/>
        <v>9.2631871564784802</v>
      </c>
      <c r="I17" s="304">
        <f t="shared" ca="1" si="13"/>
        <v>9.2985670660915272</v>
      </c>
      <c r="J17" s="306">
        <f t="shared" ca="1" si="14"/>
        <v>3.9978524417161217E-2</v>
      </c>
      <c r="K17" s="307">
        <f t="shared" ca="1" si="15"/>
        <v>0.45698322648663359</v>
      </c>
      <c r="L17" s="304">
        <f t="shared" ca="1" si="0"/>
        <v>0.45872862533823566</v>
      </c>
      <c r="M17" s="306">
        <f t="shared" ca="1" si="16"/>
        <v>1.4835298641951802</v>
      </c>
      <c r="N17" s="304">
        <f t="shared" ca="1" si="17"/>
        <v>85</v>
      </c>
      <c r="P17" s="310">
        <f t="shared" ca="1" si="18"/>
        <v>4</v>
      </c>
      <c r="Q17" s="304">
        <f t="shared" ca="1" si="19"/>
        <v>1249.3214285714287</v>
      </c>
      <c r="R17" s="306">
        <f t="shared" ca="1" si="20"/>
        <v>0.62582540778019913</v>
      </c>
      <c r="S17" s="307">
        <f t="shared" ca="1" si="21"/>
        <v>10.952867705646764</v>
      </c>
      <c r="T17" s="304">
        <f t="shared" ca="1" si="1"/>
        <v>107.44763219239475</v>
      </c>
      <c r="U17" s="311">
        <f t="shared" ca="1" si="2"/>
        <v>9.364678190205348</v>
      </c>
      <c r="V17" s="306">
        <f t="shared" ca="1" si="3"/>
        <v>1.2249440208338325</v>
      </c>
      <c r="W17" s="304">
        <f t="shared" ca="1" si="4"/>
        <v>0.28000333319827903</v>
      </c>
      <c r="Y17" s="314" t="str">
        <f t="shared" ca="1" si="22"/>
        <v/>
      </c>
      <c r="Z17" s="315" t="str">
        <f t="shared" ca="1" si="23"/>
        <v/>
      </c>
      <c r="AA17" s="316" t="str">
        <f t="shared" ca="1" si="24"/>
        <v/>
      </c>
      <c r="AC17" s="310" t="e">
        <f t="shared" ca="1" si="25"/>
        <v>#N/A</v>
      </c>
      <c r="AD17" s="323" t="e">
        <f t="shared" ca="1" si="26"/>
        <v>#N/A</v>
      </c>
      <c r="AE17" s="324">
        <f t="shared" ca="1" si="5"/>
        <v>0.45698322648663359</v>
      </c>
      <c r="AG17" s="306">
        <f t="shared" ca="1" si="27"/>
        <v>104.27058635162757</v>
      </c>
      <c r="AH17" s="304">
        <f t="shared" ca="1" si="28"/>
        <v>114.0432563399076</v>
      </c>
    </row>
    <row r="18" spans="1:34" x14ac:dyDescent="0.2">
      <c r="A18" s="347">
        <f t="shared" ca="1" si="6"/>
        <v>0.01</v>
      </c>
      <c r="B18" s="304">
        <f t="shared" ca="1" si="7"/>
        <v>0.13999999999999999</v>
      </c>
      <c r="D18" s="306">
        <f t="shared" ca="1" si="8"/>
        <v>8.9701690330662291</v>
      </c>
      <c r="E18" s="307">
        <f t="shared" ca="1" si="9"/>
        <v>102.53504067884445</v>
      </c>
      <c r="F18" s="304">
        <f t="shared" ca="1" si="10"/>
        <v>102.92666563866754</v>
      </c>
      <c r="G18" s="306">
        <f t="shared" ca="1" si="11"/>
        <v>0.90008011221400275</v>
      </c>
      <c r="H18" s="307">
        <f t="shared" ca="1" si="12"/>
        <v>10.288537563266924</v>
      </c>
      <c r="I18" s="304">
        <f t="shared" ca="1" si="13"/>
        <v>10.327833722478189</v>
      </c>
      <c r="J18" s="306">
        <f t="shared" ca="1" si="14"/>
        <v>4.8530817087647934E-2</v>
      </c>
      <c r="K18" s="307">
        <f t="shared" ca="1" si="15"/>
        <v>0.55474185008536059</v>
      </c>
      <c r="L18" s="304">
        <f t="shared" ca="1" si="0"/>
        <v>0.55686062928108271</v>
      </c>
      <c r="M18" s="306">
        <f t="shared" ca="1" si="16"/>
        <v>1.4835298641951802</v>
      </c>
      <c r="N18" s="304">
        <f t="shared" ca="1" si="17"/>
        <v>85</v>
      </c>
      <c r="P18" s="310">
        <f t="shared" ca="1" si="18"/>
        <v>4</v>
      </c>
      <c r="Q18" s="304">
        <f t="shared" ca="1" si="19"/>
        <v>1233.9642857142858</v>
      </c>
      <c r="R18" s="306">
        <f t="shared" ca="1" si="20"/>
        <v>0.61813251948811243</v>
      </c>
      <c r="S18" s="307">
        <f t="shared" ca="1" si="21"/>
        <v>10.946686380451883</v>
      </c>
      <c r="T18" s="304">
        <f t="shared" ca="1" si="1"/>
        <v>107.38699339223298</v>
      </c>
      <c r="U18" s="311">
        <f t="shared" ca="1" si="2"/>
        <v>9.3593931705379223</v>
      </c>
      <c r="V18" s="306">
        <f t="shared" ca="1" si="3"/>
        <v>1.2249320460082107</v>
      </c>
      <c r="W18" s="304">
        <f t="shared" ca="1" si="4"/>
        <v>0.34541832551782109</v>
      </c>
      <c r="Y18" s="314" t="str">
        <f t="shared" ca="1" si="22"/>
        <v/>
      </c>
      <c r="Z18" s="315" t="str">
        <f t="shared" ca="1" si="23"/>
        <v/>
      </c>
      <c r="AA18" s="316" t="str">
        <f t="shared" ca="1" si="24"/>
        <v/>
      </c>
      <c r="AC18" s="310" t="e">
        <f t="shared" ca="1" si="25"/>
        <v>#N/A</v>
      </c>
      <c r="AD18" s="323" t="e">
        <f t="shared" ca="1" si="26"/>
        <v>#N/A</v>
      </c>
      <c r="AE18" s="324">
        <f t="shared" ca="1" si="5"/>
        <v>0.55474185008536059</v>
      </c>
      <c r="AG18" s="306">
        <f t="shared" ca="1" si="27"/>
        <v>102.92666563753522</v>
      </c>
      <c r="AH18" s="304">
        <f t="shared" ca="1" si="28"/>
        <v>112.69933562581525</v>
      </c>
    </row>
    <row r="19" spans="1:34" x14ac:dyDescent="0.2">
      <c r="A19" s="347">
        <f t="shared" ca="1" si="6"/>
        <v>0.01</v>
      </c>
      <c r="B19" s="304">
        <f t="shared" ca="1" si="7"/>
        <v>0.15</v>
      </c>
      <c r="D19" s="306">
        <f t="shared" ca="1" si="8"/>
        <v>8.8527948283881699</v>
      </c>
      <c r="E19" s="307">
        <f t="shared" ca="1" si="9"/>
        <v>101.19338149199733</v>
      </c>
      <c r="F19" s="304">
        <f t="shared" ca="1" si="10"/>
        <v>101.57988203408411</v>
      </c>
      <c r="G19" s="306">
        <f t="shared" ca="1" si="11"/>
        <v>0.98860806049788441</v>
      </c>
      <c r="H19" s="307">
        <f t="shared" ca="1" si="12"/>
        <v>11.300471378186899</v>
      </c>
      <c r="I19" s="304">
        <f t="shared" ca="1" si="13"/>
        <v>11.343632542819019</v>
      </c>
      <c r="J19" s="306">
        <f t="shared" ca="1" si="14"/>
        <v>5.7974257951207371E-2</v>
      </c>
      <c r="K19" s="307">
        <f t="shared" ca="1" si="15"/>
        <v>0.66268689479262965</v>
      </c>
      <c r="L19" s="304">
        <f t="shared" ca="1" si="0"/>
        <v>0.66521796060756733</v>
      </c>
      <c r="M19" s="306">
        <f t="shared" ca="1" si="16"/>
        <v>1.4835298641951802</v>
      </c>
      <c r="N19" s="304">
        <f t="shared" ca="1" si="17"/>
        <v>85</v>
      </c>
      <c r="P19" s="310">
        <f t="shared" ca="1" si="18"/>
        <v>4</v>
      </c>
      <c r="Q19" s="304">
        <f t="shared" ca="1" si="19"/>
        <v>1218.6071428571429</v>
      </c>
      <c r="R19" s="306">
        <f t="shared" ca="1" si="20"/>
        <v>0.61043963119602562</v>
      </c>
      <c r="S19" s="307">
        <f t="shared" ca="1" si="21"/>
        <v>10.940581984139923</v>
      </c>
      <c r="T19" s="304">
        <f t="shared" ca="1" si="1"/>
        <v>107.32710926441266</v>
      </c>
      <c r="U19" s="311">
        <f t="shared" ca="1" si="2"/>
        <v>9.3541739248989462</v>
      </c>
      <c r="V19" s="306">
        <f t="shared" ca="1" si="3"/>
        <v>1.2249188235451165</v>
      </c>
      <c r="W19" s="304">
        <f t="shared" ca="1" si="4"/>
        <v>0.41670288938938566</v>
      </c>
      <c r="Y19" s="314" t="str">
        <f t="shared" ca="1" si="22"/>
        <v/>
      </c>
      <c r="Z19" s="315" t="str">
        <f t="shared" ca="1" si="23"/>
        <v/>
      </c>
      <c r="AA19" s="316" t="str">
        <f t="shared" ca="1" si="24"/>
        <v/>
      </c>
      <c r="AC19" s="310" t="e">
        <f t="shared" ca="1" si="25"/>
        <v>#N/A</v>
      </c>
      <c r="AD19" s="323" t="e">
        <f t="shared" ca="1" si="26"/>
        <v>#N/A</v>
      </c>
      <c r="AE19" s="324">
        <f t="shared" ca="1" si="5"/>
        <v>0.66268689479262965</v>
      </c>
      <c r="AG19" s="306">
        <f t="shared" ca="1" si="27"/>
        <v>101.57988203296391</v>
      </c>
      <c r="AH19" s="304">
        <f t="shared" ca="1" si="28"/>
        <v>111.35255202124394</v>
      </c>
    </row>
    <row r="20" spans="1:34" x14ac:dyDescent="0.2">
      <c r="A20" s="347">
        <f t="shared" ca="1" si="6"/>
        <v>0.01</v>
      </c>
      <c r="B20" s="304">
        <f t="shared" ca="1" si="7"/>
        <v>0.16</v>
      </c>
      <c r="D20" s="306">
        <f t="shared" ca="1" si="8"/>
        <v>8.7351753376239465</v>
      </c>
      <c r="E20" s="307">
        <f t="shared" ca="1" si="9"/>
        <v>99.848918560744437</v>
      </c>
      <c r="F20" s="304">
        <f t="shared" ca="1" si="10"/>
        <v>100.23028397609781</v>
      </c>
      <c r="G20" s="306">
        <f t="shared" ca="1" si="11"/>
        <v>1.0759598138741238</v>
      </c>
      <c r="H20" s="307">
        <f t="shared" ca="1" si="12"/>
        <v>12.298960563794344</v>
      </c>
      <c r="I20" s="304">
        <f t="shared" ca="1" si="13"/>
        <v>12.34593538257999</v>
      </c>
      <c r="J20" s="306">
        <f t="shared" ca="1" si="14"/>
        <v>6.8297097323067407E-2</v>
      </c>
      <c r="K20" s="307">
        <f t="shared" ca="1" si="15"/>
        <v>0.78068405450253586</v>
      </c>
      <c r="L20" s="304">
        <f t="shared" ca="1" si="0"/>
        <v>0.78366580023456101</v>
      </c>
      <c r="M20" s="306">
        <f t="shared" ca="1" si="16"/>
        <v>1.4835298641951802</v>
      </c>
      <c r="N20" s="304">
        <f t="shared" ca="1" si="17"/>
        <v>85</v>
      </c>
      <c r="P20" s="310">
        <f t="shared" ca="1" si="18"/>
        <v>4</v>
      </c>
      <c r="Q20" s="304">
        <f t="shared" ca="1" si="19"/>
        <v>1203.25</v>
      </c>
      <c r="R20" s="306">
        <f t="shared" ca="1" si="20"/>
        <v>0.60274674290393893</v>
      </c>
      <c r="S20" s="307">
        <f t="shared" ca="1" si="21"/>
        <v>10.934554516710884</v>
      </c>
      <c r="T20" s="304">
        <f t="shared" ca="1" si="1"/>
        <v>107.26797980893377</v>
      </c>
      <c r="U20" s="311">
        <f t="shared" ca="1" si="2"/>
        <v>9.3490204532884196</v>
      </c>
      <c r="V20" s="306">
        <f t="shared" ca="1" si="3"/>
        <v>1.2249043699361668</v>
      </c>
      <c r="W20" s="304">
        <f t="shared" ca="1" si="4"/>
        <v>0.49358856150744018</v>
      </c>
      <c r="Y20" s="314" t="str">
        <f t="shared" ca="1" si="22"/>
        <v/>
      </c>
      <c r="Z20" s="315" t="str">
        <f t="shared" ca="1" si="23"/>
        <v/>
      </c>
      <c r="AA20" s="316" t="str">
        <f t="shared" ca="1" si="24"/>
        <v/>
      </c>
      <c r="AC20" s="310" t="e">
        <f t="shared" ca="1" si="25"/>
        <v>#N/A</v>
      </c>
      <c r="AD20" s="323" t="e">
        <f t="shared" ca="1" si="26"/>
        <v>#N/A</v>
      </c>
      <c r="AE20" s="324">
        <f t="shared" ca="1" si="5"/>
        <v>0.78068405450253586</v>
      </c>
      <c r="AG20" s="306">
        <f t="shared" ca="1" si="27"/>
        <v>100.23028397498972</v>
      </c>
      <c r="AH20" s="304">
        <f t="shared" ca="1" si="28"/>
        <v>110.00295396326975</v>
      </c>
    </row>
    <row r="21" spans="1:34" x14ac:dyDescent="0.2">
      <c r="A21" s="347">
        <f t="shared" ca="1" si="6"/>
        <v>0.01</v>
      </c>
      <c r="B21" s="304">
        <f t="shared" ca="1" si="7"/>
        <v>0.17</v>
      </c>
      <c r="D21" s="306">
        <f t="shared" ca="1" si="8"/>
        <v>8.617314779772185</v>
      </c>
      <c r="E21" s="307">
        <f t="shared" ca="1" si="9"/>
        <v>98.501700109669784</v>
      </c>
      <c r="F21" s="304">
        <f t="shared" ca="1" si="10"/>
        <v>98.877919873493497</v>
      </c>
      <c r="G21" s="306">
        <f t="shared" ca="1" si="11"/>
        <v>1.1621329616718457</v>
      </c>
      <c r="H21" s="307">
        <f t="shared" ca="1" si="12"/>
        <v>13.283977564891043</v>
      </c>
      <c r="I21" s="304">
        <f t="shared" ca="1" si="13"/>
        <v>13.334714581314918</v>
      </c>
      <c r="J21" s="306">
        <f t="shared" ca="1" si="14"/>
        <v>7.9487561200797252E-2</v>
      </c>
      <c r="K21" s="307">
        <f t="shared" ca="1" si="15"/>
        <v>0.90859874514596273</v>
      </c>
      <c r="L21" s="304">
        <f t="shared" ca="1" si="0"/>
        <v>0.91206905005403438</v>
      </c>
      <c r="M21" s="306">
        <f t="shared" ca="1" si="16"/>
        <v>1.4835298641951802</v>
      </c>
      <c r="N21" s="304">
        <f t="shared" ca="1" si="17"/>
        <v>85</v>
      </c>
      <c r="P21" s="310">
        <f t="shared" ca="1" si="18"/>
        <v>4</v>
      </c>
      <c r="Q21" s="304">
        <f t="shared" ca="1" si="19"/>
        <v>1187.8928571428571</v>
      </c>
      <c r="R21" s="306">
        <f t="shared" ca="1" si="20"/>
        <v>0.59505385461185212</v>
      </c>
      <c r="S21" s="307">
        <f t="shared" ca="1" si="21"/>
        <v>10.928603978164766</v>
      </c>
      <c r="T21" s="304">
        <f t="shared" ca="1" si="1"/>
        <v>107.20960502579636</v>
      </c>
      <c r="U21" s="311">
        <f t="shared" ca="1" si="2"/>
        <v>9.3439327557063443</v>
      </c>
      <c r="V21" s="306">
        <f t="shared" ca="1" si="3"/>
        <v>1.2248887017099939</v>
      </c>
      <c r="W21" s="304">
        <f t="shared" ca="1" si="4"/>
        <v>0.57580970591635294</v>
      </c>
      <c r="Y21" s="314" t="str">
        <f t="shared" ca="1" si="22"/>
        <v/>
      </c>
      <c r="Z21" s="315" t="str">
        <f t="shared" ca="1" si="23"/>
        <v/>
      </c>
      <c r="AA21" s="316" t="str">
        <f t="shared" ca="1" si="24"/>
        <v/>
      </c>
      <c r="AC21" s="310" t="e">
        <f t="shared" ca="1" si="25"/>
        <v>#N/A</v>
      </c>
      <c r="AD21" s="323" t="e">
        <f t="shared" ca="1" si="26"/>
        <v>#N/A</v>
      </c>
      <c r="AE21" s="324">
        <f t="shared" ca="1" si="5"/>
        <v>0.90859874514596273</v>
      </c>
      <c r="AG21" s="306">
        <f t="shared" ca="1" si="27"/>
        <v>98.87791987239757</v>
      </c>
      <c r="AH21" s="304">
        <f t="shared" ca="1" si="28"/>
        <v>108.6505898606776</v>
      </c>
    </row>
    <row r="22" spans="1:34" x14ac:dyDescent="0.2">
      <c r="A22" s="347">
        <f t="shared" ca="1" si="6"/>
        <v>0.01</v>
      </c>
      <c r="B22" s="304">
        <f t="shared" ca="1" si="7"/>
        <v>0.18000000000000002</v>
      </c>
      <c r="D22" s="306">
        <f t="shared" ca="1" si="8"/>
        <v>8.4992173707114862</v>
      </c>
      <c r="E22" s="307">
        <f t="shared" ca="1" si="9"/>
        <v>97.151774327702768</v>
      </c>
      <c r="F22" s="304">
        <f t="shared" ca="1" si="10"/>
        <v>97.522838099265201</v>
      </c>
      <c r="G22" s="306">
        <f t="shared" ca="1" si="11"/>
        <v>1.2471251353789605</v>
      </c>
      <c r="H22" s="307">
        <f t="shared" ca="1" si="12"/>
        <v>14.25549530816807</v>
      </c>
      <c r="I22" s="304">
        <f t="shared" ca="1" si="13"/>
        <v>14.309942962307566</v>
      </c>
      <c r="J22" s="306">
        <f t="shared" ca="1" si="14"/>
        <v>9.1533851686051285E-2</v>
      </c>
      <c r="K22" s="307">
        <f t="shared" ca="1" si="15"/>
        <v>1.0462961095112582</v>
      </c>
      <c r="L22" s="304">
        <f t="shared" ca="1" si="0"/>
        <v>1.0502923377721456</v>
      </c>
      <c r="M22" s="306">
        <f t="shared" ca="1" si="16"/>
        <v>1.4835298641951802</v>
      </c>
      <c r="N22" s="304">
        <f t="shared" ca="1" si="17"/>
        <v>85</v>
      </c>
      <c r="P22" s="310">
        <f t="shared" ca="1" si="18"/>
        <v>4</v>
      </c>
      <c r="Q22" s="304">
        <f t="shared" ca="1" si="19"/>
        <v>1172.5357142857142</v>
      </c>
      <c r="R22" s="306">
        <f t="shared" ca="1" si="20"/>
        <v>0.58736096631976542</v>
      </c>
      <c r="S22" s="307">
        <f t="shared" ca="1" si="21"/>
        <v>10.922730368501568</v>
      </c>
      <c r="T22" s="304">
        <f t="shared" ca="1" si="1"/>
        <v>107.1519849150004</v>
      </c>
      <c r="U22" s="311">
        <f t="shared" ca="1" si="2"/>
        <v>9.3389108321527203</v>
      </c>
      <c r="V22" s="306">
        <f t="shared" ca="1" si="3"/>
        <v>1.2248718354314896</v>
      </c>
      <c r="W22" s="304">
        <f t="shared" ca="1" si="4"/>
        <v>0.66310355711976254</v>
      </c>
      <c r="Y22" s="314" t="str">
        <f t="shared" ca="1" si="22"/>
        <v/>
      </c>
      <c r="Z22" s="315" t="str">
        <f t="shared" ca="1" si="23"/>
        <v/>
      </c>
      <c r="AA22" s="316" t="str">
        <f t="shared" ca="1" si="24"/>
        <v/>
      </c>
      <c r="AC22" s="310" t="e">
        <f t="shared" ca="1" si="25"/>
        <v>#N/A</v>
      </c>
      <c r="AD22" s="323" t="e">
        <f t="shared" ca="1" si="26"/>
        <v>#N/A</v>
      </c>
      <c r="AE22" s="324">
        <f t="shared" ca="1" si="5"/>
        <v>1.0462961095112582</v>
      </c>
      <c r="AG22" s="306">
        <f t="shared" ca="1" si="27"/>
        <v>97.52283809818141</v>
      </c>
      <c r="AH22" s="304">
        <f t="shared" ca="1" si="28"/>
        <v>107.29550808646144</v>
      </c>
    </row>
    <row r="23" spans="1:34" x14ac:dyDescent="0.2">
      <c r="A23" s="347">
        <f t="shared" ca="1" si="6"/>
        <v>0.01</v>
      </c>
      <c r="B23" s="304">
        <f t="shared" ca="1" si="7"/>
        <v>0.19000000000000003</v>
      </c>
      <c r="D23" s="306">
        <f t="shared" ca="1" si="8"/>
        <v>8.3808873225506595</v>
      </c>
      <c r="E23" s="307">
        <f t="shared" ca="1" si="9"/>
        <v>95.799189360691045</v>
      </c>
      <c r="F23" s="304">
        <f t="shared" ca="1" si="10"/>
        <v>96.165086983160535</v>
      </c>
      <c r="G23" s="306">
        <f t="shared" ca="1" si="11"/>
        <v>1.3309340086044672</v>
      </c>
      <c r="H23" s="307">
        <f t="shared" ca="1" si="12"/>
        <v>15.213487201774981</v>
      </c>
      <c r="I23" s="304">
        <f t="shared" ca="1" si="13"/>
        <v>15.271593832139169</v>
      </c>
      <c r="J23" s="306">
        <f t="shared" ca="1" si="14"/>
        <v>0.10442414740596842</v>
      </c>
      <c r="K23" s="307">
        <f t="shared" ca="1" si="15"/>
        <v>1.1936410220609734</v>
      </c>
      <c r="L23" s="304">
        <f t="shared" ca="1" si="0"/>
        <v>1.1982000217443785</v>
      </c>
      <c r="M23" s="306">
        <f t="shared" ca="1" si="16"/>
        <v>1.4835298641951802</v>
      </c>
      <c r="N23" s="304">
        <f t="shared" ca="1" si="17"/>
        <v>85</v>
      </c>
      <c r="P23" s="310">
        <f t="shared" ca="1" si="18"/>
        <v>4</v>
      </c>
      <c r="Q23" s="304">
        <f t="shared" ca="1" si="19"/>
        <v>1157.1785714285713</v>
      </c>
      <c r="R23" s="306">
        <f t="shared" ca="1" si="20"/>
        <v>0.57966807802767872</v>
      </c>
      <c r="S23" s="307">
        <f t="shared" ca="1" si="21"/>
        <v>10.916933687721292</v>
      </c>
      <c r="T23" s="304">
        <f t="shared" ca="1" si="1"/>
        <v>107.09511947654588</v>
      </c>
      <c r="U23" s="311">
        <f t="shared" ca="1" si="2"/>
        <v>9.3339546826275441</v>
      </c>
      <c r="V23" s="306">
        <f t="shared" ca="1" si="3"/>
        <v>1.2248537877010472</v>
      </c>
      <c r="W23" s="304">
        <f t="shared" ca="1" si="4"/>
        <v>0.75521026246688694</v>
      </c>
      <c r="Y23" s="314" t="str">
        <f t="shared" ca="1" si="22"/>
        <v/>
      </c>
      <c r="Z23" s="315" t="str">
        <f t="shared" ca="1" si="23"/>
        <v/>
      </c>
      <c r="AA23" s="316" t="str">
        <f t="shared" ca="1" si="24"/>
        <v/>
      </c>
      <c r="AC23" s="310" t="e">
        <f t="shared" ca="1" si="25"/>
        <v>#N/A</v>
      </c>
      <c r="AD23" s="323" t="e">
        <f t="shared" ca="1" si="26"/>
        <v>#N/A</v>
      </c>
      <c r="AE23" s="324">
        <f t="shared" ca="1" si="5"/>
        <v>1.1936410220609734</v>
      </c>
      <c r="AG23" s="306">
        <f t="shared" ca="1" si="27"/>
        <v>96.165086982088894</v>
      </c>
      <c r="AH23" s="304">
        <f t="shared" ca="1" si="28"/>
        <v>105.93775697036892</v>
      </c>
    </row>
    <row r="24" spans="1:34" x14ac:dyDescent="0.2">
      <c r="A24" s="347">
        <f t="shared" ca="1" si="6"/>
        <v>0.01</v>
      </c>
      <c r="B24" s="304">
        <f t="shared" ca="1" si="7"/>
        <v>0.20000000000000004</v>
      </c>
      <c r="D24" s="306">
        <f t="shared" ca="1" si="8"/>
        <v>8.2623288429830595</v>
      </c>
      <c r="E24" s="307">
        <f t="shared" ca="1" si="9"/>
        <v>94.443993304020452</v>
      </c>
      <c r="F24" s="304">
        <f t="shared" ca="1" si="10"/>
        <v>94.804714804272521</v>
      </c>
      <c r="G24" s="306">
        <f t="shared" ca="1" si="11"/>
        <v>1.4135572970342978</v>
      </c>
      <c r="H24" s="307">
        <f t="shared" ca="1" si="12"/>
        <v>16.157927134815186</v>
      </c>
      <c r="I24" s="304">
        <f t="shared" ca="1" si="13"/>
        <v>16.219640980181893</v>
      </c>
      <c r="J24" s="306">
        <f t="shared" ca="1" si="14"/>
        <v>0.11814660393416225</v>
      </c>
      <c r="K24" s="307">
        <f t="shared" ca="1" si="15"/>
        <v>1.3504980937439244</v>
      </c>
      <c r="L24" s="304">
        <f t="shared" ca="1" si="0"/>
        <v>1.355656195805983</v>
      </c>
      <c r="M24" s="306">
        <f t="shared" ca="1" si="16"/>
        <v>1.4835298641951802</v>
      </c>
      <c r="N24" s="304">
        <f t="shared" ca="1" si="17"/>
        <v>85</v>
      </c>
      <c r="P24" s="310">
        <f t="shared" ca="1" si="18"/>
        <v>4</v>
      </c>
      <c r="Q24" s="304">
        <f t="shared" ca="1" si="19"/>
        <v>1141.8214285714284</v>
      </c>
      <c r="R24" s="306">
        <f t="shared" ca="1" si="20"/>
        <v>0.57197518973559192</v>
      </c>
      <c r="S24" s="307">
        <f t="shared" ca="1" si="21"/>
        <v>10.911213935823936</v>
      </c>
      <c r="T24" s="304">
        <f t="shared" ca="1" si="1"/>
        <v>107.03900871043281</v>
      </c>
      <c r="U24" s="311">
        <f t="shared" ca="1" si="2"/>
        <v>9.329064307130821</v>
      </c>
      <c r="V24" s="306">
        <f t="shared" ca="1" si="3"/>
        <v>1.2248345751538134</v>
      </c>
      <c r="W24" s="304">
        <f t="shared" ca="1" si="4"/>
        <v>0.8518729238105901</v>
      </c>
      <c r="Y24" s="314" t="str">
        <f t="shared" ca="1" si="22"/>
        <v/>
      </c>
      <c r="Z24" s="315" t="str">
        <f t="shared" ca="1" si="23"/>
        <v/>
      </c>
      <c r="AA24" s="316" t="str">
        <f t="shared" ca="1" si="24"/>
        <v/>
      </c>
      <c r="AC24" s="310" t="e">
        <f t="shared" ca="1" si="25"/>
        <v>#N/A</v>
      </c>
      <c r="AD24" s="323" t="e">
        <f t="shared" ca="1" si="26"/>
        <v>#N/A</v>
      </c>
      <c r="AE24" s="324">
        <f t="shared" ca="1" si="5"/>
        <v>1.3504980937439244</v>
      </c>
      <c r="AG24" s="306">
        <f t="shared" ca="1" si="27"/>
        <v>94.804714803213074</v>
      </c>
      <c r="AH24" s="304">
        <f t="shared" ca="1" si="28"/>
        <v>104.5773847914931</v>
      </c>
    </row>
    <row r="25" spans="1:34" x14ac:dyDescent="0.2">
      <c r="A25" s="347">
        <f t="shared" ca="1" si="6"/>
        <v>0.01</v>
      </c>
      <c r="B25" s="304">
        <f t="shared" ca="1" si="7"/>
        <v>0.21000000000000005</v>
      </c>
      <c r="D25" s="306">
        <f t="shared" ca="1" si="8"/>
        <v>8.1435461346450726</v>
      </c>
      <c r="E25" s="307">
        <f t="shared" ca="1" si="9"/>
        <v>93.086234195282813</v>
      </c>
      <c r="F25" s="304">
        <f t="shared" ca="1" si="10"/>
        <v>93.441769783679362</v>
      </c>
      <c r="G25" s="306">
        <f t="shared" ca="1" si="11"/>
        <v>1.4949927583807485</v>
      </c>
      <c r="H25" s="307">
        <f t="shared" ca="1" si="12"/>
        <v>17.088789476768014</v>
      </c>
      <c r="I25" s="304">
        <f t="shared" ca="1" si="13"/>
        <v>17.154058678018682</v>
      </c>
      <c r="J25" s="306">
        <f t="shared" ca="1" si="14"/>
        <v>0.13268935421123748</v>
      </c>
      <c r="K25" s="307">
        <f t="shared" ca="1" si="15"/>
        <v>1.5167316768018404</v>
      </c>
      <c r="L25" s="304">
        <f t="shared" ca="1" si="0"/>
        <v>1.522524694096985</v>
      </c>
      <c r="M25" s="306">
        <f t="shared" ca="1" si="16"/>
        <v>1.4835298641951802</v>
      </c>
      <c r="N25" s="304">
        <f t="shared" ca="1" si="17"/>
        <v>85</v>
      </c>
      <c r="P25" s="310">
        <f t="shared" ca="1" si="18"/>
        <v>4</v>
      </c>
      <c r="Q25" s="304">
        <f t="shared" ca="1" si="19"/>
        <v>1126.4642857142858</v>
      </c>
      <c r="R25" s="306">
        <f t="shared" ca="1" si="20"/>
        <v>0.56428230144350533</v>
      </c>
      <c r="S25" s="307">
        <f t="shared" ca="1" si="21"/>
        <v>10.905571112809501</v>
      </c>
      <c r="T25" s="304">
        <f t="shared" ca="1" si="1"/>
        <v>106.9836526166612</v>
      </c>
      <c r="U25" s="311">
        <f t="shared" ca="1" si="2"/>
        <v>9.3242397056625475</v>
      </c>
      <c r="V25" s="306">
        <f t="shared" ca="1" si="3"/>
        <v>1.2248142144589327</v>
      </c>
      <c r="W25" s="304">
        <f t="shared" ca="1" si="4"/>
        <v>0.95283763843232594</v>
      </c>
      <c r="Y25" s="314" t="str">
        <f t="shared" ca="1" si="22"/>
        <v/>
      </c>
      <c r="Z25" s="315" t="str">
        <f t="shared" ca="1" si="23"/>
        <v/>
      </c>
      <c r="AA25" s="316" t="str">
        <f t="shared" ca="1" si="24"/>
        <v/>
      </c>
      <c r="AC25" s="310" t="e">
        <f t="shared" ca="1" si="25"/>
        <v>#N/A</v>
      </c>
      <c r="AD25" s="323" t="e">
        <f t="shared" ca="1" si="26"/>
        <v>#N/A</v>
      </c>
      <c r="AE25" s="324">
        <f t="shared" ca="1" si="5"/>
        <v>1.5167316768018404</v>
      </c>
      <c r="AG25" s="306">
        <f t="shared" ca="1" si="27"/>
        <v>93.441769782632093</v>
      </c>
      <c r="AH25" s="304">
        <f t="shared" ca="1" si="28"/>
        <v>103.21443977091212</v>
      </c>
    </row>
    <row r="26" spans="1:34" x14ac:dyDescent="0.2">
      <c r="A26" s="347">
        <f t="shared" ca="1" si="6"/>
        <v>0.01</v>
      </c>
      <c r="B26" s="304">
        <f t="shared" ca="1" si="7"/>
        <v>0.22000000000000006</v>
      </c>
      <c r="D26" s="306">
        <f t="shared" ca="1" si="8"/>
        <v>8.024543394479041</v>
      </c>
      <c r="E26" s="307">
        <f t="shared" ca="1" si="9"/>
        <v>91.725960006993546</v>
      </c>
      <c r="F26" s="304">
        <f t="shared" ca="1" si="10"/>
        <v>92.076300077134164</v>
      </c>
      <c r="G26" s="306">
        <f t="shared" ca="1" si="11"/>
        <v>1.575238192325539</v>
      </c>
      <c r="H26" s="307">
        <f t="shared" ca="1" si="12"/>
        <v>18.00604907683795</v>
      </c>
      <c r="I26" s="304">
        <f t="shared" ca="1" si="13"/>
        <v>18.074821678790023</v>
      </c>
      <c r="J26" s="306">
        <f t="shared" ca="1" si="14"/>
        <v>0.14804050896476892</v>
      </c>
      <c r="K26" s="307">
        <f t="shared" ca="1" si="15"/>
        <v>1.6922058695698703</v>
      </c>
      <c r="L26" s="304">
        <f t="shared" ca="1" si="0"/>
        <v>1.6986690958810278</v>
      </c>
      <c r="M26" s="306">
        <f t="shared" ca="1" si="16"/>
        <v>1.4835298641951802</v>
      </c>
      <c r="N26" s="304">
        <f t="shared" ca="1" si="17"/>
        <v>85</v>
      </c>
      <c r="P26" s="310">
        <f t="shared" ca="1" si="18"/>
        <v>4</v>
      </c>
      <c r="Q26" s="304">
        <f t="shared" ca="1" si="19"/>
        <v>1111.1071428571427</v>
      </c>
      <c r="R26" s="306">
        <f t="shared" ca="1" si="20"/>
        <v>0.55658941315141852</v>
      </c>
      <c r="S26" s="307">
        <f t="shared" ca="1" si="21"/>
        <v>10.900005218677986</v>
      </c>
      <c r="T26" s="304">
        <f t="shared" ca="1" si="1"/>
        <v>106.92905119523105</v>
      </c>
      <c r="U26" s="311">
        <f t="shared" ca="1" si="2"/>
        <v>9.3194808782227252</v>
      </c>
      <c r="V26" s="306">
        <f t="shared" ca="1" si="3"/>
        <v>1.2247927223188031</v>
      </c>
      <c r="W26" s="304">
        <f t="shared" ca="1" si="4"/>
        <v>1.0578535392294361</v>
      </c>
      <c r="Y26" s="314" t="str">
        <f t="shared" ca="1" si="22"/>
        <v/>
      </c>
      <c r="Z26" s="315" t="str">
        <f t="shared" ca="1" si="23"/>
        <v/>
      </c>
      <c r="AA26" s="316" t="str">
        <f t="shared" ca="1" si="24"/>
        <v/>
      </c>
      <c r="AC26" s="310" t="e">
        <f t="shared" ca="1" si="25"/>
        <v>#N/A</v>
      </c>
      <c r="AD26" s="323" t="e">
        <f t="shared" ca="1" si="26"/>
        <v>#N/A</v>
      </c>
      <c r="AE26" s="324">
        <f t="shared" ca="1" si="5"/>
        <v>1.6922058695698703</v>
      </c>
      <c r="AG26" s="306">
        <f t="shared" ca="1" si="27"/>
        <v>92.076300076099088</v>
      </c>
      <c r="AH26" s="304">
        <f t="shared" ca="1" si="28"/>
        <v>101.84897006437912</v>
      </c>
    </row>
    <row r="27" spans="1:34" x14ac:dyDescent="0.2">
      <c r="A27" s="347">
        <f t="shared" ca="1" si="6"/>
        <v>0.01</v>
      </c>
      <c r="B27" s="304">
        <f t="shared" ca="1" si="7"/>
        <v>0.23000000000000007</v>
      </c>
      <c r="D27" s="306">
        <f t="shared" ca="1" si="8"/>
        <v>7.9053248131006537</v>
      </c>
      <c r="E27" s="307">
        <f t="shared" ca="1" si="9"/>
        <v>90.363218639361165</v>
      </c>
      <c r="F27" s="304">
        <f t="shared" ca="1" si="10"/>
        <v>90.70835376780694</v>
      </c>
      <c r="G27" s="306">
        <f t="shared" ca="1" si="11"/>
        <v>1.6542914404565454</v>
      </c>
      <c r="H27" s="307">
        <f t="shared" ca="1" si="12"/>
        <v>18.909681263231562</v>
      </c>
      <c r="I27" s="304">
        <f t="shared" ca="1" si="13"/>
        <v>18.981905216468093</v>
      </c>
      <c r="J27" s="306">
        <f t="shared" ca="1" si="14"/>
        <v>0.16418815712867935</v>
      </c>
      <c r="K27" s="307">
        <f t="shared" ca="1" si="15"/>
        <v>1.8767845212702179</v>
      </c>
      <c r="L27" s="304">
        <f t="shared" ca="1" si="0"/>
        <v>1.8839527303573178</v>
      </c>
      <c r="M27" s="306">
        <f t="shared" ca="1" si="16"/>
        <v>1.4835298641951802</v>
      </c>
      <c r="N27" s="304">
        <f t="shared" ca="1" si="17"/>
        <v>85</v>
      </c>
      <c r="P27" s="310">
        <f t="shared" ca="1" si="18"/>
        <v>4</v>
      </c>
      <c r="Q27" s="304">
        <f t="shared" ca="1" si="19"/>
        <v>1095.75</v>
      </c>
      <c r="R27" s="306">
        <f t="shared" ca="1" si="20"/>
        <v>0.54889652485933182</v>
      </c>
      <c r="S27" s="307">
        <f t="shared" ca="1" si="21"/>
        <v>10.894516253429392</v>
      </c>
      <c r="T27" s="304">
        <f t="shared" ca="1" si="1"/>
        <v>106.87520444614235</v>
      </c>
      <c r="U27" s="311">
        <f t="shared" ca="1" si="2"/>
        <v>9.3147878248113525</v>
      </c>
      <c r="V27" s="306">
        <f t="shared" ca="1" si="3"/>
        <v>1.2247701154683308</v>
      </c>
      <c r="W27" s="304">
        <f t="shared" ca="1" si="4"/>
        <v>1.1666728341605748</v>
      </c>
      <c r="Y27" s="314" t="str">
        <f t="shared" ca="1" si="22"/>
        <v/>
      </c>
      <c r="Z27" s="315" t="str">
        <f t="shared" ca="1" si="23"/>
        <v/>
      </c>
      <c r="AA27" s="316" t="str">
        <f t="shared" ca="1" si="24"/>
        <v/>
      </c>
      <c r="AC27" s="310" t="e">
        <f t="shared" ca="1" si="25"/>
        <v>#N/A</v>
      </c>
      <c r="AD27" s="323" t="e">
        <f t="shared" ca="1" si="26"/>
        <v>#N/A</v>
      </c>
      <c r="AE27" s="324">
        <f t="shared" ca="1" si="5"/>
        <v>1.8767845212702179</v>
      </c>
      <c r="AG27" s="306">
        <f t="shared" ca="1" si="27"/>
        <v>90.708353766784057</v>
      </c>
      <c r="AH27" s="304">
        <f t="shared" ca="1" si="28"/>
        <v>100.48102375506409</v>
      </c>
    </row>
    <row r="28" spans="1:34" x14ac:dyDescent="0.2">
      <c r="A28" s="347">
        <f t="shared" ca="1" si="6"/>
        <v>0.01</v>
      </c>
      <c r="B28" s="304">
        <f t="shared" ca="1" si="7"/>
        <v>0.24000000000000007</v>
      </c>
      <c r="D28" s="306">
        <f t="shared" ca="1" si="8"/>
        <v>7.7858945741709862</v>
      </c>
      <c r="E28" s="307">
        <f t="shared" ca="1" si="9"/>
        <v>88.998057913109477</v>
      </c>
      <c r="F28" s="304">
        <f t="shared" ca="1" si="10"/>
        <v>89.337978859079271</v>
      </c>
      <c r="G28" s="306">
        <f t="shared" ca="1" si="11"/>
        <v>1.7321503861982552</v>
      </c>
      <c r="H28" s="307">
        <f t="shared" ca="1" si="12"/>
        <v>19.799661842362656</v>
      </c>
      <c r="I28" s="304">
        <f t="shared" ca="1" si="13"/>
        <v>19.875285005058885</v>
      </c>
      <c r="J28" s="306">
        <f t="shared" ca="1" si="14"/>
        <v>0.18112036626195335</v>
      </c>
      <c r="K28" s="307">
        <f t="shared" ca="1" si="15"/>
        <v>2.070331236798189</v>
      </c>
      <c r="L28" s="304">
        <f t="shared" ca="1" si="0"/>
        <v>2.0782386814649523</v>
      </c>
      <c r="M28" s="306">
        <f t="shared" ca="1" si="16"/>
        <v>1.4835298641951802</v>
      </c>
      <c r="N28" s="304">
        <f t="shared" ca="1" si="17"/>
        <v>85</v>
      </c>
      <c r="P28" s="310">
        <f t="shared" ca="1" si="18"/>
        <v>4</v>
      </c>
      <c r="Q28" s="304">
        <f t="shared" ca="1" si="19"/>
        <v>1080.3928571428571</v>
      </c>
      <c r="R28" s="306">
        <f t="shared" ca="1" si="20"/>
        <v>0.54120363656724513</v>
      </c>
      <c r="S28" s="307">
        <f t="shared" ca="1" si="21"/>
        <v>10.88910421706372</v>
      </c>
      <c r="T28" s="304">
        <f t="shared" ca="1" si="1"/>
        <v>106.8221123693951</v>
      </c>
      <c r="U28" s="311">
        <f t="shared" ca="1" si="2"/>
        <v>9.3101605454284293</v>
      </c>
      <c r="V28" s="306">
        <f t="shared" ca="1" si="3"/>
        <v>1.2247464106741874</v>
      </c>
      <c r="W28" s="304">
        <f t="shared" ca="1" si="4"/>
        <v>1.2790508449453837</v>
      </c>
      <c r="Y28" s="314" t="str">
        <f t="shared" ca="1" si="22"/>
        <v/>
      </c>
      <c r="Z28" s="315" t="str">
        <f t="shared" ca="1" si="23"/>
        <v/>
      </c>
      <c r="AA28" s="316" t="str">
        <f t="shared" ca="1" si="24"/>
        <v/>
      </c>
      <c r="AC28" s="310" t="e">
        <f t="shared" ca="1" si="25"/>
        <v>#N/A</v>
      </c>
      <c r="AD28" s="323" t="e">
        <f t="shared" ca="1" si="26"/>
        <v>#N/A</v>
      </c>
      <c r="AE28" s="324">
        <f t="shared" ca="1" si="5"/>
        <v>2.070331236798189</v>
      </c>
      <c r="AG28" s="306">
        <f t="shared" ca="1" si="27"/>
        <v>89.33797885806861</v>
      </c>
      <c r="AH28" s="304">
        <f t="shared" ca="1" si="28"/>
        <v>99.110648846348639</v>
      </c>
    </row>
    <row r="29" spans="1:34" x14ac:dyDescent="0.2">
      <c r="A29" s="347">
        <f t="shared" ca="1" si="6"/>
        <v>0.01</v>
      </c>
      <c r="B29" s="304">
        <f t="shared" ca="1" si="7"/>
        <v>0.25000000000000006</v>
      </c>
      <c r="D29" s="306">
        <f t="shared" ca="1" si="8"/>
        <v>7.6662568537733771</v>
      </c>
      <c r="E29" s="307">
        <f t="shared" ca="1" si="9"/>
        <v>87.630525562355174</v>
      </c>
      <c r="F29" s="304">
        <f t="shared" ca="1" si="10"/>
        <v>87.965223267394776</v>
      </c>
      <c r="G29" s="306">
        <f t="shared" ca="1" si="11"/>
        <v>1.808812954735989</v>
      </c>
      <c r="H29" s="307">
        <f t="shared" ca="1" si="12"/>
        <v>20.675967097986209</v>
      </c>
      <c r="I29" s="304">
        <f t="shared" ca="1" si="13"/>
        <v>20.754937237732833</v>
      </c>
      <c r="J29" s="306">
        <f t="shared" ca="1" si="14"/>
        <v>0.19882518296662458</v>
      </c>
      <c r="K29" s="307">
        <f t="shared" ca="1" si="15"/>
        <v>2.2727093814999333</v>
      </c>
      <c r="L29" s="304">
        <f t="shared" ca="1" si="0"/>
        <v>2.2813897926789104</v>
      </c>
      <c r="M29" s="306">
        <f t="shared" ca="1" si="16"/>
        <v>1.4835298641951802</v>
      </c>
      <c r="N29" s="304">
        <f t="shared" ca="1" si="17"/>
        <v>85</v>
      </c>
      <c r="P29" s="310">
        <f t="shared" ca="1" si="18"/>
        <v>4</v>
      </c>
      <c r="Q29" s="304">
        <f t="shared" ca="1" si="19"/>
        <v>1065.0357142857142</v>
      </c>
      <c r="R29" s="306">
        <f t="shared" ca="1" si="20"/>
        <v>0.53351074827515843</v>
      </c>
      <c r="S29" s="307">
        <f t="shared" ca="1" si="21"/>
        <v>10.883769109580967</v>
      </c>
      <c r="T29" s="304">
        <f t="shared" ca="1" si="1"/>
        <v>106.7697749649893</v>
      </c>
      <c r="U29" s="311">
        <f t="shared" ca="1" si="2"/>
        <v>9.3055990400739574</v>
      </c>
      <c r="V29" s="306">
        <f t="shared" ca="1" si="3"/>
        <v>1.2247216247340702</v>
      </c>
      <c r="W29" s="304">
        <f t="shared" ca="1" si="4"/>
        <v>1.3947460450148532</v>
      </c>
      <c r="Y29" s="314" t="str">
        <f t="shared" ca="1" si="22"/>
        <v/>
      </c>
      <c r="Z29" s="315" t="str">
        <f t="shared" ca="1" si="23"/>
        <v/>
      </c>
      <c r="AA29" s="316" t="str">
        <f t="shared" ca="1" si="24"/>
        <v/>
      </c>
      <c r="AC29" s="310" t="e">
        <f t="shared" ca="1" si="25"/>
        <v>#N/A</v>
      </c>
      <c r="AD29" s="323" t="e">
        <f t="shared" ca="1" si="26"/>
        <v>#N/A</v>
      </c>
      <c r="AE29" s="324">
        <f t="shared" ca="1" si="5"/>
        <v>2.2727093814999333</v>
      </c>
      <c r="AG29" s="306">
        <f t="shared" ca="1" si="27"/>
        <v>87.96522326639635</v>
      </c>
      <c r="AH29" s="304">
        <f t="shared" ca="1" si="28"/>
        <v>97.737893254676379</v>
      </c>
    </row>
    <row r="30" spans="1:34" x14ac:dyDescent="0.2">
      <c r="A30" s="347">
        <f t="shared" ca="1" si="6"/>
        <v>0.01</v>
      </c>
      <c r="B30" s="304">
        <f t="shared" ca="1" si="7"/>
        <v>0.26000000000000006</v>
      </c>
      <c r="D30" s="306">
        <f t="shared" ca="1" si="8"/>
        <v>7.5464158197951869</v>
      </c>
      <c r="E30" s="307">
        <f t="shared" ca="1" si="9"/>
        <v>86.260669227541342</v>
      </c>
      <c r="F30" s="304">
        <f t="shared" ca="1" si="10"/>
        <v>86.590134815165598</v>
      </c>
      <c r="G30" s="306">
        <f t="shared" ca="1" si="11"/>
        <v>1.8842771129339408</v>
      </c>
      <c r="H30" s="307">
        <f t="shared" ca="1" si="12"/>
        <v>21.538573790261623</v>
      </c>
      <c r="I30" s="304">
        <f t="shared" ca="1" si="13"/>
        <v>21.620838585884488</v>
      </c>
      <c r="J30" s="306">
        <f t="shared" ca="1" si="14"/>
        <v>0.21729063330497422</v>
      </c>
      <c r="K30" s="307">
        <f t="shared" ca="1" si="15"/>
        <v>2.4837820859411726</v>
      </c>
      <c r="L30" s="304">
        <f t="shared" ca="1" si="0"/>
        <v>2.4932686717969963</v>
      </c>
      <c r="M30" s="306">
        <f t="shared" ca="1" si="16"/>
        <v>1.4835298641951802</v>
      </c>
      <c r="N30" s="304">
        <f t="shared" ca="1" si="17"/>
        <v>85</v>
      </c>
      <c r="P30" s="310">
        <f t="shared" ca="1" si="18"/>
        <v>4</v>
      </c>
      <c r="Q30" s="304">
        <f t="shared" ca="1" si="19"/>
        <v>1049.6785714285713</v>
      </c>
      <c r="R30" s="306">
        <f t="shared" ca="1" si="20"/>
        <v>0.52581785998307162</v>
      </c>
      <c r="S30" s="307">
        <f t="shared" ca="1" si="21"/>
        <v>10.878510930981136</v>
      </c>
      <c r="T30" s="304">
        <f t="shared" ca="1" si="1"/>
        <v>106.71819223292495</v>
      </c>
      <c r="U30" s="311">
        <f t="shared" ca="1" si="2"/>
        <v>9.3011033087479351</v>
      </c>
      <c r="V30" s="306">
        <f t="shared" ca="1" si="3"/>
        <v>1.2246957744759672</v>
      </c>
      <c r="W30" s="304">
        <f t="shared" ca="1" si="4"/>
        <v>1.5135200967091282</v>
      </c>
      <c r="Y30" s="314" t="str">
        <f t="shared" ca="1" si="22"/>
        <v/>
      </c>
      <c r="Z30" s="315" t="str">
        <f t="shared" ca="1" si="23"/>
        <v/>
      </c>
      <c r="AA30" s="316" t="str">
        <f t="shared" ca="1" si="24"/>
        <v/>
      </c>
      <c r="AC30" s="310" t="e">
        <f t="shared" ca="1" si="25"/>
        <v>#N/A</v>
      </c>
      <c r="AD30" s="323" t="e">
        <f t="shared" ca="1" si="26"/>
        <v>#N/A</v>
      </c>
      <c r="AE30" s="324">
        <f t="shared" ca="1" si="5"/>
        <v>2.4837820859411726</v>
      </c>
      <c r="AG30" s="306">
        <f t="shared" ca="1" si="27"/>
        <v>86.590134814179393</v>
      </c>
      <c r="AH30" s="304">
        <f t="shared" ca="1" si="28"/>
        <v>96.362804802459422</v>
      </c>
    </row>
    <row r="31" spans="1:34" x14ac:dyDescent="0.2">
      <c r="A31" s="347">
        <f t="shared" ca="1" si="6"/>
        <v>0.01</v>
      </c>
      <c r="B31" s="304">
        <f t="shared" ca="1" si="7"/>
        <v>0.27000000000000007</v>
      </c>
      <c r="D31" s="306">
        <f t="shared" ca="1" si="8"/>
        <v>7.486613605891657</v>
      </c>
      <c r="E31" s="307">
        <f t="shared" ca="1" si="9"/>
        <v>85.577093614418942</v>
      </c>
      <c r="F31" s="304">
        <f t="shared" ca="1" si="10"/>
        <v>85.90394830725154</v>
      </c>
      <c r="G31" s="306">
        <f t="shared" ca="1" si="11"/>
        <v>1.9591432489928575</v>
      </c>
      <c r="H31" s="307">
        <f t="shared" ca="1" si="12"/>
        <v>22.394344726405812</v>
      </c>
      <c r="I31" s="304">
        <f t="shared" ca="1" si="13"/>
        <v>22.479878068957003</v>
      </c>
      <c r="J31" s="306">
        <f t="shared" ca="1" si="14"/>
        <v>0.23650773511460821</v>
      </c>
      <c r="K31" s="307">
        <f t="shared" ca="1" si="15"/>
        <v>2.7034466785245099</v>
      </c>
      <c r="L31" s="304">
        <f t="shared" ca="1" si="0"/>
        <v>2.7137722550712038</v>
      </c>
      <c r="M31" s="306">
        <f t="shared" ca="1" si="16"/>
        <v>1.4835298641951802</v>
      </c>
      <c r="N31" s="304">
        <f t="shared" ca="1" si="17"/>
        <v>85</v>
      </c>
      <c r="P31" s="310">
        <f t="shared" ca="1" si="18"/>
        <v>5</v>
      </c>
      <c r="Q31" s="304">
        <f t="shared" ca="1" si="19"/>
        <v>1041.8333333333333</v>
      </c>
      <c r="R31" s="306">
        <f t="shared" ca="1" si="20"/>
        <v>0.52188792712688159</v>
      </c>
      <c r="S31" s="307">
        <f t="shared" ca="1" si="21"/>
        <v>10.873292051709868</v>
      </c>
      <c r="T31" s="304">
        <f t="shared" ca="1" si="1"/>
        <v>106.66699502727381</v>
      </c>
      <c r="U31" s="311">
        <f t="shared" ca="1" si="2"/>
        <v>9.2966411782628064</v>
      </c>
      <c r="V31" s="306">
        <f t="shared" ca="1" si="3"/>
        <v>1.2246688725411521</v>
      </c>
      <c r="W31" s="304">
        <f t="shared" ca="1" si="4"/>
        <v>1.6361438552014713</v>
      </c>
      <c r="Y31" s="314" t="str">
        <f t="shared" ca="1" si="22"/>
        <v/>
      </c>
      <c r="Z31" s="315" t="str">
        <f t="shared" ca="1" si="23"/>
        <v/>
      </c>
      <c r="AA31" s="316" t="str">
        <f t="shared" ca="1" si="24"/>
        <v/>
      </c>
      <c r="AC31" s="310" t="e">
        <f t="shared" ca="1" si="25"/>
        <v>#N/A</v>
      </c>
      <c r="AD31" s="323" t="e">
        <f t="shared" ca="1" si="26"/>
        <v>#N/A</v>
      </c>
      <c r="AE31" s="324">
        <f t="shared" ca="1" si="5"/>
        <v>2.7034466785245099</v>
      </c>
      <c r="AG31" s="306">
        <f t="shared" ca="1" si="27"/>
        <v>85.903948306271332</v>
      </c>
      <c r="AH31" s="304">
        <f t="shared" ca="1" si="28"/>
        <v>95.676618294551361</v>
      </c>
    </row>
    <row r="32" spans="1:34" x14ac:dyDescent="0.2">
      <c r="A32" s="347">
        <f t="shared" ca="1" si="6"/>
        <v>0.01</v>
      </c>
      <c r="B32" s="304">
        <f t="shared" ca="1" si="7"/>
        <v>0.28000000000000008</v>
      </c>
      <c r="D32" s="306">
        <f t="shared" ca="1" si="8"/>
        <v>7.4869600429002823</v>
      </c>
      <c r="E32" s="307">
        <f t="shared" ca="1" si="9"/>
        <v>85.581054160660742</v>
      </c>
      <c r="F32" s="304">
        <f t="shared" ca="1" si="10"/>
        <v>85.907923976394244</v>
      </c>
      <c r="G32" s="306">
        <f t="shared" ca="1" si="11"/>
        <v>2.0340128494218606</v>
      </c>
      <c r="H32" s="307">
        <f t="shared" ca="1" si="12"/>
        <v>23.250155268012421</v>
      </c>
      <c r="I32" s="304">
        <f t="shared" ca="1" si="13"/>
        <v>23.338957308720946</v>
      </c>
      <c r="J32" s="306">
        <f t="shared" ca="1" si="14"/>
        <v>0.2564735156066818</v>
      </c>
      <c r="K32" s="307">
        <f t="shared" ca="1" si="15"/>
        <v>2.9316691784966009</v>
      </c>
      <c r="L32" s="304">
        <f t="shared" ca="1" si="0"/>
        <v>2.942866431959593</v>
      </c>
      <c r="M32" s="306">
        <f t="shared" ca="1" si="16"/>
        <v>1.4835298641951802</v>
      </c>
      <c r="N32" s="304">
        <f t="shared" ca="1" si="17"/>
        <v>85</v>
      </c>
      <c r="P32" s="310">
        <f t="shared" ca="1" si="18"/>
        <v>5</v>
      </c>
      <c r="Q32" s="304">
        <f t="shared" ca="1" si="19"/>
        <v>1041.5</v>
      </c>
      <c r="R32" s="306">
        <f t="shared" ca="1" si="20"/>
        <v>0.52172094970658833</v>
      </c>
      <c r="S32" s="307">
        <f t="shared" ca="1" si="21"/>
        <v>10.868074842212803</v>
      </c>
      <c r="T32" s="304">
        <f t="shared" ca="1" si="1"/>
        <v>106.6158142021076</v>
      </c>
      <c r="U32" s="311">
        <f t="shared" ca="1" si="2"/>
        <v>9.2921804754310067</v>
      </c>
      <c r="V32" s="306">
        <f t="shared" ca="1" si="3"/>
        <v>1.2246409231603597</v>
      </c>
      <c r="W32" s="304">
        <f t="shared" ca="1" si="4"/>
        <v>1.7635451004481986</v>
      </c>
      <c r="Y32" s="314" t="str">
        <f t="shared" ca="1" si="22"/>
        <v/>
      </c>
      <c r="Z32" s="315" t="str">
        <f t="shared" ca="1" si="23"/>
        <v/>
      </c>
      <c r="AA32" s="316" t="str">
        <f t="shared" ca="1" si="24"/>
        <v/>
      </c>
      <c r="AC32" s="310" t="e">
        <f t="shared" ca="1" si="25"/>
        <v>#N/A</v>
      </c>
      <c r="AD32" s="323" t="e">
        <f t="shared" ca="1" si="26"/>
        <v>#N/A</v>
      </c>
      <c r="AE32" s="324">
        <f t="shared" ca="1" si="5"/>
        <v>2.9316691784966009</v>
      </c>
      <c r="AG32" s="306">
        <f t="shared" ca="1" si="27"/>
        <v>85.907923975413752</v>
      </c>
      <c r="AH32" s="304">
        <f t="shared" ca="1" si="28"/>
        <v>95.680593963693781</v>
      </c>
    </row>
    <row r="33" spans="1:34" x14ac:dyDescent="0.2">
      <c r="A33" s="347">
        <f t="shared" ca="1" si="6"/>
        <v>0.01</v>
      </c>
      <c r="B33" s="304">
        <f t="shared" ca="1" si="7"/>
        <v>0.29000000000000009</v>
      </c>
      <c r="D33" s="306">
        <f t="shared" ca="1" si="8"/>
        <v>7.4872671997472455</v>
      </c>
      <c r="E33" s="307">
        <f t="shared" ca="1" si="9"/>
        <v>85.584565732599671</v>
      </c>
      <c r="F33" s="304">
        <f t="shared" ca="1" si="10"/>
        <v>85.911448956225186</v>
      </c>
      <c r="G33" s="306">
        <f t="shared" ca="1" si="11"/>
        <v>2.1088855214193329</v>
      </c>
      <c r="H33" s="307">
        <f t="shared" ca="1" si="12"/>
        <v>24.106000925338417</v>
      </c>
      <c r="I33" s="304">
        <f t="shared" ca="1" si="13"/>
        <v>24.198071798283198</v>
      </c>
      <c r="J33" s="306">
        <f t="shared" ca="1" si="14"/>
        <v>0.27718800746088779</v>
      </c>
      <c r="K33" s="307">
        <f t="shared" ca="1" si="15"/>
        <v>3.1684499594633553</v>
      </c>
      <c r="L33" s="304">
        <f t="shared" ca="1" si="0"/>
        <v>3.1805515774946138</v>
      </c>
      <c r="M33" s="306">
        <f t="shared" ca="1" si="16"/>
        <v>1.4835298641951802</v>
      </c>
      <c r="N33" s="304">
        <f t="shared" ca="1" si="17"/>
        <v>85</v>
      </c>
      <c r="P33" s="310">
        <f t="shared" ca="1" si="18"/>
        <v>5</v>
      </c>
      <c r="Q33" s="304">
        <f t="shared" ca="1" si="19"/>
        <v>1041.1666666666667</v>
      </c>
      <c r="R33" s="306">
        <f t="shared" ca="1" si="20"/>
        <v>0.52155397228629496</v>
      </c>
      <c r="S33" s="307">
        <f t="shared" ca="1" si="21"/>
        <v>10.862859302489939</v>
      </c>
      <c r="T33" s="304">
        <f t="shared" ca="1" si="1"/>
        <v>106.56464975742631</v>
      </c>
      <c r="U33" s="311">
        <f t="shared" ca="1" si="2"/>
        <v>9.2877212002525376</v>
      </c>
      <c r="V33" s="306">
        <f t="shared" ca="1" si="3"/>
        <v>1.2246119263595614</v>
      </c>
      <c r="W33" s="304">
        <f t="shared" ca="1" si="4"/>
        <v>1.8957231352094237</v>
      </c>
      <c r="Y33" s="314" t="str">
        <f t="shared" ca="1" si="22"/>
        <v/>
      </c>
      <c r="Z33" s="315" t="str">
        <f t="shared" ca="1" si="23"/>
        <v/>
      </c>
      <c r="AA33" s="316" t="str">
        <f t="shared" ca="1" si="24"/>
        <v/>
      </c>
      <c r="AC33" s="310" t="e">
        <f t="shared" ca="1" si="25"/>
        <v>#N/A</v>
      </c>
      <c r="AD33" s="323" t="e">
        <f t="shared" ca="1" si="26"/>
        <v>#N/A</v>
      </c>
      <c r="AE33" s="324">
        <f t="shared" ca="1" si="5"/>
        <v>3.1684499594633553</v>
      </c>
      <c r="AG33" s="306">
        <f t="shared" ca="1" si="27"/>
        <v>85.911448955244424</v>
      </c>
      <c r="AH33" s="304">
        <f t="shared" ca="1" si="28"/>
        <v>95.684118943524453</v>
      </c>
    </row>
    <row r="34" spans="1:34" x14ac:dyDescent="0.2">
      <c r="A34" s="347">
        <f t="shared" ca="1" si="6"/>
        <v>0.01</v>
      </c>
      <c r="B34" s="304">
        <f t="shared" ca="1" si="7"/>
        <v>0.3000000000000001</v>
      </c>
      <c r="D34" s="306">
        <f t="shared" ca="1" si="8"/>
        <v>7.487535025282237</v>
      </c>
      <c r="E34" s="307">
        <f t="shared" ca="1" si="9"/>
        <v>85.587627745584683</v>
      </c>
      <c r="F34" s="304">
        <f t="shared" ca="1" si="10"/>
        <v>85.91452265986004</v>
      </c>
      <c r="G34" s="306">
        <f t="shared" ca="1" si="11"/>
        <v>2.1837608716721553</v>
      </c>
      <c r="H34" s="307">
        <f t="shared" ca="1" si="12"/>
        <v>24.961877202794263</v>
      </c>
      <c r="I34" s="304">
        <f t="shared" ca="1" si="13"/>
        <v>25.057217024881801</v>
      </c>
      <c r="J34" s="306">
        <f t="shared" ca="1" si="14"/>
        <v>0.29865123942634525</v>
      </c>
      <c r="K34" s="307">
        <f t="shared" ca="1" si="15"/>
        <v>3.4137893501040186</v>
      </c>
      <c r="L34" s="304">
        <f t="shared" ca="1" si="0"/>
        <v>3.4268280216104383</v>
      </c>
      <c r="M34" s="306">
        <f t="shared" ca="1" si="16"/>
        <v>1.4835298641951802</v>
      </c>
      <c r="N34" s="304">
        <f t="shared" ca="1" si="17"/>
        <v>85</v>
      </c>
      <c r="P34" s="310">
        <f t="shared" ca="1" si="18"/>
        <v>5</v>
      </c>
      <c r="Q34" s="304">
        <f t="shared" ca="1" si="19"/>
        <v>1040.8333333333333</v>
      </c>
      <c r="R34" s="306">
        <f t="shared" ca="1" si="20"/>
        <v>0.5213869948660016</v>
      </c>
      <c r="S34" s="307">
        <f t="shared" ca="1" si="21"/>
        <v>10.857645432541279</v>
      </c>
      <c r="T34" s="304">
        <f t="shared" ca="1" si="1"/>
        <v>106.51350169322995</v>
      </c>
      <c r="U34" s="311">
        <f t="shared" ca="1" si="2"/>
        <v>9.2832633527273991</v>
      </c>
      <c r="V34" s="306">
        <f t="shared" ca="1" si="3"/>
        <v>1.2245818821729217</v>
      </c>
      <c r="W34" s="304">
        <f t="shared" ca="1" si="4"/>
        <v>2.0326771365145433</v>
      </c>
      <c r="Y34" s="314" t="str">
        <f t="shared" ca="1" si="22"/>
        <v/>
      </c>
      <c r="Z34" s="315" t="str">
        <f t="shared" ca="1" si="23"/>
        <v/>
      </c>
      <c r="AA34" s="316" t="str">
        <f t="shared" ca="1" si="24"/>
        <v/>
      </c>
      <c r="AC34" s="310" t="e">
        <f t="shared" ca="1" si="25"/>
        <v>#N/A</v>
      </c>
      <c r="AD34" s="323" t="e">
        <f t="shared" ca="1" si="26"/>
        <v>#N/A</v>
      </c>
      <c r="AE34" s="324">
        <f t="shared" ca="1" si="5"/>
        <v>3.4137893501040186</v>
      </c>
      <c r="AG34" s="306">
        <f t="shared" ca="1" si="27"/>
        <v>85.914522658879008</v>
      </c>
      <c r="AH34" s="304">
        <f t="shared" ca="1" si="28"/>
        <v>95.687192647159037</v>
      </c>
    </row>
    <row r="35" spans="1:34" x14ac:dyDescent="0.2">
      <c r="A35" s="347">
        <f t="shared" ca="1" si="6"/>
        <v>0.01</v>
      </c>
      <c r="B35" s="304">
        <f t="shared" ca="1" si="7"/>
        <v>0.31000000000000011</v>
      </c>
      <c r="D35" s="306">
        <f t="shared" ca="1" si="8"/>
        <v>7.4877634693026849</v>
      </c>
      <c r="E35" s="307">
        <f t="shared" ca="1" si="9"/>
        <v>85.590239625797423</v>
      </c>
      <c r="F35" s="304">
        <f t="shared" ca="1" si="10"/>
        <v>85.917144511288598</v>
      </c>
      <c r="G35" s="306">
        <f t="shared" ca="1" si="11"/>
        <v>2.2586385063651822</v>
      </c>
      <c r="H35" s="307">
        <f t="shared" ca="1" si="12"/>
        <v>25.817779599052237</v>
      </c>
      <c r="I35" s="304">
        <f t="shared" ca="1" si="13"/>
        <v>25.916388469994683</v>
      </c>
      <c r="J35" s="306">
        <f t="shared" ca="1" si="14"/>
        <v>0.32086323631653191</v>
      </c>
      <c r="K35" s="307">
        <f t="shared" ca="1" si="15"/>
        <v>3.6676876341132512</v>
      </c>
      <c r="L35" s="304">
        <f t="shared" ca="1" si="0"/>
        <v>3.6816960490848203</v>
      </c>
      <c r="M35" s="306">
        <f t="shared" ca="1" si="16"/>
        <v>1.4835298641951802</v>
      </c>
      <c r="N35" s="304">
        <f t="shared" ca="1" si="17"/>
        <v>85</v>
      </c>
      <c r="P35" s="310">
        <f t="shared" ca="1" si="18"/>
        <v>5</v>
      </c>
      <c r="Q35" s="304">
        <f t="shared" ca="1" si="19"/>
        <v>1040.5</v>
      </c>
      <c r="R35" s="306">
        <f t="shared" ca="1" si="20"/>
        <v>0.52122001744570823</v>
      </c>
      <c r="S35" s="307">
        <f t="shared" ca="1" si="21"/>
        <v>10.852433232366822</v>
      </c>
      <c r="T35" s="304">
        <f t="shared" ca="1" si="1"/>
        <v>106.46237000951854</v>
      </c>
      <c r="U35" s="311">
        <f t="shared" ca="1" si="2"/>
        <v>9.2788069328555931</v>
      </c>
      <c r="V35" s="306">
        <f t="shared" ca="1" si="3"/>
        <v>1.2245507906428017</v>
      </c>
      <c r="W35" s="304">
        <f t="shared" ca="1" si="4"/>
        <v>2.174406155526595</v>
      </c>
      <c r="Y35" s="314" t="str">
        <f t="shared" ca="1" si="22"/>
        <v/>
      </c>
      <c r="Z35" s="315" t="str">
        <f t="shared" ca="1" si="23"/>
        <v/>
      </c>
      <c r="AA35" s="316" t="str">
        <f t="shared" ca="1" si="24"/>
        <v/>
      </c>
      <c r="AC35" s="310" t="e">
        <f t="shared" ca="1" si="25"/>
        <v>#N/A</v>
      </c>
      <c r="AD35" s="323" t="e">
        <f t="shared" ca="1" si="26"/>
        <v>#N/A</v>
      </c>
      <c r="AE35" s="324">
        <f t="shared" ca="1" si="5"/>
        <v>3.6676876341132512</v>
      </c>
      <c r="AG35" s="306">
        <f t="shared" ca="1" si="27"/>
        <v>85.917144510307267</v>
      </c>
      <c r="AH35" s="304">
        <f t="shared" ca="1" si="28"/>
        <v>95.689814498587296</v>
      </c>
    </row>
    <row r="36" spans="1:34" x14ac:dyDescent="0.2">
      <c r="A36" s="347">
        <f t="shared" ca="1" si="6"/>
        <v>0.01</v>
      </c>
      <c r="B36" s="304">
        <f t="shared" ca="1" si="7"/>
        <v>0.32000000000000012</v>
      </c>
      <c r="D36" s="306">
        <f t="shared" ca="1" si="8"/>
        <v>7.4879524825572021</v>
      </c>
      <c r="E36" s="307">
        <f t="shared" ca="1" si="9"/>
        <v>85.592400810291608</v>
      </c>
      <c r="F36" s="304">
        <f t="shared" ca="1" si="10"/>
        <v>85.919313945414174</v>
      </c>
      <c r="G36" s="306">
        <f t="shared" ca="1" si="11"/>
        <v>2.3335180311907542</v>
      </c>
      <c r="H36" s="307">
        <f t="shared" ca="1" si="12"/>
        <v>26.673703607155154</v>
      </c>
      <c r="I36" s="304">
        <f t="shared" ca="1" si="13"/>
        <v>26.775581609448828</v>
      </c>
      <c r="J36" s="306">
        <f t="shared" ca="1" si="14"/>
        <v>0.34382401900431159</v>
      </c>
      <c r="K36" s="307">
        <f t="shared" ca="1" si="15"/>
        <v>3.9301450501442883</v>
      </c>
      <c r="L36" s="304">
        <f t="shared" ca="1" si="0"/>
        <v>3.9451558994820379</v>
      </c>
      <c r="M36" s="306">
        <f t="shared" ca="1" si="16"/>
        <v>1.4835298641951802</v>
      </c>
      <c r="N36" s="304">
        <f t="shared" ca="1" si="17"/>
        <v>85</v>
      </c>
      <c r="P36" s="310">
        <f t="shared" ca="1" si="18"/>
        <v>5</v>
      </c>
      <c r="Q36" s="304">
        <f t="shared" ca="1" si="19"/>
        <v>1040.1666666666667</v>
      </c>
      <c r="R36" s="306">
        <f t="shared" ca="1" si="20"/>
        <v>0.52105304002541497</v>
      </c>
      <c r="S36" s="307">
        <f t="shared" ca="1" si="21"/>
        <v>10.847222701966569</v>
      </c>
      <c r="T36" s="304">
        <f t="shared" ca="1" si="1"/>
        <v>106.41125470629204</v>
      </c>
      <c r="U36" s="311">
        <f t="shared" ca="1" si="2"/>
        <v>9.274351940637116</v>
      </c>
      <c r="V36" s="306">
        <f t="shared" ca="1" si="3"/>
        <v>1.2245186518197657</v>
      </c>
      <c r="W36" s="304">
        <f t="shared" ca="1" si="4"/>
        <v>2.3209091174134322</v>
      </c>
      <c r="Y36" s="314" t="str">
        <f t="shared" ca="1" si="22"/>
        <v>Sortie de rampe</v>
      </c>
      <c r="Z36" s="315" t="str">
        <f t="shared" ca="1" si="23"/>
        <v/>
      </c>
      <c r="AA36" s="316" t="str">
        <f t="shared" ca="1" si="24"/>
        <v/>
      </c>
      <c r="AC36" s="310" t="e">
        <f t="shared" ca="1" si="25"/>
        <v>#N/A</v>
      </c>
      <c r="AD36" s="323" t="e">
        <f t="shared" ca="1" si="26"/>
        <v>#N/A</v>
      </c>
      <c r="AE36" s="324">
        <f t="shared" ca="1" si="5"/>
        <v>3.9301450501442883</v>
      </c>
      <c r="AG36" s="306">
        <f t="shared" ca="1" si="27"/>
        <v>85.91931394443256</v>
      </c>
      <c r="AH36" s="304">
        <f t="shared" ca="1" si="28"/>
        <v>95.691983932712589</v>
      </c>
    </row>
    <row r="37" spans="1:34" x14ac:dyDescent="0.2">
      <c r="A37" s="347">
        <f t="shared" ca="1" si="6"/>
        <v>0.01</v>
      </c>
      <c r="B37" s="304">
        <f t="shared" ca="1" si="7"/>
        <v>0.33000000000000013</v>
      </c>
      <c r="D37" s="306">
        <f t="shared" ca="1" si="8"/>
        <v>7.4881020167489796</v>
      </c>
      <c r="E37" s="307">
        <f t="shared" ca="1" si="9"/>
        <v>85.59411074703182</v>
      </c>
      <c r="F37" s="304">
        <f t="shared" ca="1" si="10"/>
        <v>85.92103040809269</v>
      </c>
      <c r="G37" s="306">
        <f t="shared" ca="1" si="11"/>
        <v>2.4083990513582441</v>
      </c>
      <c r="H37" s="307">
        <f t="shared" ca="1" si="12"/>
        <v>27.529644714625473</v>
      </c>
      <c r="I37" s="304">
        <f t="shared" ca="1" si="13"/>
        <v>27.634791913529757</v>
      </c>
      <c r="J37" s="306">
        <f t="shared" ca="1" si="14"/>
        <v>0.36753360441705657</v>
      </c>
      <c r="K37" s="307">
        <f t="shared" ca="1" si="15"/>
        <v>4.2011617917531918</v>
      </c>
      <c r="L37" s="304">
        <f t="shared" ca="1" si="0"/>
        <v>4.217207767096931</v>
      </c>
      <c r="M37" s="306">
        <f t="shared" ca="1" si="16"/>
        <v>1.4835298641951802</v>
      </c>
      <c r="N37" s="304">
        <f t="shared" ca="1" si="17"/>
        <v>85</v>
      </c>
      <c r="P37" s="310">
        <f t="shared" ca="1" si="18"/>
        <v>5</v>
      </c>
      <c r="Q37" s="304">
        <f t="shared" ca="1" si="19"/>
        <v>1039.8333333333333</v>
      </c>
      <c r="R37" s="306">
        <f t="shared" ca="1" si="20"/>
        <v>0.52088606260512149</v>
      </c>
      <c r="S37" s="307">
        <f t="shared" ca="1" si="21"/>
        <v>10.842013841340517</v>
      </c>
      <c r="T37" s="304">
        <f t="shared" ca="1" si="1"/>
        <v>106.36015578355048</v>
      </c>
      <c r="U37" s="311">
        <f t="shared" ca="1" si="2"/>
        <v>0</v>
      </c>
      <c r="V37" s="306">
        <f t="shared" ca="1" si="3"/>
        <v>1.2244854657625892</v>
      </c>
      <c r="W37" s="304">
        <f t="shared" ca="1" si="4"/>
        <v>2.4721848212257127</v>
      </c>
      <c r="Y37" s="314" t="str">
        <f t="shared" ca="1" si="22"/>
        <v/>
      </c>
      <c r="Z37" s="315" t="str">
        <f t="shared" ca="1" si="23"/>
        <v/>
      </c>
      <c r="AA37" s="316" t="str">
        <f t="shared" ca="1" si="24"/>
        <v/>
      </c>
      <c r="AC37" s="310" t="e">
        <f t="shared" ca="1" si="25"/>
        <v>#N/A</v>
      </c>
      <c r="AD37" s="323" t="e">
        <f t="shared" ca="1" si="26"/>
        <v>#N/A</v>
      </c>
      <c r="AE37" s="324">
        <f t="shared" ca="1" si="5"/>
        <v>4.2011617917531918</v>
      </c>
      <c r="AG37" s="306">
        <f t="shared" ca="1" si="27"/>
        <v>85.921030407110791</v>
      </c>
      <c r="AH37" s="304">
        <f t="shared" ca="1" si="28"/>
        <v>95.69370039539082</v>
      </c>
    </row>
    <row r="38" spans="1:34" x14ac:dyDescent="0.2">
      <c r="A38" s="347">
        <f t="shared" ca="1" si="6"/>
        <v>0.01</v>
      </c>
      <c r="B38" s="304">
        <f t="shared" ca="1" si="7"/>
        <v>0.34000000000000014</v>
      </c>
      <c r="D38" s="306">
        <f t="shared" ca="1" si="8"/>
        <v>8.3403656074099608</v>
      </c>
      <c r="E38" s="307">
        <f t="shared" ca="1" si="9"/>
        <v>85.520815116847771</v>
      </c>
      <c r="F38" s="304">
        <f t="shared" ca="1" si="10"/>
        <v>85.926547217465483</v>
      </c>
      <c r="G38" s="306">
        <f t="shared" ca="1" si="11"/>
        <v>2.4918027074323437</v>
      </c>
      <c r="H38" s="307">
        <f t="shared" ca="1" si="12"/>
        <v>28.384852865793949</v>
      </c>
      <c r="I38" s="304">
        <f t="shared" ca="1" si="13"/>
        <v>28.494016090146683</v>
      </c>
      <c r="J38" s="306">
        <f t="shared" ca="1" si="14"/>
        <v>0.39203461321100952</v>
      </c>
      <c r="K38" s="307">
        <f t="shared" ca="1" si="15"/>
        <v>4.4807342796552891</v>
      </c>
      <c r="L38" s="304">
        <f t="shared" ca="1" si="0"/>
        <v>4.4978518008971253</v>
      </c>
      <c r="M38" s="306">
        <f t="shared" ca="1" si="16"/>
        <v>1.4832344438644938</v>
      </c>
      <c r="N38" s="304">
        <f t="shared" ca="1" si="17"/>
        <v>84.983073661869312</v>
      </c>
      <c r="P38" s="310">
        <f t="shared" ca="1" si="18"/>
        <v>5</v>
      </c>
      <c r="Q38" s="304">
        <f t="shared" ca="1" si="19"/>
        <v>1039.5</v>
      </c>
      <c r="R38" s="306">
        <f t="shared" ca="1" si="20"/>
        <v>0.52071908518482812</v>
      </c>
      <c r="S38" s="307">
        <f t="shared" ca="1" si="21"/>
        <v>10.836806650488668</v>
      </c>
      <c r="T38" s="304">
        <f t="shared" ca="1" si="1"/>
        <v>106.30907324129385</v>
      </c>
      <c r="U38" s="311">
        <f t="shared" ca="1" si="2"/>
        <v>0</v>
      </c>
      <c r="V38" s="306">
        <f t="shared" ca="1" si="3"/>
        <v>1.224451232994699</v>
      </c>
      <c r="W38" s="304">
        <f t="shared" ca="1" si="4"/>
        <v>2.6282321700754241</v>
      </c>
      <c r="Y38" s="314" t="str">
        <f t="shared" ca="1" si="22"/>
        <v/>
      </c>
      <c r="Z38" s="315" t="str">
        <f t="shared" ca="1" si="23"/>
        <v/>
      </c>
      <c r="AA38" s="316" t="str">
        <f t="shared" ca="1" si="24"/>
        <v/>
      </c>
      <c r="AC38" s="310" t="e">
        <f t="shared" ca="1" si="25"/>
        <v>#N/A</v>
      </c>
      <c r="AD38" s="323" t="e">
        <f t="shared" ca="1" si="26"/>
        <v>#N/A</v>
      </c>
      <c r="AE38" s="324">
        <f t="shared" ca="1" si="5"/>
        <v>4.4807342796552891</v>
      </c>
      <c r="AG38" s="306">
        <f t="shared" ca="1" si="27"/>
        <v>85.922293355188984</v>
      </c>
      <c r="AH38" s="304">
        <f t="shared" ca="1" si="28"/>
        <v>95.694963343469013</v>
      </c>
    </row>
    <row r="39" spans="1:34" x14ac:dyDescent="0.2">
      <c r="A39" s="347">
        <f t="shared" ca="1" si="6"/>
        <v>0.01</v>
      </c>
      <c r="B39" s="304">
        <f t="shared" ca="1" si="7"/>
        <v>0.35000000000000014</v>
      </c>
      <c r="D39" s="306">
        <f t="shared" ca="1" si="8"/>
        <v>8.3685986405741719</v>
      </c>
      <c r="E39" s="307">
        <f t="shared" ca="1" si="9"/>
        <v>85.519152824604433</v>
      </c>
      <c r="F39" s="304">
        <f t="shared" ca="1" si="10"/>
        <v>85.927637830008265</v>
      </c>
      <c r="G39" s="306">
        <f t="shared" ca="1" si="11"/>
        <v>2.5754886938380852</v>
      </c>
      <c r="H39" s="307">
        <f t="shared" ca="1" si="12"/>
        <v>29.240044394039995</v>
      </c>
      <c r="I39" s="304">
        <f t="shared" ca="1" si="13"/>
        <v>29.35325089623835</v>
      </c>
      <c r="J39" s="306">
        <f t="shared" ca="1" si="14"/>
        <v>0.41737107021736164</v>
      </c>
      <c r="K39" s="307">
        <f t="shared" ca="1" si="15"/>
        <v>4.7688587659544588</v>
      </c>
      <c r="L39" s="304">
        <f t="shared" ca="1" si="0"/>
        <v>4.7870881065502724</v>
      </c>
      <c r="M39" s="306">
        <f t="shared" ca="1" si="16"/>
        <v>1.482942181566308</v>
      </c>
      <c r="N39" s="304">
        <f t="shared" ca="1" si="17"/>
        <v>84.966328265672473</v>
      </c>
      <c r="P39" s="310">
        <f t="shared" ca="1" si="18"/>
        <v>5</v>
      </c>
      <c r="Q39" s="304">
        <f t="shared" ca="1" si="19"/>
        <v>1039.1666666666667</v>
      </c>
      <c r="R39" s="306">
        <f t="shared" ca="1" si="20"/>
        <v>0.52055210776453487</v>
      </c>
      <c r="S39" s="307">
        <f t="shared" ca="1" si="21"/>
        <v>10.831601129411023</v>
      </c>
      <c r="T39" s="304">
        <f t="shared" ca="1" si="1"/>
        <v>106.25800707952214</v>
      </c>
      <c r="U39" s="311">
        <f t="shared" ca="1" si="2"/>
        <v>0</v>
      </c>
      <c r="V39" s="306">
        <f t="shared" ca="1" si="3"/>
        <v>1.2244159540628001</v>
      </c>
      <c r="W39" s="304">
        <f t="shared" ca="1" si="4"/>
        <v>2.7890499789691003</v>
      </c>
      <c r="Y39" s="314" t="str">
        <f t="shared" ca="1" si="22"/>
        <v/>
      </c>
      <c r="Z39" s="315" t="str">
        <f t="shared" ca="1" si="23"/>
        <v/>
      </c>
      <c r="AA39" s="316" t="str">
        <f t="shared" ca="1" si="24"/>
        <v/>
      </c>
      <c r="AC39" s="310" t="e">
        <f t="shared" ca="1" si="25"/>
        <v>#N/A</v>
      </c>
      <c r="AD39" s="323" t="e">
        <f t="shared" ca="1" si="26"/>
        <v>#N/A</v>
      </c>
      <c r="AE39" s="324">
        <f t="shared" ca="1" si="5"/>
        <v>4.7688587659544588</v>
      </c>
      <c r="AG39" s="306">
        <f t="shared" ca="1" si="27"/>
        <v>85.923355245467519</v>
      </c>
      <c r="AH39" s="304">
        <f t="shared" ca="1" si="28"/>
        <v>95.695772223561718</v>
      </c>
    </row>
    <row r="40" spans="1:34" x14ac:dyDescent="0.2">
      <c r="A40" s="347">
        <f t="shared" ca="1" si="6"/>
        <v>0.01</v>
      </c>
      <c r="B40" s="304">
        <f t="shared" ca="1" si="7"/>
        <v>0.36000000000000015</v>
      </c>
      <c r="D40" s="306">
        <f t="shared" ca="1" si="8"/>
        <v>8.396490483788476</v>
      </c>
      <c r="E40" s="307">
        <f t="shared" ca="1" si="9"/>
        <v>85.517055827310173</v>
      </c>
      <c r="F40" s="304">
        <f t="shared" ca="1" si="10"/>
        <v>85.928271772540825</v>
      </c>
      <c r="G40" s="306">
        <f t="shared" ca="1" si="11"/>
        <v>2.6594535986759698</v>
      </c>
      <c r="H40" s="307">
        <f t="shared" ca="1" si="12"/>
        <v>30.095214952313096</v>
      </c>
      <c r="I40" s="304">
        <f t="shared" ca="1" si="13"/>
        <v>30.212491728909754</v>
      </c>
      <c r="J40" s="306">
        <f t="shared" ca="1" si="14"/>
        <v>0.44354578167993192</v>
      </c>
      <c r="K40" s="307">
        <f t="shared" ca="1" si="15"/>
        <v>5.0655350626862239</v>
      </c>
      <c r="L40" s="304">
        <f t="shared" ca="1" si="0"/>
        <v>5.0849167477697792</v>
      </c>
      <c r="M40" s="306">
        <f t="shared" ca="1" si="16"/>
        <v>1.482657285856237</v>
      </c>
      <c r="N40" s="304">
        <f t="shared" ca="1" si="17"/>
        <v>84.950004943884025</v>
      </c>
      <c r="P40" s="310">
        <f t="shared" ca="1" si="18"/>
        <v>5</v>
      </c>
      <c r="Q40" s="304">
        <f t="shared" ca="1" si="19"/>
        <v>1038.8333333333333</v>
      </c>
      <c r="R40" s="306">
        <f t="shared" ca="1" si="20"/>
        <v>0.52038513034424139</v>
      </c>
      <c r="S40" s="307">
        <f t="shared" ca="1" si="21"/>
        <v>10.826397278107581</v>
      </c>
      <c r="T40" s="304">
        <f t="shared" ca="1" si="1"/>
        <v>106.20695729823538</v>
      </c>
      <c r="U40" s="311">
        <f t="shared" ca="1" si="2"/>
        <v>0</v>
      </c>
      <c r="V40" s="306">
        <f t="shared" ca="1" si="3"/>
        <v>1.224379629080353</v>
      </c>
      <c r="W40" s="304">
        <f t="shared" ca="1" si="4"/>
        <v>2.9546366995554787</v>
      </c>
      <c r="Y40" s="314" t="str">
        <f t="shared" ca="1" si="22"/>
        <v/>
      </c>
      <c r="Z40" s="315" t="str">
        <f t="shared" ca="1" si="23"/>
        <v/>
      </c>
      <c r="AA40" s="316" t="str">
        <f t="shared" ca="1" si="24"/>
        <v/>
      </c>
      <c r="AC40" s="310" t="e">
        <f t="shared" ca="1" si="25"/>
        <v>#N/A</v>
      </c>
      <c r="AD40" s="323" t="e">
        <f t="shared" ca="1" si="26"/>
        <v>#N/A</v>
      </c>
      <c r="AE40" s="324">
        <f t="shared" ca="1" si="5"/>
        <v>5.0655350626862239</v>
      </c>
      <c r="AG40" s="306">
        <f t="shared" ca="1" si="27"/>
        <v>85.923960656442262</v>
      </c>
      <c r="AH40" s="304">
        <f t="shared" ca="1" si="28"/>
        <v>95.696126489777328</v>
      </c>
    </row>
    <row r="41" spans="1:34" x14ac:dyDescent="0.2">
      <c r="A41" s="347">
        <f t="shared" ca="1" si="6"/>
        <v>0.01</v>
      </c>
      <c r="B41" s="304">
        <f t="shared" ca="1" si="7"/>
        <v>0.37000000000000016</v>
      </c>
      <c r="D41" s="306">
        <f t="shared" ca="1" si="8"/>
        <v>8.4236395336756527</v>
      </c>
      <c r="E41" s="307">
        <f t="shared" ca="1" si="9"/>
        <v>85.514559365496538</v>
      </c>
      <c r="F41" s="304">
        <f t="shared" ca="1" si="10"/>
        <v>85.928444455071656</v>
      </c>
      <c r="G41" s="306">
        <f t="shared" ca="1" si="11"/>
        <v>2.7436899940127262</v>
      </c>
      <c r="H41" s="307">
        <f t="shared" ca="1" si="12"/>
        <v>30.95036054596806</v>
      </c>
      <c r="I41" s="304">
        <f t="shared" ca="1" si="13"/>
        <v>31.071733982973363</v>
      </c>
      <c r="J41" s="306">
        <f t="shared" ca="1" si="14"/>
        <v>0.4705614996433754</v>
      </c>
      <c r="K41" s="307">
        <f t="shared" ca="1" si="15"/>
        <v>5.37076294017763</v>
      </c>
      <c r="L41" s="304">
        <f t="shared" ca="1" si="0"/>
        <v>5.3913377453589462</v>
      </c>
      <c r="M41" s="306">
        <f t="shared" ca="1" si="16"/>
        <v>1.482379372514963</v>
      </c>
      <c r="N41" s="304">
        <f t="shared" ca="1" si="17"/>
        <v>84.934081682358652</v>
      </c>
      <c r="P41" s="310">
        <f t="shared" ca="1" si="18"/>
        <v>5</v>
      </c>
      <c r="Q41" s="304">
        <f t="shared" ca="1" si="19"/>
        <v>1038.5</v>
      </c>
      <c r="R41" s="306">
        <f t="shared" ca="1" si="20"/>
        <v>0.52021815292394813</v>
      </c>
      <c r="S41" s="307">
        <f t="shared" ca="1" si="21"/>
        <v>10.821195096578341</v>
      </c>
      <c r="T41" s="304">
        <f t="shared" ca="1" si="1"/>
        <v>106.15592389743354</v>
      </c>
      <c r="U41" s="311">
        <f t="shared" ca="1" si="2"/>
        <v>0</v>
      </c>
      <c r="V41" s="306">
        <f t="shared" ca="1" si="3"/>
        <v>1.2243422581686012</v>
      </c>
      <c r="W41" s="304">
        <f t="shared" ca="1" si="4"/>
        <v>3.1249906562692251</v>
      </c>
      <c r="Y41" s="314" t="str">
        <f t="shared" ca="1" si="22"/>
        <v/>
      </c>
      <c r="Z41" s="315" t="str">
        <f t="shared" ca="1" si="23"/>
        <v/>
      </c>
      <c r="AA41" s="316" t="str">
        <f t="shared" ca="1" si="24"/>
        <v/>
      </c>
      <c r="AC41" s="310" t="e">
        <f t="shared" ca="1" si="25"/>
        <v>#N/A</v>
      </c>
      <c r="AD41" s="323" t="e">
        <f t="shared" ca="1" si="26"/>
        <v>#N/A</v>
      </c>
      <c r="AE41" s="324">
        <f t="shared" ca="1" si="5"/>
        <v>5.37076294017763</v>
      </c>
      <c r="AG41" s="306">
        <f t="shared" ca="1" si="27"/>
        <v>85.924105413811191</v>
      </c>
      <c r="AH41" s="304">
        <f t="shared" ca="1" si="28"/>
        <v>95.696025629173221</v>
      </c>
    </row>
    <row r="42" spans="1:34" x14ac:dyDescent="0.2">
      <c r="A42" s="347">
        <f t="shared" ca="1" si="6"/>
        <v>0.01</v>
      </c>
      <c r="B42" s="304">
        <f t="shared" ca="1" si="7"/>
        <v>0.38000000000000017</v>
      </c>
      <c r="D42" s="306">
        <f t="shared" ca="1" si="8"/>
        <v>8.4500820358354023</v>
      </c>
      <c r="E42" s="307">
        <f t="shared" ca="1" si="9"/>
        <v>85.511660327088876</v>
      </c>
      <c r="F42" s="304">
        <f t="shared" ca="1" si="10"/>
        <v>85.928155678495585</v>
      </c>
      <c r="G42" s="306">
        <f t="shared" ca="1" si="11"/>
        <v>2.8281908143710801</v>
      </c>
      <c r="H42" s="307">
        <f t="shared" ca="1" si="12"/>
        <v>31.80547714923895</v>
      </c>
      <c r="I42" s="304">
        <f t="shared" ca="1" si="13"/>
        <v>31.930973050836613</v>
      </c>
      <c r="J42" s="306">
        <f t="shared" ca="1" si="14"/>
        <v>0.49842090368529446</v>
      </c>
      <c r="K42" s="307">
        <f t="shared" ca="1" si="15"/>
        <v>5.684542128653665</v>
      </c>
      <c r="L42" s="304">
        <f t="shared" ca="1" si="0"/>
        <v>5.7063510766223287</v>
      </c>
      <c r="M42" s="306">
        <f t="shared" ca="1" si="16"/>
        <v>1.4821080871229442</v>
      </c>
      <c r="N42" s="304">
        <f t="shared" ca="1" si="17"/>
        <v>84.91853817435242</v>
      </c>
      <c r="P42" s="310">
        <f t="shared" ca="1" si="18"/>
        <v>5</v>
      </c>
      <c r="Q42" s="304">
        <f t="shared" ca="1" si="19"/>
        <v>1038.1666666666667</v>
      </c>
      <c r="R42" s="306">
        <f t="shared" ca="1" si="20"/>
        <v>0.52005117550365476</v>
      </c>
      <c r="S42" s="307">
        <f t="shared" ca="1" si="21"/>
        <v>10.815994584823304</v>
      </c>
      <c r="T42" s="304">
        <f t="shared" ca="1" si="1"/>
        <v>106.10490687711662</v>
      </c>
      <c r="U42" s="311">
        <f t="shared" ca="1" si="2"/>
        <v>0</v>
      </c>
      <c r="V42" s="306">
        <f t="shared" ca="1" si="3"/>
        <v>1.2243038414563685</v>
      </c>
      <c r="W42" s="304">
        <f t="shared" ca="1" si="4"/>
        <v>3.3001100462745763</v>
      </c>
      <c r="Y42" s="314" t="str">
        <f t="shared" ca="1" si="22"/>
        <v/>
      </c>
      <c r="Z42" s="315" t="str">
        <f t="shared" ca="1" si="23"/>
        <v/>
      </c>
      <c r="AA42" s="316" t="str">
        <f t="shared" ca="1" si="24"/>
        <v/>
      </c>
      <c r="AC42" s="310" t="e">
        <f t="shared" ca="1" si="25"/>
        <v>#N/A</v>
      </c>
      <c r="AD42" s="323" t="e">
        <f t="shared" ca="1" si="26"/>
        <v>#N/A</v>
      </c>
      <c r="AE42" s="324">
        <f t="shared" ca="1" si="5"/>
        <v>5.684542128653665</v>
      </c>
      <c r="AG42" s="306">
        <f t="shared" ca="1" si="27"/>
        <v>85.923789287107539</v>
      </c>
      <c r="AH42" s="304">
        <f t="shared" ca="1" si="28"/>
        <v>95.695469140002956</v>
      </c>
    </row>
    <row r="43" spans="1:34" x14ac:dyDescent="0.2">
      <c r="A43" s="347">
        <f t="shared" ca="1" si="6"/>
        <v>0.01</v>
      </c>
      <c r="B43" s="304">
        <f t="shared" ca="1" si="7"/>
        <v>0.39000000000000018</v>
      </c>
      <c r="D43" s="306">
        <f t="shared" ca="1" si="8"/>
        <v>8.4758514098033384</v>
      </c>
      <c r="E43" s="307">
        <f t="shared" ca="1" si="9"/>
        <v>85.50835580718848</v>
      </c>
      <c r="F43" s="304">
        <f t="shared" ca="1" si="10"/>
        <v>85.927405232380949</v>
      </c>
      <c r="G43" s="306">
        <f t="shared" ca="1" si="11"/>
        <v>2.9129493284691135</v>
      </c>
      <c r="H43" s="307">
        <f t="shared" ca="1" si="12"/>
        <v>32.660560707310836</v>
      </c>
      <c r="I43" s="304">
        <f t="shared" ca="1" si="13"/>
        <v>32.790204322421737</v>
      </c>
      <c r="J43" s="306">
        <f t="shared" ca="1" si="14"/>
        <v>0.52712660439949544</v>
      </c>
      <c r="K43" s="307">
        <f t="shared" ca="1" si="15"/>
        <v>6.0068723179364136</v>
      </c>
      <c r="L43" s="304">
        <f t="shared" ca="1" si="0"/>
        <v>6.0299566748905029</v>
      </c>
      <c r="M43" s="306">
        <f t="shared" ca="1" si="16"/>
        <v>1.4818431020294527</v>
      </c>
      <c r="N43" s="304">
        <f t="shared" ca="1" si="17"/>
        <v>84.903355646861471</v>
      </c>
      <c r="P43" s="310">
        <f t="shared" ca="1" si="18"/>
        <v>5</v>
      </c>
      <c r="Q43" s="304">
        <f t="shared" ca="1" si="19"/>
        <v>1037.8333333333333</v>
      </c>
      <c r="R43" s="306">
        <f t="shared" ca="1" si="20"/>
        <v>0.51988419808336139</v>
      </c>
      <c r="S43" s="307">
        <f t="shared" ca="1" si="21"/>
        <v>10.810795742842471</v>
      </c>
      <c r="T43" s="304">
        <f t="shared" ca="1" si="1"/>
        <v>106.05390623728465</v>
      </c>
      <c r="U43" s="311">
        <f t="shared" ca="1" si="2"/>
        <v>0</v>
      </c>
      <c r="V43" s="306">
        <f t="shared" ca="1" si="3"/>
        <v>1.2242643790801</v>
      </c>
      <c r="W43" s="304">
        <f t="shared" ca="1" si="4"/>
        <v>3.4799929394157725</v>
      </c>
      <c r="Y43" s="314" t="str">
        <f t="shared" ca="1" si="22"/>
        <v/>
      </c>
      <c r="Z43" s="315" t="str">
        <f t="shared" ca="1" si="23"/>
        <v/>
      </c>
      <c r="AA43" s="316" t="str">
        <f t="shared" ca="1" si="24"/>
        <v/>
      </c>
      <c r="AC43" s="310" t="e">
        <f t="shared" ca="1" si="25"/>
        <v>#N/A</v>
      </c>
      <c r="AD43" s="323" t="e">
        <f t="shared" ca="1" si="26"/>
        <v>#N/A</v>
      </c>
      <c r="AE43" s="324">
        <f t="shared" ca="1" si="5"/>
        <v>6.0068723179364136</v>
      </c>
      <c r="AG43" s="306">
        <f t="shared" ca="1" si="27"/>
        <v>85.923012036860641</v>
      </c>
      <c r="AH43" s="304">
        <f t="shared" ca="1" si="28"/>
        <v>95.694456531749253</v>
      </c>
    </row>
    <row r="44" spans="1:34" x14ac:dyDescent="0.2">
      <c r="A44" s="347">
        <f t="shared" ca="1" si="6"/>
        <v>0.01</v>
      </c>
      <c r="B44" s="304">
        <f t="shared" ca="1" si="7"/>
        <v>0.40000000000000019</v>
      </c>
      <c r="D44" s="306">
        <f t="shared" ca="1" si="8"/>
        <v>8.5009785369776214</v>
      </c>
      <c r="E44" s="307">
        <f t="shared" ca="1" si="9"/>
        <v>85.504643088700703</v>
      </c>
      <c r="F44" s="304">
        <f t="shared" ca="1" si="10"/>
        <v>85.926192897231559</v>
      </c>
      <c r="G44" s="306">
        <f t="shared" ca="1" si="11"/>
        <v>2.9979591138388897</v>
      </c>
      <c r="H44" s="307">
        <f t="shared" ca="1" si="12"/>
        <v>33.515607138197844</v>
      </c>
      <c r="I44" s="304">
        <f t="shared" ca="1" si="13"/>
        <v>33.649423185104794</v>
      </c>
      <c r="J44" s="306">
        <f t="shared" ca="1" si="14"/>
        <v>0.5566811466110354</v>
      </c>
      <c r="K44" s="307">
        <f t="shared" ca="1" si="15"/>
        <v>6.3377531571639567</v>
      </c>
      <c r="L44" s="304">
        <f t="shared" ca="1" si="0"/>
        <v>6.3621544291327821</v>
      </c>
      <c r="M44" s="306">
        <f t="shared" ca="1" si="16"/>
        <v>1.4815841136993482</v>
      </c>
      <c r="N44" s="304">
        <f t="shared" ca="1" si="17"/>
        <v>84.888516708603348</v>
      </c>
      <c r="P44" s="310">
        <f t="shared" ca="1" si="18"/>
        <v>5</v>
      </c>
      <c r="Q44" s="304">
        <f t="shared" ca="1" si="19"/>
        <v>1037.5</v>
      </c>
      <c r="R44" s="306">
        <f t="shared" ca="1" si="20"/>
        <v>0.51971722066306802</v>
      </c>
      <c r="S44" s="307">
        <f t="shared" ca="1" si="21"/>
        <v>10.805598570635841</v>
      </c>
      <c r="T44" s="304">
        <f t="shared" ca="1" si="1"/>
        <v>106.0029219779376</v>
      </c>
      <c r="U44" s="311">
        <f t="shared" ca="1" si="2"/>
        <v>0</v>
      </c>
      <c r="V44" s="306">
        <f t="shared" ca="1" si="3"/>
        <v>1.2242238711838902</v>
      </c>
      <c r="W44" s="304">
        <f t="shared" ca="1" si="4"/>
        <v>3.6646372781721466</v>
      </c>
      <c r="Y44" s="314" t="str">
        <f t="shared" ca="1" si="22"/>
        <v/>
      </c>
      <c r="Z44" s="315" t="str">
        <f t="shared" ca="1" si="23"/>
        <v/>
      </c>
      <c r="AA44" s="316" t="str">
        <f t="shared" ca="1" si="24"/>
        <v/>
      </c>
      <c r="AC44" s="310" t="e">
        <f t="shared" ca="1" si="25"/>
        <v>#N/A</v>
      </c>
      <c r="AD44" s="323" t="e">
        <f t="shared" ca="1" si="26"/>
        <v>#N/A</v>
      </c>
      <c r="AE44" s="324">
        <f t="shared" ca="1" si="5"/>
        <v>6.3377531571639567</v>
      </c>
      <c r="AG44" s="306">
        <f t="shared" ca="1" si="27"/>
        <v>85.921773416628554</v>
      </c>
      <c r="AH44" s="304">
        <f t="shared" ca="1" si="28"/>
        <v>95.692987325156466</v>
      </c>
    </row>
    <row r="45" spans="1:34" x14ac:dyDescent="0.2">
      <c r="A45" s="347">
        <f t="shared" ca="1" si="6"/>
        <v>0.01</v>
      </c>
      <c r="B45" s="304">
        <f t="shared" ca="1" si="7"/>
        <v>0.4100000000000002</v>
      </c>
      <c r="D45" s="306">
        <f t="shared" ca="1" si="8"/>
        <v>8.5254920126396847</v>
      </c>
      <c r="E45" s="307">
        <f t="shared" ca="1" si="9"/>
        <v>85.500519625328977</v>
      </c>
      <c r="F45" s="304">
        <f t="shared" ca="1" si="10"/>
        <v>85.924518446476313</v>
      </c>
      <c r="G45" s="306">
        <f t="shared" ca="1" si="11"/>
        <v>3.0832140339652865</v>
      </c>
      <c r="H45" s="307">
        <f t="shared" ca="1" si="12"/>
        <v>34.370612334451131</v>
      </c>
      <c r="I45" s="304">
        <f t="shared" ca="1" si="13"/>
        <v>34.50862502367147</v>
      </c>
      <c r="J45" s="306">
        <f t="shared" ca="1" si="14"/>
        <v>0.58708701235005634</v>
      </c>
      <c r="K45" s="307">
        <f t="shared" ca="1" si="15"/>
        <v>6.6771842545272015</v>
      </c>
      <c r="L45" s="304">
        <f t="shared" ca="1" si="0"/>
        <v>6.7029441836387162</v>
      </c>
      <c r="M45" s="306">
        <f t="shared" ca="1" si="16"/>
        <v>1.4813308403822891</v>
      </c>
      <c r="N45" s="304">
        <f t="shared" ca="1" si="17"/>
        <v>84.874005216472582</v>
      </c>
      <c r="P45" s="310">
        <f t="shared" ca="1" si="18"/>
        <v>5</v>
      </c>
      <c r="Q45" s="304">
        <f t="shared" ca="1" si="19"/>
        <v>1037.1666666666667</v>
      </c>
      <c r="R45" s="306">
        <f t="shared" ca="1" si="20"/>
        <v>0.51955024324277477</v>
      </c>
      <c r="S45" s="307">
        <f t="shared" ca="1" si="21"/>
        <v>10.800403068203412</v>
      </c>
      <c r="T45" s="304">
        <f t="shared" ca="1" si="1"/>
        <v>105.95195409907548</v>
      </c>
      <c r="U45" s="311">
        <f t="shared" ca="1" si="2"/>
        <v>0</v>
      </c>
      <c r="V45" s="306">
        <f t="shared" ca="1" si="3"/>
        <v>1.2241823179195161</v>
      </c>
      <c r="W45" s="304">
        <f t="shared" ca="1" si="4"/>
        <v>3.8540408776181225</v>
      </c>
      <c r="Y45" s="314" t="str">
        <f t="shared" ca="1" si="22"/>
        <v/>
      </c>
      <c r="Z45" s="315" t="str">
        <f t="shared" ca="1" si="23"/>
        <v/>
      </c>
      <c r="AA45" s="316" t="str">
        <f t="shared" ca="1" si="24"/>
        <v/>
      </c>
      <c r="AC45" s="310" t="e">
        <f t="shared" ca="1" si="25"/>
        <v>#N/A</v>
      </c>
      <c r="AD45" s="323" t="e">
        <f t="shared" ca="1" si="26"/>
        <v>#N/A</v>
      </c>
      <c r="AE45" s="324">
        <f t="shared" ca="1" si="5"/>
        <v>6.6771842545272015</v>
      </c>
      <c r="AG45" s="306">
        <f t="shared" ca="1" si="27"/>
        <v>85.92007317478631</v>
      </c>
      <c r="AH45" s="304">
        <f t="shared" ca="1" si="28"/>
        <v>95.69106105226237</v>
      </c>
    </row>
    <row r="46" spans="1:34" x14ac:dyDescent="0.2">
      <c r="A46" s="347">
        <f t="shared" ca="1" si="6"/>
        <v>0.01</v>
      </c>
      <c r="B46" s="304">
        <f t="shared" ca="1" si="7"/>
        <v>0.42000000000000021</v>
      </c>
      <c r="D46" s="306">
        <f t="shared" ca="1" si="8"/>
        <v>8.5494183673276662</v>
      </c>
      <c r="E46" s="307">
        <f t="shared" ca="1" si="9"/>
        <v>85.495983026594971</v>
      </c>
      <c r="F46" s="304">
        <f t="shared" ca="1" si="10"/>
        <v>85.922381648226064</v>
      </c>
      <c r="G46" s="306">
        <f t="shared" ca="1" si="11"/>
        <v>3.1687082176385633</v>
      </c>
      <c r="H46" s="307">
        <f t="shared" ca="1" si="12"/>
        <v>35.225572164717079</v>
      </c>
      <c r="I46" s="304">
        <f t="shared" ca="1" si="13"/>
        <v>35.367805220287856</v>
      </c>
      <c r="J46" s="306">
        <f t="shared" ca="1" si="14"/>
        <v>0.61834662360807557</v>
      </c>
      <c r="K46" s="307">
        <f t="shared" ca="1" si="15"/>
        <v>7.0251651770230428</v>
      </c>
      <c r="L46" s="304">
        <f t="shared" ca="1" si="0"/>
        <v>7.0523257377538018</v>
      </c>
      <c r="M46" s="306">
        <f t="shared" ca="1" si="16"/>
        <v>1.4810830200583227</v>
      </c>
      <c r="N46" s="304">
        <f t="shared" ca="1" si="17"/>
        <v>84.859806157831741</v>
      </c>
      <c r="P46" s="310">
        <f t="shared" ca="1" si="18"/>
        <v>5</v>
      </c>
      <c r="Q46" s="304">
        <f t="shared" ca="1" si="19"/>
        <v>1036.8333333333333</v>
      </c>
      <c r="R46" s="306">
        <f t="shared" ca="1" si="20"/>
        <v>0.51938326582248129</v>
      </c>
      <c r="S46" s="307">
        <f t="shared" ca="1" si="21"/>
        <v>10.795209235545187</v>
      </c>
      <c r="T46" s="304">
        <f t="shared" ca="1" si="1"/>
        <v>105.90100260069829</v>
      </c>
      <c r="U46" s="311">
        <f t="shared" ca="1" si="2"/>
        <v>0</v>
      </c>
      <c r="V46" s="306">
        <f t="shared" ca="1" si="3"/>
        <v>1.224139719446464</v>
      </c>
      <c r="W46" s="304">
        <f t="shared" ca="1" si="4"/>
        <v>4.0482014253883429</v>
      </c>
      <c r="Y46" s="314" t="str">
        <f t="shared" ca="1" si="22"/>
        <v/>
      </c>
      <c r="Z46" s="315" t="str">
        <f t="shared" ca="1" si="23"/>
        <v/>
      </c>
      <c r="AA46" s="316" t="str">
        <f t="shared" ca="1" si="24"/>
        <v/>
      </c>
      <c r="AC46" s="310" t="e">
        <f t="shared" ca="1" si="25"/>
        <v>#N/A</v>
      </c>
      <c r="AD46" s="323" t="e">
        <f t="shared" ca="1" si="26"/>
        <v>#N/A</v>
      </c>
      <c r="AE46" s="324">
        <f t="shared" ca="1" si="5"/>
        <v>7.0251651770230428</v>
      </c>
      <c r="AG46" s="306">
        <f t="shared" ca="1" si="27"/>
        <v>85.917911056105311</v>
      </c>
      <c r="AH46" s="304">
        <f t="shared" ca="1" si="28"/>
        <v>95.688677256429926</v>
      </c>
    </row>
    <row r="47" spans="1:34" x14ac:dyDescent="0.2">
      <c r="A47" s="347">
        <f t="shared" ca="1" si="6"/>
        <v>0.01</v>
      </c>
      <c r="B47" s="304">
        <f t="shared" ca="1" si="7"/>
        <v>0.43000000000000022</v>
      </c>
      <c r="D47" s="306">
        <f t="shared" ca="1" si="8"/>
        <v>8.5727822619422298</v>
      </c>
      <c r="E47" s="307">
        <f t="shared" ca="1" si="9"/>
        <v>85.491031044600206</v>
      </c>
      <c r="F47" s="304">
        <f t="shared" ca="1" si="10"/>
        <v>85.919782266829955</v>
      </c>
      <c r="G47" s="306">
        <f t="shared" ca="1" si="11"/>
        <v>3.2544360402579855</v>
      </c>
      <c r="H47" s="307">
        <f t="shared" ca="1" si="12"/>
        <v>36.08048247516308</v>
      </c>
      <c r="I47" s="304">
        <f t="shared" ca="1" si="13"/>
        <v>36.226959154484391</v>
      </c>
      <c r="J47" s="306">
        <f t="shared" ca="1" si="14"/>
        <v>0.65046234489755828</v>
      </c>
      <c r="K47" s="307">
        <f t="shared" ca="1" si="15"/>
        <v>7.3816954502224439</v>
      </c>
      <c r="L47" s="304">
        <f t="shared" ca="1" si="0"/>
        <v>7.410298845658275</v>
      </c>
      <c r="M47" s="306">
        <f t="shared" ca="1" si="16"/>
        <v>1.4808404086213054</v>
      </c>
      <c r="N47" s="304">
        <f t="shared" ca="1" si="17"/>
        <v>84.845905546429051</v>
      </c>
      <c r="P47" s="310">
        <f t="shared" ca="1" si="18"/>
        <v>5</v>
      </c>
      <c r="Q47" s="304">
        <f t="shared" ca="1" si="19"/>
        <v>1036.5</v>
      </c>
      <c r="R47" s="306">
        <f t="shared" ca="1" si="20"/>
        <v>0.51921628840218792</v>
      </c>
      <c r="S47" s="307">
        <f t="shared" ca="1" si="21"/>
        <v>10.790017072661165</v>
      </c>
      <c r="T47" s="304">
        <f t="shared" ca="1" si="1"/>
        <v>105.85006748280603</v>
      </c>
      <c r="U47" s="311">
        <f t="shared" ca="1" si="2"/>
        <v>0</v>
      </c>
      <c r="V47" s="306">
        <f t="shared" ca="1" si="3"/>
        <v>1.224096075931957</v>
      </c>
      <c r="W47" s="304">
        <f t="shared" ca="1" si="4"/>
        <v>4.2471164816481091</v>
      </c>
      <c r="Y47" s="314" t="str">
        <f t="shared" ca="1" si="22"/>
        <v/>
      </c>
      <c r="Z47" s="315" t="str">
        <f t="shared" ca="1" si="23"/>
        <v/>
      </c>
      <c r="AA47" s="316" t="str">
        <f t="shared" ca="1" si="24"/>
        <v/>
      </c>
      <c r="AC47" s="310" t="e">
        <f t="shared" ca="1" si="25"/>
        <v>#N/A</v>
      </c>
      <c r="AD47" s="323" t="e">
        <f t="shared" ca="1" si="26"/>
        <v>#N/A</v>
      </c>
      <c r="AE47" s="324">
        <f t="shared" ca="1" si="5"/>
        <v>7.3816954502224439</v>
      </c>
      <c r="AG47" s="306">
        <f t="shared" ca="1" si="27"/>
        <v>85.915286803152782</v>
      </c>
      <c r="AH47" s="304">
        <f t="shared" ca="1" si="28"/>
        <v>95.685835492378516</v>
      </c>
    </row>
    <row r="48" spans="1:34" x14ac:dyDescent="0.2">
      <c r="A48" s="347">
        <f t="shared" ca="1" si="6"/>
        <v>0.01</v>
      </c>
      <c r="B48" s="304">
        <f t="shared" ca="1" si="7"/>
        <v>0.44000000000000022</v>
      </c>
      <c r="D48" s="306">
        <f t="shared" ca="1" si="8"/>
        <v>8.5956066602499845</v>
      </c>
      <c r="E48" s="307">
        <f t="shared" ca="1" si="9"/>
        <v>85.485661562290161</v>
      </c>
      <c r="F48" s="304">
        <f t="shared" ca="1" si="10"/>
        <v>85.916720064258428</v>
      </c>
      <c r="G48" s="306">
        <f t="shared" ca="1" si="11"/>
        <v>3.3403921068604854</v>
      </c>
      <c r="H48" s="307">
        <f t="shared" ca="1" si="12"/>
        <v>36.93533909078598</v>
      </c>
      <c r="I48" s="304">
        <f t="shared" ca="1" si="13"/>
        <v>37.086082203151612</v>
      </c>
      <c r="J48" s="306">
        <f t="shared" ca="1" si="14"/>
        <v>0.68343648563315063</v>
      </c>
      <c r="K48" s="307">
        <f t="shared" ca="1" si="15"/>
        <v>7.7467745580521896</v>
      </c>
      <c r="L48" s="304">
        <f t="shared" ca="1" si="0"/>
        <v>7.7768632161803701</v>
      </c>
      <c r="M48" s="306">
        <f t="shared" ca="1" si="16"/>
        <v>1.4806027782677575</v>
      </c>
      <c r="N48" s="304">
        <f t="shared" ca="1" si="17"/>
        <v>84.832290330086551</v>
      </c>
      <c r="P48" s="310">
        <f t="shared" ca="1" si="18"/>
        <v>5</v>
      </c>
      <c r="Q48" s="304">
        <f t="shared" ca="1" si="19"/>
        <v>1036.1666666666667</v>
      </c>
      <c r="R48" s="306">
        <f t="shared" ca="1" si="20"/>
        <v>0.51904931098189466</v>
      </c>
      <c r="S48" s="307">
        <f t="shared" ca="1" si="21"/>
        <v>10.784826579551346</v>
      </c>
      <c r="T48" s="304">
        <f t="shared" ca="1" si="1"/>
        <v>105.79914874539871</v>
      </c>
      <c r="U48" s="311">
        <f t="shared" ca="1" si="2"/>
        <v>0</v>
      </c>
      <c r="V48" s="306">
        <f t="shared" ca="1" si="3"/>
        <v>1.2240513875509782</v>
      </c>
      <c r="W48" s="304">
        <f t="shared" ca="1" si="4"/>
        <v>4.4507834790692957</v>
      </c>
      <c r="Y48" s="314" t="str">
        <f t="shared" ca="1" si="22"/>
        <v/>
      </c>
      <c r="Z48" s="315" t="str">
        <f t="shared" ca="1" si="23"/>
        <v/>
      </c>
      <c r="AA48" s="316" t="str">
        <f t="shared" ca="1" si="24"/>
        <v/>
      </c>
      <c r="AC48" s="310" t="e">
        <f t="shared" ca="1" si="25"/>
        <v>#N/A</v>
      </c>
      <c r="AD48" s="323" t="e">
        <f t="shared" ca="1" si="26"/>
        <v>#N/A</v>
      </c>
      <c r="AE48" s="324">
        <f t="shared" ca="1" si="5"/>
        <v>7.7467745580521896</v>
      </c>
      <c r="AG48" s="306">
        <f t="shared" ca="1" si="27"/>
        <v>85.912200157535665</v>
      </c>
      <c r="AH48" s="304">
        <f t="shared" ca="1" si="28"/>
        <v>95.682535326214477</v>
      </c>
    </row>
    <row r="49" spans="1:34" x14ac:dyDescent="0.2">
      <c r="A49" s="347">
        <f t="shared" ca="1" si="6"/>
        <v>0.01</v>
      </c>
      <c r="B49" s="304">
        <f t="shared" ca="1" si="7"/>
        <v>0.45000000000000023</v>
      </c>
      <c r="D49" s="306">
        <f t="shared" ca="1" si="8"/>
        <v>8.6179129818648175</v>
      </c>
      <c r="E49" s="307">
        <f t="shared" ca="1" si="9"/>
        <v>85.479872583020736</v>
      </c>
      <c r="F49" s="304">
        <f t="shared" ca="1" si="10"/>
        <v>85.913194801336857</v>
      </c>
      <c r="G49" s="306">
        <f t="shared" ca="1" si="11"/>
        <v>3.4265712366791337</v>
      </c>
      <c r="H49" s="307">
        <f t="shared" ca="1" si="12"/>
        <v>37.790137816616188</v>
      </c>
      <c r="I49" s="304">
        <f t="shared" ca="1" si="13"/>
        <v>37.945169740546447</v>
      </c>
      <c r="J49" s="306">
        <f t="shared" ca="1" si="14"/>
        <v>0.71727130235084868</v>
      </c>
      <c r="K49" s="307">
        <f t="shared" ca="1" si="15"/>
        <v>8.1204019425892007</v>
      </c>
      <c r="L49" s="304">
        <f t="shared" ca="1" si="0"/>
        <v>8.1520185126373796</v>
      </c>
      <c r="M49" s="306">
        <f t="shared" ca="1" si="16"/>
        <v>1.4803699160637949</v>
      </c>
      <c r="N49" s="304">
        <f t="shared" ca="1" si="17"/>
        <v>84.818948308591374</v>
      </c>
      <c r="P49" s="310">
        <f t="shared" ca="1" si="18"/>
        <v>5</v>
      </c>
      <c r="Q49" s="304">
        <f t="shared" ca="1" si="19"/>
        <v>1035.8333333333333</v>
      </c>
      <c r="R49" s="306">
        <f t="shared" ca="1" si="20"/>
        <v>0.51888233356160118</v>
      </c>
      <c r="S49" s="307">
        <f t="shared" ca="1" si="21"/>
        <v>10.779637756215731</v>
      </c>
      <c r="T49" s="304">
        <f t="shared" ca="1" si="1"/>
        <v>105.74824638847633</v>
      </c>
      <c r="U49" s="311">
        <f t="shared" ca="1" si="2"/>
        <v>0</v>
      </c>
      <c r="V49" s="306">
        <f t="shared" ca="1" si="3"/>
        <v>1.2240056544862949</v>
      </c>
      <c r="W49" s="304">
        <f t="shared" ca="1" si="4"/>
        <v>4.6591997228119162</v>
      </c>
      <c r="Y49" s="314" t="str">
        <f t="shared" ca="1" si="22"/>
        <v/>
      </c>
      <c r="Z49" s="315" t="str">
        <f t="shared" ca="1" si="23"/>
        <v/>
      </c>
      <c r="AA49" s="316" t="str">
        <f t="shared" ca="1" si="24"/>
        <v/>
      </c>
      <c r="AC49" s="310" t="e">
        <f t="shared" ca="1" si="25"/>
        <v>#N/A</v>
      </c>
      <c r="AD49" s="323" t="e">
        <f t="shared" ca="1" si="26"/>
        <v>#N/A</v>
      </c>
      <c r="AE49" s="324">
        <f t="shared" ca="1" si="5"/>
        <v>8.1204019425892007</v>
      </c>
      <c r="AG49" s="306">
        <f t="shared" ca="1" si="27"/>
        <v>85.908650861010372</v>
      </c>
      <c r="AH49" s="304">
        <f t="shared" ca="1" si="28"/>
        <v>95.678776335461777</v>
      </c>
    </row>
    <row r="50" spans="1:34" x14ac:dyDescent="0.2">
      <c r="A50" s="347">
        <f t="shared" ca="1" si="6"/>
        <v>0.01</v>
      </c>
      <c r="B50" s="304">
        <f t="shared" ca="1" si="7"/>
        <v>0.46000000000000024</v>
      </c>
      <c r="D50" s="306">
        <f t="shared" ca="1" si="8"/>
        <v>8.6397212383079598</v>
      </c>
      <c r="E50" s="307">
        <f t="shared" ca="1" si="9"/>
        <v>85.473662221255353</v>
      </c>
      <c r="F50" s="304">
        <f t="shared" ca="1" si="10"/>
        <v>85.909206238848029</v>
      </c>
      <c r="G50" s="306">
        <f t="shared" ca="1" si="11"/>
        <v>3.5129684490622131</v>
      </c>
      <c r="H50" s="307">
        <f t="shared" ca="1" si="12"/>
        <v>38.644874438828744</v>
      </c>
      <c r="I50" s="304">
        <f t="shared" ca="1" si="13"/>
        <v>38.804217138307862</v>
      </c>
      <c r="J50" s="306">
        <f t="shared" ca="1" si="14"/>
        <v>0.75196900077955542</v>
      </c>
      <c r="K50" s="307">
        <f t="shared" ca="1" si="15"/>
        <v>8.5025770038664259</v>
      </c>
      <c r="L50" s="304">
        <f t="shared" ca="1" si="0"/>
        <v>8.5357643526992693</v>
      </c>
      <c r="M50" s="306">
        <f t="shared" ca="1" si="16"/>
        <v>1.4801416226669515</v>
      </c>
      <c r="N50" s="304">
        <f t="shared" ca="1" si="17"/>
        <v>84.805868060461549</v>
      </c>
      <c r="P50" s="310">
        <f t="shared" ca="1" si="18"/>
        <v>5</v>
      </c>
      <c r="Q50" s="304">
        <f t="shared" ca="1" si="19"/>
        <v>1035.5</v>
      </c>
      <c r="R50" s="306">
        <f t="shared" ca="1" si="20"/>
        <v>0.51871535614130793</v>
      </c>
      <c r="S50" s="307">
        <f t="shared" ca="1" si="21"/>
        <v>10.774450602654317</v>
      </c>
      <c r="T50" s="304">
        <f t="shared" ca="1" si="1"/>
        <v>105.69736041203886</v>
      </c>
      <c r="U50" s="311">
        <f t="shared" ca="1" si="2"/>
        <v>0</v>
      </c>
      <c r="V50" s="306">
        <f t="shared" ca="1" si="3"/>
        <v>1.2239588769284808</v>
      </c>
      <c r="W50" s="304">
        <f t="shared" ca="1" si="4"/>
        <v>4.8723623905114533</v>
      </c>
      <c r="Y50" s="314" t="str">
        <f t="shared" ca="1" si="22"/>
        <v/>
      </c>
      <c r="Z50" s="315" t="str">
        <f t="shared" ca="1" si="23"/>
        <v/>
      </c>
      <c r="AA50" s="316" t="str">
        <f t="shared" ca="1" si="24"/>
        <v/>
      </c>
      <c r="AC50" s="310" t="e">
        <f t="shared" ca="1" si="25"/>
        <v>#N/A</v>
      </c>
      <c r="AD50" s="323" t="e">
        <f t="shared" ca="1" si="26"/>
        <v>#N/A</v>
      </c>
      <c r="AE50" s="324">
        <f t="shared" ca="1" si="5"/>
        <v>8.5025770038664259</v>
      </c>
      <c r="AG50" s="306">
        <f t="shared" ca="1" si="27"/>
        <v>85.904638656475015</v>
      </c>
      <c r="AH50" s="304">
        <f t="shared" ca="1" si="28"/>
        <v>95.674558109091649</v>
      </c>
    </row>
    <row r="51" spans="1:34" x14ac:dyDescent="0.2">
      <c r="A51" s="347">
        <f t="shared" ca="1" si="6"/>
        <v>0.01</v>
      </c>
      <c r="B51" s="304">
        <f t="shared" ca="1" si="7"/>
        <v>0.47000000000000025</v>
      </c>
      <c r="D51" s="306">
        <f t="shared" ca="1" si="8"/>
        <v>8.6610501543509812</v>
      </c>
      <c r="E51" s="307">
        <f t="shared" ca="1" si="9"/>
        <v>85.46702869424908</v>
      </c>
      <c r="F51" s="304">
        <f t="shared" ca="1" si="10"/>
        <v>85.904754138521227</v>
      </c>
      <c r="G51" s="306">
        <f t="shared" ca="1" si="11"/>
        <v>3.5995789506057227</v>
      </c>
      <c r="H51" s="307">
        <f t="shared" ca="1" si="12"/>
        <v>39.499544725771237</v>
      </c>
      <c r="I51" s="304">
        <f t="shared" ca="1" si="13"/>
        <v>39.663219765481038</v>
      </c>
      <c r="J51" s="306">
        <f t="shared" ca="1" si="14"/>
        <v>0.78753173777789509</v>
      </c>
      <c r="K51" s="307">
        <f t="shared" ca="1" si="15"/>
        <v>8.8932990996894254</v>
      </c>
      <c r="L51" s="304">
        <f t="shared" ca="1" si="0"/>
        <v>8.9281003082707464</v>
      </c>
      <c r="M51" s="306">
        <f t="shared" ca="1" si="16"/>
        <v>1.4799177111831618</v>
      </c>
      <c r="N51" s="304">
        <f t="shared" ca="1" si="17"/>
        <v>84.793038877455885</v>
      </c>
      <c r="P51" s="310">
        <f t="shared" ca="1" si="18"/>
        <v>5</v>
      </c>
      <c r="Q51" s="304">
        <f t="shared" ca="1" si="19"/>
        <v>1035.1666666666667</v>
      </c>
      <c r="R51" s="306">
        <f t="shared" ca="1" si="20"/>
        <v>0.51854837872101456</v>
      </c>
      <c r="S51" s="307">
        <f t="shared" ca="1" si="21"/>
        <v>10.769265118867107</v>
      </c>
      <c r="T51" s="304">
        <f t="shared" ca="1" si="1"/>
        <v>105.64649081608633</v>
      </c>
      <c r="U51" s="311">
        <f t="shared" ca="1" si="2"/>
        <v>0</v>
      </c>
      <c r="V51" s="306">
        <f t="shared" ca="1" si="3"/>
        <v>1.2239110550759336</v>
      </c>
      <c r="W51" s="304">
        <f t="shared" ca="1" si="4"/>
        <v>5.0902685322720744</v>
      </c>
      <c r="Y51" s="314" t="str">
        <f t="shared" ca="1" si="22"/>
        <v/>
      </c>
      <c r="Z51" s="315" t="str">
        <f t="shared" ca="1" si="23"/>
        <v/>
      </c>
      <c r="AA51" s="316" t="str">
        <f t="shared" ca="1" si="24"/>
        <v/>
      </c>
      <c r="AC51" s="310" t="e">
        <f t="shared" ca="1" si="25"/>
        <v>#N/A</v>
      </c>
      <c r="AD51" s="323" t="e">
        <f t="shared" ca="1" si="26"/>
        <v>#N/A</v>
      </c>
      <c r="AE51" s="324">
        <f t="shared" ca="1" si="5"/>
        <v>8.8932990996894254</v>
      </c>
      <c r="AG51" s="306">
        <f t="shared" ca="1" si="27"/>
        <v>85.900163288859588</v>
      </c>
      <c r="AH51" s="304">
        <f t="shared" ca="1" si="28"/>
        <v>95.66988024755203</v>
      </c>
    </row>
    <row r="52" spans="1:34" x14ac:dyDescent="0.2">
      <c r="A52" s="347">
        <f t="shared" ca="1" si="6"/>
        <v>0.01</v>
      </c>
      <c r="B52" s="304">
        <f t="shared" ca="1" si="7"/>
        <v>0.48000000000000026</v>
      </c>
      <c r="D52" s="306">
        <f t="shared" ca="1" si="8"/>
        <v>8.6819172765175416</v>
      </c>
      <c r="E52" s="307">
        <f t="shared" ca="1" si="9"/>
        <v>85.45997031459558</v>
      </c>
      <c r="F52" s="304">
        <f t="shared" ca="1" si="10"/>
        <v>85.899838263921382</v>
      </c>
      <c r="G52" s="306">
        <f t="shared" ca="1" si="11"/>
        <v>3.686398123370898</v>
      </c>
      <c r="H52" s="307">
        <f t="shared" ca="1" si="12"/>
        <v>40.354144428917195</v>
      </c>
      <c r="I52" s="304">
        <f t="shared" ca="1" si="13"/>
        <v>40.522172988549137</v>
      </c>
      <c r="J52" s="306">
        <f t="shared" ca="1" si="14"/>
        <v>0.82396162314777821</v>
      </c>
      <c r="K52" s="307">
        <f t="shared" ca="1" si="15"/>
        <v>9.2925675454628678</v>
      </c>
      <c r="L52" s="304">
        <f t="shared" ca="1" si="0"/>
        <v>9.3290259053885194</v>
      </c>
      <c r="M52" s="306">
        <f t="shared" ca="1" si="16"/>
        <v>1.4796980061420508</v>
      </c>
      <c r="N52" s="304">
        <f t="shared" ca="1" si="17"/>
        <v>84.780450705862478</v>
      </c>
      <c r="P52" s="310">
        <f t="shared" ca="1" si="18"/>
        <v>5</v>
      </c>
      <c r="Q52" s="304">
        <f t="shared" ca="1" si="19"/>
        <v>1034.8333333333333</v>
      </c>
      <c r="R52" s="306">
        <f t="shared" ca="1" si="20"/>
        <v>0.51838140130072119</v>
      </c>
      <c r="S52" s="307">
        <f t="shared" ca="1" si="21"/>
        <v>10.7640813048541</v>
      </c>
      <c r="T52" s="304">
        <f t="shared" ca="1" si="1"/>
        <v>105.59563760061873</v>
      </c>
      <c r="U52" s="311">
        <f t="shared" ca="1" si="2"/>
        <v>0</v>
      </c>
      <c r="V52" s="306">
        <f t="shared" ca="1" si="3"/>
        <v>1.2238621891348966</v>
      </c>
      <c r="W52" s="304">
        <f t="shared" ca="1" si="4"/>
        <v>5.312915070665877</v>
      </c>
      <c r="Y52" s="314" t="str">
        <f t="shared" ca="1" si="22"/>
        <v/>
      </c>
      <c r="Z52" s="315" t="str">
        <f t="shared" ca="1" si="23"/>
        <v/>
      </c>
      <c r="AA52" s="316" t="str">
        <f t="shared" ca="1" si="24"/>
        <v/>
      </c>
      <c r="AC52" s="310" t="e">
        <f t="shared" ca="1" si="25"/>
        <v>#N/A</v>
      </c>
      <c r="AD52" s="323" t="e">
        <f t="shared" ca="1" si="26"/>
        <v>#N/A</v>
      </c>
      <c r="AE52" s="324">
        <f t="shared" ca="1" si="5"/>
        <v>9.2925675454628678</v>
      </c>
      <c r="AG52" s="306">
        <f t="shared" ca="1" si="27"/>
        <v>85.895224505926691</v>
      </c>
      <c r="AH52" s="304">
        <f t="shared" ca="1" si="28"/>
        <v>95.664742362796432</v>
      </c>
    </row>
    <row r="53" spans="1:34" x14ac:dyDescent="0.2">
      <c r="A53" s="347">
        <f t="shared" ca="1" si="6"/>
        <v>0.01</v>
      </c>
      <c r="B53" s="304">
        <f t="shared" ca="1" si="7"/>
        <v>0.49000000000000027</v>
      </c>
      <c r="D53" s="306">
        <f t="shared" ca="1" si="8"/>
        <v>8.702339070345678</v>
      </c>
      <c r="E53" s="307">
        <f t="shared" ca="1" si="9"/>
        <v>85.452485483531689</v>
      </c>
      <c r="F53" s="304">
        <f t="shared" ca="1" si="10"/>
        <v>85.894458381250999</v>
      </c>
      <c r="G53" s="306">
        <f t="shared" ca="1" si="11"/>
        <v>3.773421514074355</v>
      </c>
      <c r="H53" s="307">
        <f t="shared" ca="1" si="12"/>
        <v>41.208669283752513</v>
      </c>
      <c r="I53" s="304">
        <f t="shared" ca="1" si="13"/>
        <v>41.381072171471914</v>
      </c>
      <c r="J53" s="306">
        <f t="shared" ca="1" si="14"/>
        <v>0.86126072133500453</v>
      </c>
      <c r="K53" s="307">
        <f t="shared" ca="1" si="15"/>
        <v>9.7003816140262167</v>
      </c>
      <c r="L53" s="304">
        <f t="shared" ca="1" si="0"/>
        <v>9.7385406241311312</v>
      </c>
      <c r="M53" s="306">
        <f t="shared" ca="1" si="16"/>
        <v>1.4794823425760824</v>
      </c>
      <c r="N53" s="304">
        <f t="shared" ca="1" si="17"/>
        <v>84.768094093737744</v>
      </c>
      <c r="P53" s="310">
        <f t="shared" ca="1" si="18"/>
        <v>5</v>
      </c>
      <c r="Q53" s="304">
        <f t="shared" ca="1" si="19"/>
        <v>1034.5</v>
      </c>
      <c r="R53" s="306">
        <f t="shared" ca="1" si="20"/>
        <v>0.51821442388042782</v>
      </c>
      <c r="S53" s="307">
        <f t="shared" ca="1" si="21"/>
        <v>10.758899160615297</v>
      </c>
      <c r="T53" s="304">
        <f t="shared" ca="1" si="1"/>
        <v>105.54480076563607</v>
      </c>
      <c r="U53" s="311">
        <f t="shared" ca="1" si="2"/>
        <v>0</v>
      </c>
      <c r="V53" s="306">
        <f t="shared" ca="1" si="3"/>
        <v>1.2238122793194743</v>
      </c>
      <c r="W53" s="304">
        <f t="shared" ca="1" si="4"/>
        <v>5.540298800738201</v>
      </c>
      <c r="Y53" s="314" t="str">
        <f t="shared" ca="1" si="22"/>
        <v/>
      </c>
      <c r="Z53" s="315" t="str">
        <f t="shared" ca="1" si="23"/>
        <v/>
      </c>
      <c r="AA53" s="316" t="str">
        <f t="shared" ca="1" si="24"/>
        <v/>
      </c>
      <c r="AC53" s="310" t="e">
        <f t="shared" ca="1" si="25"/>
        <v>#N/A</v>
      </c>
      <c r="AD53" s="323" t="e">
        <f t="shared" ca="1" si="26"/>
        <v>#N/A</v>
      </c>
      <c r="AE53" s="324">
        <f t="shared" ca="1" si="5"/>
        <v>9.7003816140262167</v>
      </c>
      <c r="AG53" s="306">
        <f t="shared" ca="1" si="27"/>
        <v>85.88982205899373</v>
      </c>
      <c r="AH53" s="304">
        <f t="shared" ca="1" si="28"/>
        <v>95.659144078312508</v>
      </c>
    </row>
    <row r="54" spans="1:34" x14ac:dyDescent="0.2">
      <c r="A54" s="347">
        <f t="shared" ca="1" si="6"/>
        <v>0.01</v>
      </c>
      <c r="B54" s="304">
        <f t="shared" ca="1" si="7"/>
        <v>0.50000000000000022</v>
      </c>
      <c r="D54" s="306">
        <f t="shared" ca="1" si="8"/>
        <v>8.7223310077840051</v>
      </c>
      <c r="E54" s="307">
        <f t="shared" ca="1" si="9"/>
        <v>85.444572684907868</v>
      </c>
      <c r="F54" s="304">
        <f t="shared" ca="1" si="10"/>
        <v>85.888614260074391</v>
      </c>
      <c r="G54" s="306">
        <f t="shared" ca="1" si="11"/>
        <v>3.8606448241521951</v>
      </c>
      <c r="H54" s="307">
        <f t="shared" ca="1" si="12"/>
        <v>42.063115010601592</v>
      </c>
      <c r="I54" s="304">
        <f t="shared" ca="1" si="13"/>
        <v>42.239912675730643</v>
      </c>
      <c r="J54" s="306">
        <f t="shared" ca="1" si="14"/>
        <v>0.89943105302613724</v>
      </c>
      <c r="K54" s="307">
        <f t="shared" ca="1" si="15"/>
        <v>10.116740535497987</v>
      </c>
      <c r="L54" s="304">
        <f t="shared" ca="1" si="0"/>
        <v>10.156643898539311</v>
      </c>
      <c r="M54" s="306">
        <f t="shared" ca="1" si="16"/>
        <v>1.4792705651911482</v>
      </c>
      <c r="N54" s="304">
        <f t="shared" ca="1" si="17"/>
        <v>84.755960143384698</v>
      </c>
      <c r="P54" s="310">
        <f t="shared" ca="1" si="18"/>
        <v>5</v>
      </c>
      <c r="Q54" s="304">
        <f t="shared" ca="1" si="19"/>
        <v>1034.1666666666667</v>
      </c>
      <c r="R54" s="306">
        <f t="shared" ca="1" si="20"/>
        <v>0.51804744646013456</v>
      </c>
      <c r="S54" s="307">
        <f t="shared" ca="1" si="21"/>
        <v>10.753718686150695</v>
      </c>
      <c r="T54" s="304">
        <f t="shared" ca="1" si="1"/>
        <v>105.49398031113832</v>
      </c>
      <c r="U54" s="311">
        <f t="shared" ca="1" si="2"/>
        <v>0</v>
      </c>
      <c r="V54" s="306">
        <f t="shared" ca="1" si="3"/>
        <v>1.2237613258516502</v>
      </c>
      <c r="W54" s="304">
        <f t="shared" ca="1" si="4"/>
        <v>5.7724163900191865</v>
      </c>
      <c r="Y54" s="314" t="str">
        <f t="shared" ca="1" si="22"/>
        <v/>
      </c>
      <c r="Z54" s="315" t="str">
        <f t="shared" ca="1" si="23"/>
        <v/>
      </c>
      <c r="AA54" s="316" t="str">
        <f t="shared" ca="1" si="24"/>
        <v/>
      </c>
      <c r="AC54" s="310" t="e">
        <f t="shared" ca="1" si="25"/>
        <v>#N/A</v>
      </c>
      <c r="AD54" s="323" t="e">
        <f t="shared" ca="1" si="26"/>
        <v>#N/A</v>
      </c>
      <c r="AE54" s="324">
        <f t="shared" ca="1" si="5"/>
        <v>10.116740535497987</v>
      </c>
      <c r="AG54" s="306">
        <f t="shared" ca="1" si="27"/>
        <v>85.883955703585585</v>
      </c>
      <c r="AH54" s="304">
        <f t="shared" ca="1" si="28"/>
        <v>95.653085029149722</v>
      </c>
    </row>
    <row r="55" spans="1:34" x14ac:dyDescent="0.2">
      <c r="A55" s="347">
        <f t="shared" ca="1" si="6"/>
        <v>0.01</v>
      </c>
      <c r="B55" s="304">
        <f t="shared" ca="1" si="7"/>
        <v>0.51000000000000023</v>
      </c>
      <c r="D55" s="306">
        <f t="shared" ca="1" si="8"/>
        <v>8.7419076459022236</v>
      </c>
      <c r="E55" s="307">
        <f t="shared" ca="1" si="9"/>
        <v>85.436230479747138</v>
      </c>
      <c r="F55" s="304">
        <f t="shared" ca="1" si="10"/>
        <v>85.882305673974301</v>
      </c>
      <c r="G55" s="306">
        <f t="shared" ca="1" si="11"/>
        <v>3.9480639006112175</v>
      </c>
      <c r="H55" s="307">
        <f t="shared" ca="1" si="12"/>
        <v>42.917477315399061</v>
      </c>
      <c r="I55" s="304">
        <f t="shared" ca="1" si="13"/>
        <v>43.09868986037862</v>
      </c>
      <c r="J55" s="306">
        <f t="shared" ca="1" si="14"/>
        <v>0.93847459664995436</v>
      </c>
      <c r="K55" s="307">
        <f t="shared" ca="1" si="15"/>
        <v>10.541643497127991</v>
      </c>
      <c r="L55" s="304">
        <f t="shared" ca="1" si="0"/>
        <v>10.58333511654517</v>
      </c>
      <c r="M55" s="306">
        <f t="shared" ca="1" si="16"/>
        <v>1.4790625276178708</v>
      </c>
      <c r="N55" s="304">
        <f t="shared" ca="1" si="17"/>
        <v>84.744040468455765</v>
      </c>
      <c r="P55" s="310">
        <f t="shared" ca="1" si="18"/>
        <v>5</v>
      </c>
      <c r="Q55" s="304">
        <f t="shared" ca="1" si="19"/>
        <v>1033.8333333333333</v>
      </c>
      <c r="R55" s="306">
        <f t="shared" ca="1" si="20"/>
        <v>0.51788046903984108</v>
      </c>
      <c r="S55" s="307">
        <f t="shared" ca="1" si="21"/>
        <v>10.748539881460296</v>
      </c>
      <c r="T55" s="304">
        <f t="shared" ca="1" si="1"/>
        <v>105.44317623712551</v>
      </c>
      <c r="U55" s="311">
        <f t="shared" ca="1" si="2"/>
        <v>0</v>
      </c>
      <c r="V55" s="306">
        <f t="shared" ca="1" si="3"/>
        <v>1.2237093289613001</v>
      </c>
      <c r="W55" s="304">
        <f t="shared" ca="1" si="4"/>
        <v>6.0092643785415589</v>
      </c>
      <c r="Y55" s="314" t="str">
        <f t="shared" ca="1" si="22"/>
        <v/>
      </c>
      <c r="Z55" s="315" t="str">
        <f t="shared" ca="1" si="23"/>
        <v/>
      </c>
      <c r="AA55" s="316" t="str">
        <f t="shared" ca="1" si="24"/>
        <v/>
      </c>
      <c r="AC55" s="310" t="e">
        <f t="shared" ca="1" si="25"/>
        <v>#N/A</v>
      </c>
      <c r="AD55" s="323" t="e">
        <f t="shared" ca="1" si="26"/>
        <v>#N/A</v>
      </c>
      <c r="AE55" s="324">
        <f t="shared" ca="1" si="5"/>
        <v>10.541643497127991</v>
      </c>
      <c r="AG55" s="306">
        <f t="shared" ca="1" si="27"/>
        <v>85.877625200026344</v>
      </c>
      <c r="AH55" s="304">
        <f t="shared" ca="1" si="28"/>
        <v>95.6465648619468</v>
      </c>
    </row>
    <row r="56" spans="1:34" x14ac:dyDescent="0.2">
      <c r="A56" s="347">
        <f t="shared" ca="1" si="6"/>
        <v>0.01</v>
      </c>
      <c r="B56" s="304">
        <f t="shared" ca="1" si="7"/>
        <v>0.52000000000000024</v>
      </c>
      <c r="D56" s="306">
        <f t="shared" ca="1" si="8"/>
        <v>8.7610826979352829</v>
      </c>
      <c r="E56" s="307">
        <f t="shared" ca="1" si="9"/>
        <v>85.427457501324142</v>
      </c>
      <c r="F56" s="304">
        <f t="shared" ca="1" si="10"/>
        <v>85.875532401147908</v>
      </c>
      <c r="G56" s="306">
        <f t="shared" ca="1" si="11"/>
        <v>4.0356747275905702</v>
      </c>
      <c r="H56" s="307">
        <f t="shared" ca="1" si="12"/>
        <v>43.771751890412304</v>
      </c>
      <c r="I56" s="304">
        <f t="shared" ca="1" si="13"/>
        <v>43.957399082096821</v>
      </c>
      <c r="J56" s="306">
        <f t="shared" ca="1" si="14"/>
        <v>0.97839328979096329</v>
      </c>
      <c r="K56" s="307">
        <f t="shared" ca="1" si="15"/>
        <v>10.975089643157048</v>
      </c>
      <c r="L56" s="304">
        <f t="shared" ca="1" si="0"/>
        <v>11.018613619908862</v>
      </c>
      <c r="M56" s="306">
        <f t="shared" ca="1" si="16"/>
        <v>1.4788580917343472</v>
      </c>
      <c r="N56" s="304">
        <f t="shared" ca="1" si="17"/>
        <v>84.732327155148838</v>
      </c>
      <c r="P56" s="310">
        <f t="shared" ca="1" si="18"/>
        <v>5</v>
      </c>
      <c r="Q56" s="304">
        <f t="shared" ca="1" si="19"/>
        <v>1033.5</v>
      </c>
      <c r="R56" s="306">
        <f t="shared" ca="1" si="20"/>
        <v>0.51771349161954783</v>
      </c>
      <c r="S56" s="307">
        <f t="shared" ca="1" si="21"/>
        <v>10.743362746544101</v>
      </c>
      <c r="T56" s="304">
        <f t="shared" ca="1" si="1"/>
        <v>105.39238854359763</v>
      </c>
      <c r="U56" s="311">
        <f t="shared" ca="1" si="2"/>
        <v>0</v>
      </c>
      <c r="V56" s="306">
        <f t="shared" ca="1" si="3"/>
        <v>1.2236562888862097</v>
      </c>
      <c r="W56" s="304">
        <f t="shared" ca="1" si="4"/>
        <v>6.2508391788648137</v>
      </c>
      <c r="Y56" s="314" t="str">
        <f t="shared" ca="1" si="22"/>
        <v/>
      </c>
      <c r="Z56" s="315" t="str">
        <f t="shared" ca="1" si="23"/>
        <v/>
      </c>
      <c r="AA56" s="316" t="str">
        <f t="shared" ca="1" si="24"/>
        <v/>
      </c>
      <c r="AC56" s="310" t="e">
        <f t="shared" ca="1" si="25"/>
        <v>#N/A</v>
      </c>
      <c r="AD56" s="323" t="e">
        <f t="shared" ca="1" si="26"/>
        <v>#N/A</v>
      </c>
      <c r="AE56" s="324">
        <f t="shared" ca="1" si="5"/>
        <v>10.975089643157048</v>
      </c>
      <c r="AG56" s="306">
        <f t="shared" ca="1" si="27"/>
        <v>85.870830313976796</v>
      </c>
      <c r="AH56" s="304">
        <f t="shared" ca="1" si="28"/>
        <v>95.63958323495865</v>
      </c>
    </row>
    <row r="57" spans="1:34" x14ac:dyDescent="0.2">
      <c r="A57" s="347">
        <f t="shared" ca="1" si="6"/>
        <v>0.01</v>
      </c>
      <c r="B57" s="304">
        <f t="shared" ca="1" si="7"/>
        <v>0.53000000000000025</v>
      </c>
      <c r="D57" s="306">
        <f t="shared" ca="1" si="8"/>
        <v>8.7798690975424734</v>
      </c>
      <c r="E57" s="307">
        <f t="shared" ca="1" si="9"/>
        <v>85.418252450705523</v>
      </c>
      <c r="F57" s="304">
        <f t="shared" ca="1" si="10"/>
        <v>85.868294224949182</v>
      </c>
      <c r="G57" s="306">
        <f t="shared" ca="1" si="11"/>
        <v>4.1234734185659949</v>
      </c>
      <c r="H57" s="307">
        <f t="shared" ca="1" si="12"/>
        <v>44.625934414919357</v>
      </c>
      <c r="I57" s="304">
        <f t="shared" ca="1" si="13"/>
        <v>44.816035695254264</v>
      </c>
      <c r="J57" s="306">
        <f t="shared" ca="1" si="14"/>
        <v>1.0191890305217461</v>
      </c>
      <c r="K57" s="307">
        <f t="shared" ca="1" si="15"/>
        <v>11.417078074683706</v>
      </c>
      <c r="L57" s="304">
        <f t="shared" ca="1" si="0"/>
        <v>11.462478704161645</v>
      </c>
      <c r="M57" s="306">
        <f t="shared" ca="1" si="16"/>
        <v>1.4786571270522761</v>
      </c>
      <c r="N57" s="304">
        <f t="shared" ca="1" si="17"/>
        <v>84.720812727034968</v>
      </c>
      <c r="P57" s="310">
        <f t="shared" ca="1" si="18"/>
        <v>5</v>
      </c>
      <c r="Q57" s="304">
        <f t="shared" ca="1" si="19"/>
        <v>1033.1666666666667</v>
      </c>
      <c r="R57" s="306">
        <f t="shared" ca="1" si="20"/>
        <v>0.51754651419925446</v>
      </c>
      <c r="S57" s="307">
        <f t="shared" ca="1" si="21"/>
        <v>10.738187281402109</v>
      </c>
      <c r="T57" s="304">
        <f t="shared" ca="1" si="1"/>
        <v>105.34161723055469</v>
      </c>
      <c r="U57" s="311">
        <f t="shared" ca="1" si="2"/>
        <v>0</v>
      </c>
      <c r="V57" s="306">
        <f t="shared" ca="1" si="3"/>
        <v>1.2236022058720861</v>
      </c>
      <c r="W57" s="304">
        <f t="shared" ca="1" si="4"/>
        <v>6.4971370761057905</v>
      </c>
      <c r="Y57" s="314" t="str">
        <f t="shared" ca="1" si="22"/>
        <v/>
      </c>
      <c r="Z57" s="315" t="str">
        <f t="shared" ca="1" si="23"/>
        <v/>
      </c>
      <c r="AA57" s="316" t="str">
        <f t="shared" ca="1" si="24"/>
        <v/>
      </c>
      <c r="AC57" s="310" t="e">
        <f t="shared" ca="1" si="25"/>
        <v>#N/A</v>
      </c>
      <c r="AD57" s="323" t="e">
        <f t="shared" ca="1" si="26"/>
        <v>#N/A</v>
      </c>
      <c r="AE57" s="324">
        <f t="shared" ca="1" si="5"/>
        <v>11.417078074683706</v>
      </c>
      <c r="AG57" s="306">
        <f t="shared" ca="1" si="27"/>
        <v>85.863570816923556</v>
      </c>
      <c r="AH57" s="304">
        <f t="shared" ca="1" si="28"/>
        <v>95.632139818082521</v>
      </c>
    </row>
    <row r="58" spans="1:34" x14ac:dyDescent="0.2">
      <c r="A58" s="347">
        <f t="shared" ca="1" si="6"/>
        <v>0.01</v>
      </c>
      <c r="B58" s="304">
        <f t="shared" ca="1" si="7"/>
        <v>0.54000000000000026</v>
      </c>
      <c r="D58" s="306">
        <f t="shared" ca="1" si="8"/>
        <v>8.798279057047159</v>
      </c>
      <c r="E58" s="307">
        <f t="shared" ca="1" si="9"/>
        <v>85.408614092700702</v>
      </c>
      <c r="F58" s="304">
        <f t="shared" ca="1" si="10"/>
        <v>85.860590934383552</v>
      </c>
      <c r="G58" s="306">
        <f t="shared" ca="1" si="11"/>
        <v>4.2114562091364665</v>
      </c>
      <c r="H58" s="307">
        <f t="shared" ca="1" si="12"/>
        <v>45.480020555846366</v>
      </c>
      <c r="I58" s="304">
        <f t="shared" ca="1" si="13"/>
        <v>45.674595051972624</v>
      </c>
      <c r="J58" s="306">
        <f t="shared" ca="1" si="14"/>
        <v>1.0608636786602585</v>
      </c>
      <c r="K58" s="307">
        <f t="shared" ca="1" si="15"/>
        <v>11.867607849537535</v>
      </c>
      <c r="L58" s="304">
        <f t="shared" ca="1" si="0"/>
        <v>11.914929618554424</v>
      </c>
      <c r="M58" s="306">
        <f t="shared" ca="1" si="16"/>
        <v>1.4784595101594571</v>
      </c>
      <c r="N58" s="304">
        <f t="shared" ca="1" si="17"/>
        <v>84.709490113115947</v>
      </c>
      <c r="P58" s="310">
        <f t="shared" ca="1" si="18"/>
        <v>5</v>
      </c>
      <c r="Q58" s="304">
        <f t="shared" ca="1" si="19"/>
        <v>1032.8333333333333</v>
      </c>
      <c r="R58" s="306">
        <f t="shared" ca="1" si="20"/>
        <v>0.51737953677896098</v>
      </c>
      <c r="S58" s="307">
        <f t="shared" ca="1" si="21"/>
        <v>10.733013486034318</v>
      </c>
      <c r="T58" s="304">
        <f t="shared" ca="1" si="1"/>
        <v>105.29086229799667</v>
      </c>
      <c r="U58" s="311">
        <f t="shared" ca="1" si="2"/>
        <v>0</v>
      </c>
      <c r="V58" s="306">
        <f t="shared" ca="1" si="3"/>
        <v>1.2235470801725692</v>
      </c>
      <c r="W58" s="304">
        <f t="shared" ca="1" si="4"/>
        <v>6.7481542279757321</v>
      </c>
      <c r="Y58" s="314" t="str">
        <f t="shared" ca="1" si="22"/>
        <v/>
      </c>
      <c r="Z58" s="315" t="str">
        <f t="shared" ca="1" si="23"/>
        <v/>
      </c>
      <c r="AA58" s="316" t="str">
        <f t="shared" ca="1" si="24"/>
        <v/>
      </c>
      <c r="AC58" s="310" t="e">
        <f t="shared" ca="1" si="25"/>
        <v>#N/A</v>
      </c>
      <c r="AD58" s="323" t="e">
        <f t="shared" ca="1" si="26"/>
        <v>#N/A</v>
      </c>
      <c r="AE58" s="324">
        <f t="shared" ca="1" si="5"/>
        <v>11.867607849537535</v>
      </c>
      <c r="AG58" s="306">
        <f t="shared" ca="1" si="27"/>
        <v>85.855846486625495</v>
      </c>
      <c r="AH58" s="304">
        <f t="shared" ca="1" si="28"/>
        <v>95.624234292883813</v>
      </c>
    </row>
    <row r="59" spans="1:34" x14ac:dyDescent="0.2">
      <c r="A59" s="347">
        <f t="shared" ca="1" si="6"/>
        <v>0.01</v>
      </c>
      <c r="B59" s="304">
        <f t="shared" ca="1" si="7"/>
        <v>0.55000000000000027</v>
      </c>
      <c r="D59" s="306">
        <f t="shared" ca="1" si="8"/>
        <v>8.8163241203233902</v>
      </c>
      <c r="E59" s="307">
        <f t="shared" ca="1" si="9"/>
        <v>85.398541252178347</v>
      </c>
      <c r="F59" s="304">
        <f t="shared" ca="1" si="10"/>
        <v>85.852422324559967</v>
      </c>
      <c r="G59" s="306">
        <f t="shared" ca="1" si="11"/>
        <v>4.2996194503397005</v>
      </c>
      <c r="H59" s="307">
        <f t="shared" ca="1" si="12"/>
        <v>46.334005968368146</v>
      </c>
      <c r="I59" s="304">
        <f t="shared" ca="1" si="13"/>
        <v>46.533072502194763</v>
      </c>
      <c r="J59" s="306">
        <f t="shared" ca="1" si="14"/>
        <v>1.1034190569576394</v>
      </c>
      <c r="K59" s="307">
        <f t="shared" ca="1" si="15"/>
        <v>12.326677982158607</v>
      </c>
      <c r="L59" s="304">
        <f t="shared" ca="1" si="0"/>
        <v>12.375965566011043</v>
      </c>
      <c r="M59" s="306">
        <f t="shared" ca="1" si="16"/>
        <v>1.4782651242125411</v>
      </c>
      <c r="N59" s="304">
        <f t="shared" ca="1" si="17"/>
        <v>84.698352618761007</v>
      </c>
      <c r="P59" s="310">
        <f t="shared" ca="1" si="18"/>
        <v>5</v>
      </c>
      <c r="Q59" s="304">
        <f t="shared" ca="1" si="19"/>
        <v>1032.5</v>
      </c>
      <c r="R59" s="306">
        <f t="shared" ca="1" si="20"/>
        <v>0.51721255935866772</v>
      </c>
      <c r="S59" s="307">
        <f t="shared" ca="1" si="21"/>
        <v>10.727841360440731</v>
      </c>
      <c r="T59" s="304">
        <f t="shared" ca="1" si="1"/>
        <v>105.24012374592358</v>
      </c>
      <c r="U59" s="311">
        <f t="shared" ca="1" si="2"/>
        <v>0</v>
      </c>
      <c r="V59" s="306">
        <f t="shared" ca="1" si="3"/>
        <v>1.2234909120492465</v>
      </c>
      <c r="W59" s="304">
        <f t="shared" ca="1" si="4"/>
        <v>7.0038866648239075</v>
      </c>
      <c r="Y59" s="314" t="str">
        <f t="shared" ca="1" si="22"/>
        <v/>
      </c>
      <c r="Z59" s="315" t="str">
        <f t="shared" ca="1" si="23"/>
        <v/>
      </c>
      <c r="AA59" s="316" t="str">
        <f t="shared" ca="1" si="24"/>
        <v/>
      </c>
      <c r="AC59" s="310" t="e">
        <f t="shared" ca="1" si="25"/>
        <v>#N/A</v>
      </c>
      <c r="AD59" s="323" t="e">
        <f t="shared" ca="1" si="26"/>
        <v>#N/A</v>
      </c>
      <c r="AE59" s="324">
        <f t="shared" ca="1" si="5"/>
        <v>12.326677982158607</v>
      </c>
      <c r="AG59" s="306">
        <f t="shared" ca="1" si="27"/>
        <v>85.847657107521869</v>
      </c>
      <c r="AH59" s="304">
        <f t="shared" ca="1" si="28"/>
        <v>95.615866352621325</v>
      </c>
    </row>
    <row r="60" spans="1:34" x14ac:dyDescent="0.2">
      <c r="A60" s="347">
        <f t="shared" ca="1" si="6"/>
        <v>0.01</v>
      </c>
      <c r="B60" s="304">
        <f t="shared" ca="1" si="7"/>
        <v>0.56000000000000028</v>
      </c>
      <c r="D60" s="306">
        <f t="shared" ca="1" si="8"/>
        <v>8.8340152109109269</v>
      </c>
      <c r="E60" s="307">
        <f t="shared" ca="1" si="9"/>
        <v>85.388032810709078</v>
      </c>
      <c r="F60" s="304">
        <f t="shared" ca="1" si="10"/>
        <v>85.843788197104487</v>
      </c>
      <c r="G60" s="306">
        <f t="shared" ca="1" si="11"/>
        <v>4.3879596024488094</v>
      </c>
      <c r="H60" s="307">
        <f t="shared" ca="1" si="12"/>
        <v>47.187886296475234</v>
      </c>
      <c r="I60" s="304">
        <f t="shared" ca="1" si="13"/>
        <v>47.391463393756872</v>
      </c>
      <c r="J60" s="306">
        <f t="shared" ca="1" si="14"/>
        <v>1.1468569522215819</v>
      </c>
      <c r="K60" s="307">
        <f t="shared" ca="1" si="15"/>
        <v>12.794287443482824</v>
      </c>
      <c r="L60" s="304">
        <f t="shared" ca="1" si="0"/>
        <v>12.845585703085758</v>
      </c>
      <c r="M60" s="306">
        <f t="shared" ca="1" si="16"/>
        <v>1.4780738584746747</v>
      </c>
      <c r="N60" s="304">
        <f t="shared" ca="1" si="17"/>
        <v>84.687393899215806</v>
      </c>
      <c r="P60" s="310">
        <f t="shared" ca="1" si="18"/>
        <v>5</v>
      </c>
      <c r="Q60" s="304">
        <f t="shared" ca="1" si="19"/>
        <v>1032.1666666666667</v>
      </c>
      <c r="R60" s="306">
        <f t="shared" ca="1" si="20"/>
        <v>0.51704558193837435</v>
      </c>
      <c r="S60" s="307">
        <f t="shared" ca="1" si="21"/>
        <v>10.722670904621348</v>
      </c>
      <c r="T60" s="304">
        <f t="shared" ca="1" si="1"/>
        <v>105.18940157433542</v>
      </c>
      <c r="U60" s="311">
        <f t="shared" ca="1" si="2"/>
        <v>0</v>
      </c>
      <c r="V60" s="306">
        <f t="shared" ca="1" si="3"/>
        <v>1.2234337017716614</v>
      </c>
      <c r="W60" s="304">
        <f t="shared" ca="1" si="4"/>
        <v>7.2643302896877993</v>
      </c>
      <c r="Y60" s="314" t="str">
        <f t="shared" ca="1" si="22"/>
        <v/>
      </c>
      <c r="Z60" s="315" t="str">
        <f t="shared" ca="1" si="23"/>
        <v/>
      </c>
      <c r="AA60" s="316" t="str">
        <f t="shared" ca="1" si="24"/>
        <v/>
      </c>
      <c r="AC60" s="310" t="e">
        <f t="shared" ca="1" si="25"/>
        <v>#N/A</v>
      </c>
      <c r="AD60" s="323" t="e">
        <f t="shared" ca="1" si="26"/>
        <v>#N/A</v>
      </c>
      <c r="AE60" s="324">
        <f t="shared" ca="1" si="5"/>
        <v>12.794287443482824</v>
      </c>
      <c r="AG60" s="306">
        <f t="shared" ca="1" si="27"/>
        <v>85.839002471105744</v>
      </c>
      <c r="AH60" s="304">
        <f t="shared" ca="1" si="28"/>
        <v>95.607035702271659</v>
      </c>
    </row>
    <row r="61" spans="1:34" x14ac:dyDescent="0.2">
      <c r="A61" s="347">
        <f t="shared" ca="1" si="6"/>
        <v>0.01</v>
      </c>
      <c r="B61" s="304">
        <f t="shared" ca="1" si="7"/>
        <v>0.57000000000000028</v>
      </c>
      <c r="D61" s="306">
        <f t="shared" ca="1" si="8"/>
        <v>8.8513626758677972</v>
      </c>
      <c r="E61" s="307">
        <f t="shared" ca="1" si="9"/>
        <v>85.377087703500976</v>
      </c>
      <c r="F61" s="304">
        <f t="shared" ca="1" si="10"/>
        <v>85.834688360540127</v>
      </c>
      <c r="G61" s="306">
        <f t="shared" ca="1" si="11"/>
        <v>4.4764732292074871</v>
      </c>
      <c r="H61" s="307">
        <f t="shared" ca="1" si="12"/>
        <v>48.041657173510245</v>
      </c>
      <c r="I61" s="304">
        <f t="shared" ca="1" si="13"/>
        <v>48.249763072463885</v>
      </c>
      <c r="J61" s="306">
        <f t="shared" ca="1" si="14"/>
        <v>1.1911791163798633</v>
      </c>
      <c r="K61" s="307">
        <f t="shared" ca="1" si="15"/>
        <v>13.270435160832752</v>
      </c>
      <c r="L61" s="304">
        <f t="shared" ca="1" si="0"/>
        <v>13.323789139924337</v>
      </c>
      <c r="M61" s="306">
        <f t="shared" ca="1" si="16"/>
        <v>1.4778856078933353</v>
      </c>
      <c r="N61" s="304">
        <f t="shared" ca="1" si="17"/>
        <v>84.676607935414182</v>
      </c>
      <c r="P61" s="310">
        <f t="shared" ca="1" si="18"/>
        <v>5</v>
      </c>
      <c r="Q61" s="304">
        <f t="shared" ca="1" si="19"/>
        <v>1031.8333333333333</v>
      </c>
      <c r="R61" s="306">
        <f t="shared" ca="1" si="20"/>
        <v>0.51687860451808099</v>
      </c>
      <c r="S61" s="307">
        <f t="shared" ca="1" si="21"/>
        <v>10.717502118576167</v>
      </c>
      <c r="T61" s="304">
        <f t="shared" ca="1" si="1"/>
        <v>105.13869578323221</v>
      </c>
      <c r="U61" s="311">
        <f t="shared" ca="1" si="2"/>
        <v>0</v>
      </c>
      <c r="V61" s="306">
        <f t="shared" ca="1" si="3"/>
        <v>1.2233754496173239</v>
      </c>
      <c r="W61" s="304">
        <f t="shared" ca="1" si="4"/>
        <v>7.5294808783499398</v>
      </c>
      <c r="Y61" s="314" t="str">
        <f t="shared" ca="1" si="22"/>
        <v/>
      </c>
      <c r="Z61" s="315" t="str">
        <f t="shared" ca="1" si="23"/>
        <v/>
      </c>
      <c r="AA61" s="316" t="str">
        <f t="shared" ca="1" si="24"/>
        <v/>
      </c>
      <c r="AC61" s="310" t="e">
        <f t="shared" ca="1" si="25"/>
        <v>#N/A</v>
      </c>
      <c r="AD61" s="323" t="e">
        <f t="shared" ca="1" si="26"/>
        <v>#N/A</v>
      </c>
      <c r="AE61" s="324">
        <f t="shared" ca="1" si="5"/>
        <v>13.270435160832752</v>
      </c>
      <c r="AG61" s="306">
        <f t="shared" ca="1" si="27"/>
        <v>85.829882376267278</v>
      </c>
      <c r="AH61" s="304">
        <f t="shared" ca="1" si="28"/>
        <v>95.597742058553521</v>
      </c>
    </row>
    <row r="62" spans="1:34" x14ac:dyDescent="0.2">
      <c r="A62" s="347">
        <f t="shared" ca="1" si="6"/>
        <v>0.01</v>
      </c>
      <c r="B62" s="304">
        <f t="shared" ca="1" si="7"/>
        <v>0.58000000000000029</v>
      </c>
      <c r="D62" s="306">
        <f t="shared" ca="1" si="8"/>
        <v>8.8683763258070751</v>
      </c>
      <c r="E62" s="307">
        <f t="shared" ca="1" si="9"/>
        <v>85.365704916596968</v>
      </c>
      <c r="F62" s="304">
        <f t="shared" ca="1" si="10"/>
        <v>85.825122630635619</v>
      </c>
      <c r="G62" s="306">
        <f t="shared" ca="1" si="11"/>
        <v>4.5651569924655577</v>
      </c>
      <c r="H62" s="307">
        <f t="shared" ca="1" si="12"/>
        <v>48.895314222676213</v>
      </c>
      <c r="I62" s="304">
        <f t="shared" ca="1" si="13"/>
        <v>49.107966882167908</v>
      </c>
      <c r="J62" s="306">
        <f t="shared" ca="1" si="14"/>
        <v>1.2363872674882286</v>
      </c>
      <c r="K62" s="307">
        <f t="shared" ca="1" si="15"/>
        <v>13.755120017813685</v>
      </c>
      <c r="L62" s="304">
        <f t="shared" ca="1" si="0"/>
        <v>13.81057494022844</v>
      </c>
      <c r="M62" s="306">
        <f t="shared" ca="1" si="16"/>
        <v>1.4777002727142237</v>
      </c>
      <c r="N62" s="304">
        <f t="shared" ca="1" si="17"/>
        <v>84.665989011855771</v>
      </c>
      <c r="P62" s="310">
        <f t="shared" ca="1" si="18"/>
        <v>5</v>
      </c>
      <c r="Q62" s="304">
        <f t="shared" ca="1" si="19"/>
        <v>1031.5</v>
      </c>
      <c r="R62" s="306">
        <f t="shared" ca="1" si="20"/>
        <v>0.51671162709778762</v>
      </c>
      <c r="S62" s="307">
        <f t="shared" ca="1" si="21"/>
        <v>10.71233500230519</v>
      </c>
      <c r="T62" s="304">
        <f t="shared" ca="1" si="1"/>
        <v>105.08800637261392</v>
      </c>
      <c r="U62" s="311">
        <f t="shared" ca="1" si="2"/>
        <v>0</v>
      </c>
      <c r="V62" s="306">
        <f t="shared" ca="1" si="3"/>
        <v>1.2233161558717218</v>
      </c>
      <c r="W62" s="304">
        <f t="shared" ca="1" si="4"/>
        <v>7.7993340794014374</v>
      </c>
      <c r="Y62" s="314" t="str">
        <f t="shared" ca="1" si="22"/>
        <v/>
      </c>
      <c r="Z62" s="315" t="str">
        <f t="shared" ca="1" si="23"/>
        <v/>
      </c>
      <c r="AA62" s="316" t="str">
        <f t="shared" ca="1" si="24"/>
        <v/>
      </c>
      <c r="AC62" s="310" t="e">
        <f t="shared" ca="1" si="25"/>
        <v>#N/A</v>
      </c>
      <c r="AD62" s="323" t="e">
        <f t="shared" ca="1" si="26"/>
        <v>#N/A</v>
      </c>
      <c r="AE62" s="324">
        <f t="shared" ca="1" si="5"/>
        <v>13.755120017813685</v>
      </c>
      <c r="AG62" s="306">
        <f t="shared" ca="1" si="27"/>
        <v>85.820296629608947</v>
      </c>
      <c r="AH62" s="304">
        <f t="shared" ca="1" si="28"/>
        <v>95.587985149951123</v>
      </c>
    </row>
    <row r="63" spans="1:34" x14ac:dyDescent="0.2">
      <c r="A63" s="347">
        <f t="shared" ca="1" si="6"/>
        <v>0.01</v>
      </c>
      <c r="B63" s="304">
        <f t="shared" ca="1" si="7"/>
        <v>0.5900000000000003</v>
      </c>
      <c r="D63" s="306">
        <f t="shared" ca="1" si="8"/>
        <v>8.8850654715106661</v>
      </c>
      <c r="E63" s="307">
        <f t="shared" ca="1" si="9"/>
        <v>85.353883484307687</v>
      </c>
      <c r="F63" s="304">
        <f t="shared" ca="1" si="10"/>
        <v>85.815090830726291</v>
      </c>
      <c r="G63" s="306">
        <f t="shared" ca="1" si="11"/>
        <v>4.6540076471806646</v>
      </c>
      <c r="H63" s="307">
        <f t="shared" ca="1" si="12"/>
        <v>49.748853057519291</v>
      </c>
      <c r="I63" s="304">
        <f t="shared" ca="1" si="13"/>
        <v>49.966070164849491</v>
      </c>
      <c r="J63" s="306">
        <f t="shared" ca="1" si="14"/>
        <v>1.2824830906864597</v>
      </c>
      <c r="K63" s="307">
        <f t="shared" ca="1" si="15"/>
        <v>14.248340854214662</v>
      </c>
      <c r="L63" s="304">
        <f t="shared" ca="1" si="0"/>
        <v>14.305942121222891</v>
      </c>
      <c r="M63" s="306">
        <f t="shared" ca="1" si="16"/>
        <v>1.477517758127566</v>
      </c>
      <c r="N63" s="304">
        <f t="shared" ca="1" si="17"/>
        <v>84.655531696340717</v>
      </c>
      <c r="P63" s="310">
        <f t="shared" ca="1" si="18"/>
        <v>5</v>
      </c>
      <c r="Q63" s="304">
        <f t="shared" ca="1" si="19"/>
        <v>1031.1666666666667</v>
      </c>
      <c r="R63" s="306">
        <f t="shared" ca="1" si="20"/>
        <v>0.51654464967749436</v>
      </c>
      <c r="S63" s="307">
        <f t="shared" ca="1" si="21"/>
        <v>10.707169555808415</v>
      </c>
      <c r="T63" s="304">
        <f t="shared" ca="1" si="1"/>
        <v>105.03733334248055</v>
      </c>
      <c r="U63" s="311">
        <f t="shared" ca="1" si="2"/>
        <v>0</v>
      </c>
      <c r="V63" s="306">
        <f t="shared" ca="1" si="3"/>
        <v>1.2232558208283264</v>
      </c>
      <c r="W63" s="304">
        <f t="shared" ca="1" si="4"/>
        <v>8.0738854143121976</v>
      </c>
      <c r="Y63" s="314" t="str">
        <f t="shared" ca="1" si="22"/>
        <v/>
      </c>
      <c r="Z63" s="315" t="str">
        <f t="shared" ca="1" si="23"/>
        <v/>
      </c>
      <c r="AA63" s="316" t="str">
        <f t="shared" ca="1" si="24"/>
        <v/>
      </c>
      <c r="AC63" s="310" t="e">
        <f t="shared" ca="1" si="25"/>
        <v>#N/A</v>
      </c>
      <c r="AD63" s="323" t="e">
        <f t="shared" ca="1" si="26"/>
        <v>#N/A</v>
      </c>
      <c r="AE63" s="324">
        <f t="shared" ca="1" si="5"/>
        <v>14.248340854214662</v>
      </c>
      <c r="AG63" s="306">
        <f t="shared" ca="1" si="27"/>
        <v>85.810245045735655</v>
      </c>
      <c r="AH63" s="304">
        <f t="shared" ca="1" si="28"/>
        <v>95.577764716736922</v>
      </c>
    </row>
    <row r="64" spans="1:34" x14ac:dyDescent="0.2">
      <c r="A64" s="347">
        <f t="shared" ca="1" si="6"/>
        <v>0.01</v>
      </c>
      <c r="B64" s="304">
        <f t="shared" ca="1" si="7"/>
        <v>0.60000000000000031</v>
      </c>
      <c r="D64" s="306">
        <f t="shared" ca="1" si="8"/>
        <v>8.9014389574665209</v>
      </c>
      <c r="E64" s="307">
        <f t="shared" ca="1" si="9"/>
        <v>85.341622486856892</v>
      </c>
      <c r="F64" s="304">
        <f t="shared" ca="1" si="10"/>
        <v>85.804592792010268</v>
      </c>
      <c r="G64" s="306">
        <f t="shared" ca="1" si="11"/>
        <v>4.7430220367553302</v>
      </c>
      <c r="H64" s="307">
        <f t="shared" ca="1" si="12"/>
        <v>50.602269282387859</v>
      </c>
      <c r="I64" s="304">
        <f t="shared" ca="1" si="13"/>
        <v>50.824068260701445</v>
      </c>
      <c r="J64" s="306">
        <f t="shared" ca="1" si="14"/>
        <v>1.3294682391061396</v>
      </c>
      <c r="K64" s="307">
        <f t="shared" ca="1" si="15"/>
        <v>14.750096465914199</v>
      </c>
      <c r="L64" s="304">
        <f t="shared" ca="1" si="0"/>
        <v>14.809889653625598</v>
      </c>
      <c r="M64" s="306">
        <f t="shared" ca="1" si="16"/>
        <v>1.4773379739436057</v>
      </c>
      <c r="N64" s="304">
        <f t="shared" ca="1" si="17"/>
        <v>84.645230821376586</v>
      </c>
      <c r="P64" s="310">
        <f t="shared" ca="1" si="18"/>
        <v>5</v>
      </c>
      <c r="Q64" s="304">
        <f t="shared" ca="1" si="19"/>
        <v>1030.8333333333333</v>
      </c>
      <c r="R64" s="306">
        <f t="shared" ca="1" si="20"/>
        <v>0.51637767225720088</v>
      </c>
      <c r="S64" s="307">
        <f t="shared" ca="1" si="21"/>
        <v>10.702005779085843</v>
      </c>
      <c r="T64" s="304">
        <f t="shared" ca="1" si="1"/>
        <v>104.98667669283212</v>
      </c>
      <c r="U64" s="311">
        <f t="shared" ca="1" si="2"/>
        <v>0</v>
      </c>
      <c r="V64" s="306">
        <f t="shared" ca="1" si="3"/>
        <v>1.2231944447886027</v>
      </c>
      <c r="W64" s="304">
        <f t="shared" ca="1" si="4"/>
        <v>8.3531302775079315</v>
      </c>
      <c r="Y64" s="314" t="str">
        <f t="shared" ca="1" si="22"/>
        <v/>
      </c>
      <c r="Z64" s="315" t="str">
        <f t="shared" ca="1" si="23"/>
        <v/>
      </c>
      <c r="AA64" s="316" t="str">
        <f t="shared" ca="1" si="24"/>
        <v/>
      </c>
      <c r="AC64" s="310" t="e">
        <f t="shared" ca="1" si="25"/>
        <v>#N/A</v>
      </c>
      <c r="AD64" s="323" t="e">
        <f t="shared" ca="1" si="26"/>
        <v>#N/A</v>
      </c>
      <c r="AE64" s="324">
        <f t="shared" ca="1" si="5"/>
        <v>14.750096465914199</v>
      </c>
      <c r="AG64" s="306">
        <f t="shared" ca="1" si="27"/>
        <v>85.799727447522827</v>
      </c>
      <c r="AH64" s="304">
        <f t="shared" ca="1" si="28"/>
        <v>95.567080510994117</v>
      </c>
    </row>
    <row r="65" spans="1:34" x14ac:dyDescent="0.2">
      <c r="A65" s="347">
        <f t="shared" ca="1" si="6"/>
        <v>0.01</v>
      </c>
      <c r="B65" s="304">
        <f t="shared" ca="1" si="7"/>
        <v>0.61000000000000032</v>
      </c>
      <c r="D65" s="306">
        <f t="shared" ca="1" si="8"/>
        <v>8.9175051926352893</v>
      </c>
      <c r="E65" s="307">
        <f t="shared" ca="1" si="9"/>
        <v>85.328921048217907</v>
      </c>
      <c r="F65" s="304">
        <f t="shared" ca="1" si="10"/>
        <v>85.793628353821717</v>
      </c>
      <c r="G65" s="306">
        <f t="shared" ca="1" si="11"/>
        <v>4.8321970886816832</v>
      </c>
      <c r="H65" s="307">
        <f t="shared" ca="1" si="12"/>
        <v>51.45555849287004</v>
      </c>
      <c r="I65" s="304">
        <f t="shared" ca="1" si="13"/>
        <v>51.681956508215066</v>
      </c>
      <c r="J65" s="306">
        <f t="shared" ca="1" si="14"/>
        <v>1.3773443347333247</v>
      </c>
      <c r="K65" s="307">
        <f t="shared" ca="1" si="15"/>
        <v>15.260385604790489</v>
      </c>
      <c r="L65" s="304">
        <f t="shared" ca="1" si="0"/>
        <v>15.322416461619843</v>
      </c>
      <c r="M65" s="306">
        <f t="shared" ca="1" si="16"/>
        <v>1.4771608342944278</v>
      </c>
      <c r="N65" s="304">
        <f t="shared" ca="1" si="17"/>
        <v>84.635081467094267</v>
      </c>
      <c r="P65" s="310">
        <f t="shared" ca="1" si="18"/>
        <v>5</v>
      </c>
      <c r="Q65" s="304">
        <f t="shared" ca="1" si="19"/>
        <v>1030.5</v>
      </c>
      <c r="R65" s="306">
        <f t="shared" ca="1" si="20"/>
        <v>0.51621069483690762</v>
      </c>
      <c r="S65" s="307">
        <f t="shared" ca="1" si="21"/>
        <v>10.696843672137474</v>
      </c>
      <c r="T65" s="304">
        <f t="shared" ca="1" si="1"/>
        <v>104.93603642366863</v>
      </c>
      <c r="U65" s="311">
        <f t="shared" ca="1" si="2"/>
        <v>0</v>
      </c>
      <c r="V65" s="306">
        <f t="shared" ca="1" si="3"/>
        <v>1.223132028062017</v>
      </c>
      <c r="W65" s="304">
        <f t="shared" ca="1" si="4"/>
        <v>8.6370639364539397</v>
      </c>
      <c r="Y65" s="314" t="str">
        <f t="shared" ca="1" si="22"/>
        <v/>
      </c>
      <c r="Z65" s="315" t="str">
        <f t="shared" ca="1" si="23"/>
        <v/>
      </c>
      <c r="AA65" s="316" t="str">
        <f t="shared" ca="1" si="24"/>
        <v/>
      </c>
      <c r="AC65" s="310" t="e">
        <f t="shared" ca="1" si="25"/>
        <v>#N/A</v>
      </c>
      <c r="AD65" s="323" t="e">
        <f t="shared" ca="1" si="26"/>
        <v>#N/A</v>
      </c>
      <c r="AE65" s="324">
        <f t="shared" ca="1" si="5"/>
        <v>15.260385604790489</v>
      </c>
      <c r="AG65" s="306">
        <f t="shared" ca="1" si="27"/>
        <v>85.788743666363644</v>
      </c>
      <c r="AH65" s="304">
        <f t="shared" ca="1" si="28"/>
        <v>95.555932296638275</v>
      </c>
    </row>
    <row r="66" spans="1:34" x14ac:dyDescent="0.2">
      <c r="A66" s="347">
        <f t="shared" ca="1" si="6"/>
        <v>0.01</v>
      </c>
      <c r="B66" s="304">
        <f t="shared" ca="1" si="7"/>
        <v>0.62000000000000033</v>
      </c>
      <c r="D66" s="306">
        <f t="shared" ca="1" si="8"/>
        <v>8.9332721787175515</v>
      </c>
      <c r="E66" s="307">
        <f t="shared" ca="1" si="9"/>
        <v>85.315778334123195</v>
      </c>
      <c r="F66" s="304">
        <f t="shared" ca="1" si="10"/>
        <v>85.782197363883682</v>
      </c>
      <c r="G66" s="306">
        <f t="shared" ca="1" si="11"/>
        <v>4.9215298104688587</v>
      </c>
      <c r="H66" s="307">
        <f t="shared" ca="1" si="12"/>
        <v>52.308716276211271</v>
      </c>
      <c r="I66" s="304">
        <f t="shared" ca="1" si="13"/>
        <v>52.539730244268512</v>
      </c>
      <c r="J66" s="306">
        <f t="shared" ca="1" si="14"/>
        <v>1.4261129692290775</v>
      </c>
      <c r="K66" s="307">
        <f t="shared" ca="1" si="15"/>
        <v>15.779206978635896</v>
      </c>
      <c r="L66" s="304">
        <f t="shared" ca="1" si="0"/>
        <v>15.8435214228288</v>
      </c>
      <c r="M66" s="306">
        <f t="shared" ca="1" si="16"/>
        <v>1.4769862573595882</v>
      </c>
      <c r="N66" s="304">
        <f t="shared" ca="1" si="17"/>
        <v>84.625078945527633</v>
      </c>
      <c r="P66" s="310">
        <f t="shared" ca="1" si="18"/>
        <v>5</v>
      </c>
      <c r="Q66" s="304">
        <f t="shared" ca="1" si="19"/>
        <v>1030.1666666666667</v>
      </c>
      <c r="R66" s="306">
        <f t="shared" ca="1" si="20"/>
        <v>0.51604371741661426</v>
      </c>
      <c r="S66" s="307">
        <f t="shared" ca="1" si="21"/>
        <v>10.691683234963309</v>
      </c>
      <c r="T66" s="304">
        <f t="shared" ca="1" si="1"/>
        <v>104.88541253499007</v>
      </c>
      <c r="U66" s="311">
        <f t="shared" ca="1" si="2"/>
        <v>0</v>
      </c>
      <c r="V66" s="306">
        <f t="shared" ca="1" si="3"/>
        <v>1.2230685709660416</v>
      </c>
      <c r="W66" s="304">
        <f t="shared" ca="1" si="4"/>
        <v>8.925681531745683</v>
      </c>
      <c r="Y66" s="314" t="str">
        <f t="shared" ca="1" si="22"/>
        <v/>
      </c>
      <c r="Z66" s="315" t="str">
        <f t="shared" ca="1" si="23"/>
        <v/>
      </c>
      <c r="AA66" s="316" t="str">
        <f t="shared" ca="1" si="24"/>
        <v/>
      </c>
      <c r="AC66" s="310" t="e">
        <f t="shared" ca="1" si="25"/>
        <v>#N/A</v>
      </c>
      <c r="AD66" s="323" t="e">
        <f t="shared" ca="1" si="26"/>
        <v>#N/A</v>
      </c>
      <c r="AE66" s="324">
        <f t="shared" ca="1" si="5"/>
        <v>15.779206978635896</v>
      </c>
      <c r="AG66" s="306">
        <f t="shared" ca="1" si="27"/>
        <v>85.777293542397999</v>
      </c>
      <c r="AH66" s="304">
        <f t="shared" ca="1" si="28"/>
        <v>95.544319849438409</v>
      </c>
    </row>
    <row r="67" spans="1:34" x14ac:dyDescent="0.2">
      <c r="A67" s="347">
        <f t="shared" ca="1" si="6"/>
        <v>0.01</v>
      </c>
      <c r="B67" s="304">
        <f t="shared" ca="1" si="7"/>
        <v>0.63000000000000034</v>
      </c>
      <c r="D67" s="306">
        <f t="shared" ca="1" si="8"/>
        <v>8.9487475361619921</v>
      </c>
      <c r="E67" s="307">
        <f t="shared" ca="1" si="9"/>
        <v>85.302193550230356</v>
      </c>
      <c r="F67" s="304">
        <f t="shared" ca="1" si="10"/>
        <v>85.770299678542145</v>
      </c>
      <c r="G67" s="306">
        <f t="shared" ca="1" si="11"/>
        <v>5.0110172858304782</v>
      </c>
      <c r="H67" s="307">
        <f t="shared" ca="1" si="12"/>
        <v>53.161738211713576</v>
      </c>
      <c r="I67" s="304">
        <f t="shared" ca="1" si="13"/>
        <v>53.397384804217324</v>
      </c>
      <c r="J67" s="306">
        <f t="shared" ca="1" si="14"/>
        <v>1.4757757047105742</v>
      </c>
      <c r="K67" s="307">
        <f t="shared" ca="1" si="15"/>
        <v>16.30655925107552</v>
      </c>
      <c r="L67" s="304">
        <f t="shared" ca="1" si="0"/>
        <v>16.373203368292064</v>
      </c>
      <c r="M67" s="306">
        <f t="shared" ca="1" si="16"/>
        <v>1.47681416511329</v>
      </c>
      <c r="N67" s="304">
        <f t="shared" ca="1" si="17"/>
        <v>84.615218786127812</v>
      </c>
      <c r="P67" s="310">
        <f t="shared" ca="1" si="18"/>
        <v>5</v>
      </c>
      <c r="Q67" s="304">
        <f t="shared" ca="1" si="19"/>
        <v>1029.8333333333333</v>
      </c>
      <c r="R67" s="306">
        <f t="shared" ca="1" si="20"/>
        <v>0.51587673999632078</v>
      </c>
      <c r="S67" s="307">
        <f t="shared" ca="1" si="21"/>
        <v>10.686524467563345</v>
      </c>
      <c r="T67" s="304">
        <f t="shared" ca="1" si="1"/>
        <v>104.83480502679642</v>
      </c>
      <c r="U67" s="311">
        <f t="shared" ca="1" si="2"/>
        <v>0</v>
      </c>
      <c r="V67" s="306">
        <f t="shared" ca="1" si="3"/>
        <v>1.2230040738261641</v>
      </c>
      <c r="W67" s="304">
        <f t="shared" ca="1" si="4"/>
        <v>9.2189780772062697</v>
      </c>
      <c r="Y67" s="314" t="str">
        <f t="shared" ca="1" si="22"/>
        <v/>
      </c>
      <c r="Z67" s="315" t="str">
        <f t="shared" ca="1" si="23"/>
        <v/>
      </c>
      <c r="AA67" s="316" t="str">
        <f t="shared" ca="1" si="24"/>
        <v/>
      </c>
      <c r="AC67" s="310" t="e">
        <f t="shared" ca="1" si="25"/>
        <v>#N/A</v>
      </c>
      <c r="AD67" s="323" t="e">
        <f t="shared" ca="1" si="26"/>
        <v>#N/A</v>
      </c>
      <c r="AE67" s="324">
        <f t="shared" ca="1" si="5"/>
        <v>16.30655925107552</v>
      </c>
      <c r="AG67" s="306">
        <f t="shared" ca="1" si="27"/>
        <v>85.765376924724549</v>
      </c>
      <c r="AH67" s="304">
        <f t="shared" ca="1" si="28"/>
        <v>95.532242957037525</v>
      </c>
    </row>
    <row r="68" spans="1:34" x14ac:dyDescent="0.2">
      <c r="A68" s="347">
        <f t="shared" ca="1" si="6"/>
        <v>0.01</v>
      </c>
      <c r="B68" s="304">
        <f t="shared" ca="1" si="7"/>
        <v>0.64000000000000035</v>
      </c>
      <c r="D68" s="306">
        <f t="shared" ca="1" si="8"/>
        <v>8.9639385281286845</v>
      </c>
      <c r="E68" s="307">
        <f t="shared" ca="1" si="9"/>
        <v>85.288165940430133</v>
      </c>
      <c r="F68" s="304">
        <f t="shared" ca="1" si="10"/>
        <v>85.757935162983117</v>
      </c>
      <c r="G68" s="306">
        <f t="shared" ca="1" si="11"/>
        <v>5.1006566711117651</v>
      </c>
      <c r="H68" s="307">
        <f t="shared" ca="1" si="12"/>
        <v>54.01461987111788</v>
      </c>
      <c r="I68" s="304">
        <f t="shared" ca="1" si="13"/>
        <v>54.25491552198676</v>
      </c>
      <c r="J68" s="306">
        <f t="shared" ca="1" si="14"/>
        <v>1.5263340744952854</v>
      </c>
      <c r="K68" s="307">
        <f t="shared" ca="1" si="15"/>
        <v>16.842441041489678</v>
      </c>
      <c r="L68" s="304">
        <f t="shared" ref="L68:L131" ca="1" si="29">SQRT(pos_x^2+pos_z^2)</f>
        <v>16.911461082444099</v>
      </c>
      <c r="M68" s="306">
        <f t="shared" ca="1" si="16"/>
        <v>1.4766444830911054</v>
      </c>
      <c r="N68" s="304">
        <f t="shared" ca="1" si="17"/>
        <v>84.60549672239739</v>
      </c>
      <c r="P68" s="310">
        <f t="shared" ca="1" si="18"/>
        <v>5</v>
      </c>
      <c r="Q68" s="304">
        <f t="shared" ca="1" si="19"/>
        <v>1029.5</v>
      </c>
      <c r="R68" s="306">
        <f t="shared" ca="1" si="20"/>
        <v>0.51570976257602752</v>
      </c>
      <c r="S68" s="307">
        <f t="shared" ca="1" si="21"/>
        <v>10.681367369937584</v>
      </c>
      <c r="T68" s="304">
        <f t="shared" ref="T68:T131" ca="1" si="30">m*g</f>
        <v>104.7842138990877</v>
      </c>
      <c r="U68" s="311">
        <f t="shared" ref="U68:U131" ca="1" si="31">IF(pos_xz&lt;L_rampe,Poids*COS(Beta),0)</f>
        <v>0</v>
      </c>
      <c r="V68" s="306">
        <f t="shared" ref="V68:V131" ca="1" si="32">Rho_moyen*(20000-Alt_rampe-pos_z)/(20000+Alt_rampe+pos_z)</f>
        <v>1.2229385369758898</v>
      </c>
      <c r="W68" s="304">
        <f t="shared" ref="W68:W131" ca="1" si="33">1/2*Rho*Sref*Cx*vit_xz^2</f>
        <v>9.5169484599907364</v>
      </c>
      <c r="Y68" s="314" t="str">
        <f t="shared" ca="1" si="22"/>
        <v/>
      </c>
      <c r="Z68" s="315" t="str">
        <f t="shared" ca="1" si="23"/>
        <v/>
      </c>
      <c r="AA68" s="316" t="str">
        <f t="shared" ca="1" si="24"/>
        <v/>
      </c>
      <c r="AC68" s="310" t="e">
        <f t="shared" ca="1" si="25"/>
        <v>#N/A</v>
      </c>
      <c r="AD68" s="323" t="e">
        <f t="shared" ca="1" si="26"/>
        <v>#N/A</v>
      </c>
      <c r="AE68" s="324">
        <f t="shared" ref="AE68:AE131" ca="1" si="34">IF(t&lt;T_para, pos_z, NA())</f>
        <v>16.842441041489678</v>
      </c>
      <c r="AG68" s="306">
        <f t="shared" ca="1" si="27"/>
        <v>85.752993671597565</v>
      </c>
      <c r="AH68" s="304">
        <f t="shared" ca="1" si="28"/>
        <v>95.519701418972502</v>
      </c>
    </row>
    <row r="69" spans="1:34" x14ac:dyDescent="0.2">
      <c r="A69" s="347">
        <f t="shared" ref="A69:A132" ca="1" si="35">IF(B68+0.01&lt;=T_ini+ROUNDUP(Temps_fin_propu,0), 0.01, IF(K68&gt;0, 0.1, 0.0001))</f>
        <v>0.01</v>
      </c>
      <c r="B69" s="304">
        <f t="shared" ref="B69:B132" ca="1" si="36">B68+pas</f>
        <v>0.65000000000000036</v>
      </c>
      <c r="D69" s="306">
        <f t="shared" ref="D69:D132" ca="1" si="37">IF(AND(L68&lt;L_rampe,Poussee&lt;Poids*SIN(M68)),0,(-W68+Poussee)/m*COS(M68)-U68/m*SIN(M68))</f>
        <v>8.9788520825977063</v>
      </c>
      <c r="E69" s="307">
        <f t="shared" ref="E69:E132" ca="1" si="38">IF(AND(L68&lt;L_rampe,Poussee&lt;Poids*SIN(M68)),0,(-W68+Poussee)/m*SIN(M68)+U68/m*COS(M68)-Poids/m)</f>
        <v>85.273694785283297</v>
      </c>
      <c r="F69" s="304">
        <f t="shared" ref="F69:F132" ca="1" si="39">SQRT(acc_x^2+acc_z^2)</f>
        <v>85.745103691434309</v>
      </c>
      <c r="G69" s="306">
        <f t="shared" ref="G69:G132" ca="1" si="40">G68+acc_x*pas</f>
        <v>5.1904451919377426</v>
      </c>
      <c r="H69" s="307">
        <f t="shared" ref="H69:H132" ca="1" si="41">H68+acc_z*pas</f>
        <v>54.867356818970713</v>
      </c>
      <c r="I69" s="304">
        <f t="shared" ref="I69:I132" ca="1" si="42">SQRT(vit_x^2+vit_z^2)</f>
        <v>55.112317730165927</v>
      </c>
      <c r="J69" s="306">
        <f t="shared" ref="J69:J132" ca="1" si="43">J68+0.5*(vit_x+G68)*pas*(K68&gt;=0)</f>
        <v>1.5777895838105329</v>
      </c>
      <c r="K69" s="307">
        <f t="shared" ref="K69:K132" ca="1" si="44">K68+0.5*(vit_z+H68)*pas</f>
        <v>17.38685092494012</v>
      </c>
      <c r="L69" s="304">
        <f t="shared" ca="1" si="29"/>
        <v>17.458293303094436</v>
      </c>
      <c r="M69" s="306">
        <f t="shared" ref="M69:M132" ca="1" si="45">IF(AND(L68&gt;L_rampe,G69&gt;0),ATAN2(G69,H69),$M$4)</f>
        <v>1.4764771401744485</v>
      </c>
      <c r="N69" s="304">
        <f t="shared" ref="N69:N132" ca="1" si="46">DEGREES(Beta)</f>
        <v>84.595908679541552</v>
      </c>
      <c r="P69" s="310">
        <f t="shared" ref="P69:P132" ca="1" si="47">MATCH(t-pas/2-T_ini,CdP_t)</f>
        <v>5</v>
      </c>
      <c r="Q69" s="304">
        <f t="shared" ref="Q69:Q132" ca="1" si="48">(INDEX(CdP,2,i_P+1)-INDEX(CdP,2,i_P+0))/(INDEX(CdP,1,i_P+1)-INDEX(CdP,1,i_P+0))*(t-pas/2-T_ini-INDEX(CdP,1,i_P+0))+INDEX(CdP,2,i_P+0)</f>
        <v>1029.1666666666667</v>
      </c>
      <c r="R69" s="306">
        <f t="shared" ref="R69:R132" ca="1" si="49">Poussee/(g*ISP)</f>
        <v>0.51554278515573415</v>
      </c>
      <c r="S69" s="307">
        <f t="shared" ref="S69:S132" ca="1" si="50">S68-Débit*pas</f>
        <v>10.676211942086027</v>
      </c>
      <c r="T69" s="304">
        <f t="shared" ca="1" si="30"/>
        <v>104.73363915186394</v>
      </c>
      <c r="U69" s="311">
        <f t="shared" ca="1" si="31"/>
        <v>0</v>
      </c>
      <c r="V69" s="306">
        <f t="shared" ca="1" si="32"/>
        <v>1.2228719607567491</v>
      </c>
      <c r="W69" s="304">
        <f t="shared" ca="1" si="33"/>
        <v>9.8195874406972532</v>
      </c>
      <c r="Y69" s="314" t="str">
        <f t="shared" ref="Y69:Y132" ca="1" si="51">IF(AND(pos_z&lt;=0,K68&gt;0),"Impact balistique","") &amp; IF(AND(H70&lt;0,vit_z&gt;=0),"Apogée","") &amp; IF(AND(Poussee=0,Q68&gt;0),"Fin de propulsion","") &amp; IF(AND(L70&gt;L_rampe,pos_xz&lt;=L_rampe),"Sortie de rampe","")</f>
        <v/>
      </c>
      <c r="Z69" s="315" t="str">
        <f t="shared" ref="Z69:Z132" ca="1" si="52">IF(ABS(t-T_para)&lt;pas/2,"Para","")</f>
        <v/>
      </c>
      <c r="AA69" s="316" t="str">
        <f t="shared" ref="AA69:AA132" ca="1" si="53">IF(ABS(t-T_satellite)&lt;pas/2,"Satellite","")</f>
        <v/>
      </c>
      <c r="AC69" s="310" t="e">
        <f t="shared" ref="AC69:AC132" ca="1" si="54">IF(ABS(t-ROUND(t,0))&lt;0.001,t,NA())</f>
        <v>#N/A</v>
      </c>
      <c r="AD69" s="323" t="e">
        <f t="shared" ref="AD69:AD132" ca="1" si="55">IF(ABS(t-ROUND(t,0))&lt;0.001,pos_x,NA())</f>
        <v>#N/A</v>
      </c>
      <c r="AE69" s="324">
        <f t="shared" ca="1" si="34"/>
        <v>17.38685092494012</v>
      </c>
      <c r="AG69" s="306">
        <f t="shared" ref="AG69:AG132" ca="1" si="56">IF(AND(L68&lt;L_rampe,Poussee&lt;Poids*SIN(M68)),0,(-W68+Poussee)/m-Poids*SIN(M68)/m)</f>
        <v>85.740143650609582</v>
      </c>
      <c r="AH69" s="304">
        <f t="shared" ref="AH69:AH132" ca="1" si="57">IF(AND(L68&lt;L_rampe,Poussee&lt;Poids*SIN(M68)), g*SIN(M68), (-W68+Poussee)/m)</f>
        <v>95.506695046693352</v>
      </c>
    </row>
    <row r="70" spans="1:34" x14ac:dyDescent="0.2">
      <c r="A70" s="347">
        <f t="shared" ca="1" si="35"/>
        <v>0.01</v>
      </c>
      <c r="B70" s="304">
        <f t="shared" ca="1" si="36"/>
        <v>0.66000000000000036</v>
      </c>
      <c r="D70" s="306">
        <f t="shared" ca="1" si="37"/>
        <v>8.9934948127934931</v>
      </c>
      <c r="E70" s="307">
        <f t="shared" ca="1" si="38"/>
        <v>85.258779400574653</v>
      </c>
      <c r="F70" s="304">
        <f t="shared" ca="1" si="39"/>
        <v>85.731805147352375</v>
      </c>
      <c r="G70" s="306">
        <f t="shared" ca="1" si="40"/>
        <v>5.2803801400656774</v>
      </c>
      <c r="H70" s="307">
        <f t="shared" ca="1" si="41"/>
        <v>55.719944612976462</v>
      </c>
      <c r="I70" s="304">
        <f t="shared" ca="1" si="42"/>
        <v>55.969586760103603</v>
      </c>
      <c r="J70" s="306">
        <f t="shared" ca="1" si="43"/>
        <v>1.6301437104705501</v>
      </c>
      <c r="K70" s="307">
        <f t="shared" ca="1" si="44"/>
        <v>17.939787432099855</v>
      </c>
      <c r="L70" s="304">
        <f t="shared" ca="1" si="29"/>
        <v>18.013698721409622</v>
      </c>
      <c r="M70" s="306">
        <f t="shared" ca="1" si="45"/>
        <v>1.4763120683911968</v>
      </c>
      <c r="N70" s="304">
        <f t="shared" ca="1" si="46"/>
        <v>84.586450763044525</v>
      </c>
      <c r="P70" s="310">
        <f t="shared" ca="1" si="47"/>
        <v>5</v>
      </c>
      <c r="Q70" s="304">
        <f t="shared" ca="1" si="48"/>
        <v>1028.8333333333333</v>
      </c>
      <c r="R70" s="306">
        <f t="shared" ca="1" si="49"/>
        <v>0.51537580773544078</v>
      </c>
      <c r="S70" s="307">
        <f t="shared" ca="1" si="50"/>
        <v>10.671058184008674</v>
      </c>
      <c r="T70" s="304">
        <f t="shared" ca="1" si="30"/>
        <v>104.6830807851251</v>
      </c>
      <c r="U70" s="311">
        <f t="shared" ca="1" si="31"/>
        <v>0</v>
      </c>
      <c r="V70" s="306">
        <f t="shared" ca="1" si="32"/>
        <v>1.2228043455183015</v>
      </c>
      <c r="W70" s="304">
        <f t="shared" ca="1" si="33"/>
        <v>10.126889653485261</v>
      </c>
      <c r="Y70" s="314" t="str">
        <f t="shared" ca="1" si="51"/>
        <v/>
      </c>
      <c r="Z70" s="315" t="str">
        <f t="shared" ca="1" si="52"/>
        <v/>
      </c>
      <c r="AA70" s="316" t="str">
        <f t="shared" ca="1" si="53"/>
        <v/>
      </c>
      <c r="AC70" s="310" t="e">
        <f t="shared" ca="1" si="54"/>
        <v>#N/A</v>
      </c>
      <c r="AD70" s="323" t="e">
        <f t="shared" ca="1" si="55"/>
        <v>#N/A</v>
      </c>
      <c r="AE70" s="324">
        <f t="shared" ca="1" si="34"/>
        <v>17.939787432099855</v>
      </c>
      <c r="AG70" s="306">
        <f t="shared" ca="1" si="56"/>
        <v>85.726826738861533</v>
      </c>
      <c r="AH70" s="304">
        <f t="shared" ca="1" si="57"/>
        <v>95.493223663581873</v>
      </c>
    </row>
    <row r="71" spans="1:34" x14ac:dyDescent="0.2">
      <c r="A71" s="347">
        <f t="shared" ca="1" si="35"/>
        <v>0.01</v>
      </c>
      <c r="B71" s="304">
        <f t="shared" ca="1" si="36"/>
        <v>0.67000000000000037</v>
      </c>
      <c r="D71" s="306">
        <f t="shared" ca="1" si="37"/>
        <v>9.00787303607704</v>
      </c>
      <c r="E71" s="307">
        <f t="shared" ca="1" si="38"/>
        <v>85.243419135974094</v>
      </c>
      <c r="F71" s="304">
        <f t="shared" ca="1" si="39"/>
        <v>85.718039423597631</v>
      </c>
      <c r="G71" s="306">
        <f t="shared" ca="1" si="40"/>
        <v>5.3704588704264475</v>
      </c>
      <c r="H71" s="307">
        <f t="shared" ca="1" si="41"/>
        <v>56.572378804336203</v>
      </c>
      <c r="I71" s="304">
        <f t="shared" ca="1" si="42"/>
        <v>56.826717942005509</v>
      </c>
      <c r="J71" s="306">
        <f t="shared" ca="1" si="43"/>
        <v>1.6833979055230106</v>
      </c>
      <c r="K71" s="307">
        <f t="shared" ca="1" si="44"/>
        <v>18.50124904918642</v>
      </c>
      <c r="L71" s="304">
        <f t="shared" ca="1" si="29"/>
        <v>18.577675981896675</v>
      </c>
      <c r="M71" s="306">
        <f t="shared" ca="1" si="45"/>
        <v>1.4761492027310268</v>
      </c>
      <c r="N71" s="304">
        <f t="shared" ca="1" si="46"/>
        <v>84.577119248089176</v>
      </c>
      <c r="P71" s="310">
        <f t="shared" ca="1" si="47"/>
        <v>5</v>
      </c>
      <c r="Q71" s="304">
        <f t="shared" ca="1" si="48"/>
        <v>1028.5</v>
      </c>
      <c r="R71" s="306">
        <f t="shared" ca="1" si="49"/>
        <v>0.51520883031514741</v>
      </c>
      <c r="S71" s="307">
        <f t="shared" ca="1" si="50"/>
        <v>10.665906095705521</v>
      </c>
      <c r="T71" s="304">
        <f t="shared" ca="1" si="30"/>
        <v>104.63253879887117</v>
      </c>
      <c r="U71" s="311">
        <f t="shared" ca="1" si="31"/>
        <v>0</v>
      </c>
      <c r="V71" s="306">
        <f t="shared" ca="1" si="32"/>
        <v>1.2227356916181396</v>
      </c>
      <c r="W71" s="304">
        <f t="shared" ca="1" si="33"/>
        <v>10.438849606200494</v>
      </c>
      <c r="Y71" s="314" t="str">
        <f t="shared" ca="1" si="51"/>
        <v/>
      </c>
      <c r="Z71" s="315" t="str">
        <f t="shared" ca="1" si="52"/>
        <v/>
      </c>
      <c r="AA71" s="316" t="str">
        <f t="shared" ca="1" si="53"/>
        <v/>
      </c>
      <c r="AC71" s="310" t="e">
        <f t="shared" ca="1" si="54"/>
        <v>#N/A</v>
      </c>
      <c r="AD71" s="323" t="e">
        <f t="shared" ca="1" si="55"/>
        <v>#N/A</v>
      </c>
      <c r="AE71" s="324">
        <f t="shared" ca="1" si="34"/>
        <v>18.50124904918642</v>
      </c>
      <c r="AG71" s="306">
        <f t="shared" ca="1" si="56"/>
        <v>85.713042823121043</v>
      </c>
      <c r="AH71" s="304">
        <f t="shared" ca="1" si="57"/>
        <v>95.479287104969785</v>
      </c>
    </row>
    <row r="72" spans="1:34" x14ac:dyDescent="0.2">
      <c r="A72" s="347">
        <f t="shared" ca="1" si="35"/>
        <v>0.01</v>
      </c>
      <c r="B72" s="304">
        <f t="shared" ca="1" si="36"/>
        <v>0.68000000000000038</v>
      </c>
      <c r="D72" s="306">
        <f t="shared" ca="1" si="37"/>
        <v>9.0219927914421252</v>
      </c>
      <c r="E72" s="307">
        <f t="shared" ca="1" si="38"/>
        <v>85.227613373794597</v>
      </c>
      <c r="F72" s="304">
        <f t="shared" ca="1" si="39"/>
        <v>85.703806422596216</v>
      </c>
      <c r="G72" s="306">
        <f t="shared" ca="1" si="40"/>
        <v>5.4606787983408687</v>
      </c>
      <c r="H72" s="307">
        <f t="shared" ca="1" si="41"/>
        <v>57.424654938074148</v>
      </c>
      <c r="I72" s="304">
        <f t="shared" ca="1" si="42"/>
        <v>57.683706605033045</v>
      </c>
      <c r="J72" s="306">
        <f t="shared" ca="1" si="43"/>
        <v>1.7375535938668472</v>
      </c>
      <c r="K72" s="307">
        <f t="shared" ca="1" si="44"/>
        <v>19.071234217898471</v>
      </c>
      <c r="L72" s="304">
        <f t="shared" ca="1" si="29"/>
        <v>19.15022368238818</v>
      </c>
      <c r="M72" s="306">
        <f t="shared" ca="1" si="45"/>
        <v>1.4759884809741743</v>
      </c>
      <c r="N72" s="304">
        <f t="shared" ca="1" si="46"/>
        <v>84.567910569745592</v>
      </c>
      <c r="P72" s="310">
        <f t="shared" ca="1" si="47"/>
        <v>5</v>
      </c>
      <c r="Q72" s="304">
        <f t="shared" ca="1" si="48"/>
        <v>1028.1666666666667</v>
      </c>
      <c r="R72" s="306">
        <f t="shared" ca="1" si="49"/>
        <v>0.51504185289485416</v>
      </c>
      <c r="S72" s="307">
        <f t="shared" ca="1" si="50"/>
        <v>10.660755677176573</v>
      </c>
      <c r="T72" s="304">
        <f t="shared" ca="1" si="30"/>
        <v>104.58201319310218</v>
      </c>
      <c r="U72" s="311">
        <f t="shared" ca="1" si="31"/>
        <v>0</v>
      </c>
      <c r="V72" s="306">
        <f t="shared" ca="1" si="32"/>
        <v>1.2226659994218918</v>
      </c>
      <c r="W72" s="304">
        <f t="shared" ca="1" si="33"/>
        <v>10.755461680506951</v>
      </c>
      <c r="Y72" s="314" t="str">
        <f t="shared" ca="1" si="51"/>
        <v/>
      </c>
      <c r="Z72" s="315" t="str">
        <f t="shared" ca="1" si="52"/>
        <v/>
      </c>
      <c r="AA72" s="316" t="str">
        <f t="shared" ca="1" si="53"/>
        <v/>
      </c>
      <c r="AC72" s="310" t="e">
        <f t="shared" ca="1" si="54"/>
        <v>#N/A</v>
      </c>
      <c r="AD72" s="323" t="e">
        <f t="shared" ca="1" si="55"/>
        <v>#N/A</v>
      </c>
      <c r="AE72" s="324">
        <f t="shared" ca="1" si="34"/>
        <v>19.071234217898471</v>
      </c>
      <c r="AG72" s="306">
        <f t="shared" ca="1" si="56"/>
        <v>85.698791799969882</v>
      </c>
      <c r="AH72" s="304">
        <f t="shared" ca="1" si="57"/>
        <v>95.464885218155985</v>
      </c>
    </row>
    <row r="73" spans="1:34" x14ac:dyDescent="0.2">
      <c r="A73" s="347">
        <f t="shared" ca="1" si="35"/>
        <v>0.01</v>
      </c>
      <c r="B73" s="304">
        <f t="shared" ca="1" si="36"/>
        <v>0.69000000000000039</v>
      </c>
      <c r="D73" s="306">
        <f t="shared" ca="1" si="37"/>
        <v>9.0358598557380923</v>
      </c>
      <c r="E73" s="307">
        <f t="shared" ca="1" si="38"/>
        <v>85.211361527839685</v>
      </c>
      <c r="F73" s="304">
        <f t="shared" ca="1" si="39"/>
        <v>85.689106056492022</v>
      </c>
      <c r="G73" s="306">
        <f t="shared" ca="1" si="40"/>
        <v>5.5510373968982494</v>
      </c>
      <c r="H73" s="307">
        <f t="shared" ca="1" si="41"/>
        <v>58.276768553352547</v>
      </c>
      <c r="I73" s="304">
        <f t="shared" ca="1" si="42"/>
        <v>58.540548077403436</v>
      </c>
      <c r="J73" s="306">
        <f t="shared" ca="1" si="43"/>
        <v>1.7926121748430428</v>
      </c>
      <c r="K73" s="307">
        <f t="shared" ca="1" si="44"/>
        <v>19.649741335355603</v>
      </c>
      <c r="L73" s="304">
        <f t="shared" ca="1" si="29"/>
        <v>19.731340374028779</v>
      </c>
      <c r="M73" s="306">
        <f t="shared" ca="1" si="45"/>
        <v>1.4758298435324613</v>
      </c>
      <c r="N73" s="304">
        <f t="shared" ca="1" si="46"/>
        <v>84.55882131386268</v>
      </c>
      <c r="P73" s="310">
        <f t="shared" ca="1" si="47"/>
        <v>5</v>
      </c>
      <c r="Q73" s="304">
        <f t="shared" ca="1" si="48"/>
        <v>1027.8333333333333</v>
      </c>
      <c r="R73" s="306">
        <f t="shared" ca="1" si="49"/>
        <v>0.51487487547456068</v>
      </c>
      <c r="S73" s="307">
        <f t="shared" ca="1" si="50"/>
        <v>10.655606928421827</v>
      </c>
      <c r="T73" s="304">
        <f t="shared" ca="1" si="30"/>
        <v>104.53150396781813</v>
      </c>
      <c r="U73" s="311">
        <f t="shared" ca="1" si="31"/>
        <v>0</v>
      </c>
      <c r="V73" s="306">
        <f t="shared" ca="1" si="32"/>
        <v>1.2225952693032274</v>
      </c>
      <c r="W73" s="304">
        <f t="shared" ca="1" si="33"/>
        <v>11.076720132025885</v>
      </c>
      <c r="Y73" s="314" t="str">
        <f t="shared" ca="1" si="51"/>
        <v/>
      </c>
      <c r="Z73" s="315" t="str">
        <f t="shared" ca="1" si="52"/>
        <v/>
      </c>
      <c r="AA73" s="316" t="str">
        <f t="shared" ca="1" si="53"/>
        <v/>
      </c>
      <c r="AC73" s="310" t="e">
        <f t="shared" ca="1" si="54"/>
        <v>#N/A</v>
      </c>
      <c r="AD73" s="323" t="e">
        <f t="shared" ca="1" si="55"/>
        <v>#N/A</v>
      </c>
      <c r="AE73" s="324">
        <f t="shared" ca="1" si="34"/>
        <v>19.649741335355603</v>
      </c>
      <c r="AG73" s="306">
        <f t="shared" ca="1" si="56"/>
        <v>85.684073575941767</v>
      </c>
      <c r="AH73" s="304">
        <f t="shared" ca="1" si="57"/>
        <v>95.450017862423437</v>
      </c>
    </row>
    <row r="74" spans="1:34" x14ac:dyDescent="0.2">
      <c r="A74" s="347">
        <f t="shared" ca="1" si="35"/>
        <v>0.01</v>
      </c>
      <c r="B74" s="304">
        <f t="shared" ca="1" si="36"/>
        <v>0.7000000000000004</v>
      </c>
      <c r="D74" s="306">
        <f t="shared" ca="1" si="37"/>
        <v>9.0494797587290563</v>
      </c>
      <c r="E74" s="307">
        <f t="shared" ca="1" si="38"/>
        <v>85.194663042331925</v>
      </c>
      <c r="F74" s="304">
        <f t="shared" ca="1" si="39"/>
        <v>85.673938247288035</v>
      </c>
      <c r="G74" s="306">
        <f t="shared" ca="1" si="40"/>
        <v>5.6415321944855403</v>
      </c>
      <c r="H74" s="307">
        <f t="shared" ca="1" si="41"/>
        <v>59.128715183775867</v>
      </c>
      <c r="I74" s="304">
        <f t="shared" ca="1" si="42"/>
        <v>59.397237686490975</v>
      </c>
      <c r="J74" s="306">
        <f t="shared" ca="1" si="43"/>
        <v>1.8485750227999618</v>
      </c>
      <c r="K74" s="307">
        <f t="shared" ca="1" si="44"/>
        <v>20.236768754041247</v>
      </c>
      <c r="L74" s="304">
        <f t="shared" ca="1" si="29"/>
        <v>20.321024561263144</v>
      </c>
      <c r="M74" s="306">
        <f t="shared" ca="1" si="45"/>
        <v>1.4756732333015461</v>
      </c>
      <c r="N74" s="304">
        <f t="shared" ca="1" si="46"/>
        <v>84.549848208602683</v>
      </c>
      <c r="P74" s="310">
        <f t="shared" ca="1" si="47"/>
        <v>5</v>
      </c>
      <c r="Q74" s="304">
        <f t="shared" ca="1" si="48"/>
        <v>1027.5</v>
      </c>
      <c r="R74" s="306">
        <f t="shared" ca="1" si="49"/>
        <v>0.51470789805426742</v>
      </c>
      <c r="S74" s="307">
        <f t="shared" ca="1" si="50"/>
        <v>10.650459849441285</v>
      </c>
      <c r="T74" s="304">
        <f t="shared" ca="1" si="30"/>
        <v>104.48101112301902</v>
      </c>
      <c r="U74" s="311">
        <f t="shared" ca="1" si="31"/>
        <v>0</v>
      </c>
      <c r="V74" s="306">
        <f t="shared" ca="1" si="32"/>
        <v>1.2225235016438576</v>
      </c>
      <c r="W74" s="304">
        <f t="shared" ca="1" si="33"/>
        <v>11.402619090481663</v>
      </c>
      <c r="Y74" s="314" t="str">
        <f t="shared" ca="1" si="51"/>
        <v/>
      </c>
      <c r="Z74" s="315" t="str">
        <f t="shared" ca="1" si="52"/>
        <v/>
      </c>
      <c r="AA74" s="316" t="str">
        <f t="shared" ca="1" si="53"/>
        <v/>
      </c>
      <c r="AC74" s="310" t="e">
        <f t="shared" ca="1" si="54"/>
        <v>#N/A</v>
      </c>
      <c r="AD74" s="323" t="e">
        <f t="shared" ca="1" si="55"/>
        <v>#N/A</v>
      </c>
      <c r="AE74" s="324">
        <f t="shared" ca="1" si="34"/>
        <v>20.236768754041247</v>
      </c>
      <c r="AG74" s="306">
        <f t="shared" ca="1" si="56"/>
        <v>85.668888067650954</v>
      </c>
      <c r="AH74" s="304">
        <f t="shared" ca="1" si="57"/>
        <v>95.434684909055349</v>
      </c>
    </row>
    <row r="75" spans="1:34" x14ac:dyDescent="0.2">
      <c r="A75" s="347">
        <f t="shared" ca="1" si="35"/>
        <v>0.01</v>
      </c>
      <c r="B75" s="304">
        <f t="shared" ca="1" si="36"/>
        <v>0.71000000000000041</v>
      </c>
      <c r="D75" s="306">
        <f t="shared" ca="1" si="37"/>
        <v>9.062857797088494</v>
      </c>
      <c r="E75" s="307">
        <f t="shared" ca="1" si="38"/>
        <v>85.177517390915952</v>
      </c>
      <c r="F75" s="304">
        <f t="shared" ca="1" si="39"/>
        <v>85.658302926978635</v>
      </c>
      <c r="G75" s="306">
        <f t="shared" ca="1" si="40"/>
        <v>5.7321607724564254</v>
      </c>
      <c r="H75" s="307">
        <f t="shared" ca="1" si="41"/>
        <v>59.980490357685028</v>
      </c>
      <c r="I75" s="304">
        <f t="shared" ca="1" si="42"/>
        <v>60.253770758929562</v>
      </c>
      <c r="J75" s="306">
        <f t="shared" ca="1" si="43"/>
        <v>1.9054434876346715</v>
      </c>
      <c r="K75" s="307">
        <f t="shared" ca="1" si="44"/>
        <v>20.832314781748551</v>
      </c>
      <c r="L75" s="304">
        <f t="shared" ca="1" si="29"/>
        <v>20.919274701825312</v>
      </c>
      <c r="M75" s="306">
        <f t="shared" ca="1" si="45"/>
        <v>1.4755185955234553</v>
      </c>
      <c r="N75" s="304">
        <f t="shared" ca="1" si="46"/>
        <v>84.54098811656479</v>
      </c>
      <c r="P75" s="310">
        <f t="shared" ca="1" si="47"/>
        <v>5</v>
      </c>
      <c r="Q75" s="304">
        <f t="shared" ca="1" si="48"/>
        <v>1027.1666666666667</v>
      </c>
      <c r="R75" s="306">
        <f t="shared" ca="1" si="49"/>
        <v>0.51454092063397405</v>
      </c>
      <c r="S75" s="307">
        <f t="shared" ca="1" si="50"/>
        <v>10.645314440234944</v>
      </c>
      <c r="T75" s="304">
        <f t="shared" ca="1" si="30"/>
        <v>104.43053465870481</v>
      </c>
      <c r="U75" s="311">
        <f t="shared" ca="1" si="31"/>
        <v>0</v>
      </c>
      <c r="V75" s="306">
        <f t="shared" ca="1" si="32"/>
        <v>1.2224506968335376</v>
      </c>
      <c r="W75" s="304">
        <f t="shared" ca="1" si="33"/>
        <v>11.733152559854673</v>
      </c>
      <c r="Y75" s="314" t="str">
        <f t="shared" ca="1" si="51"/>
        <v/>
      </c>
      <c r="Z75" s="315" t="str">
        <f t="shared" ca="1" si="52"/>
        <v/>
      </c>
      <c r="AA75" s="316" t="str">
        <f t="shared" ca="1" si="53"/>
        <v/>
      </c>
      <c r="AC75" s="310" t="e">
        <f t="shared" ca="1" si="54"/>
        <v>#N/A</v>
      </c>
      <c r="AD75" s="323" t="e">
        <f t="shared" ca="1" si="55"/>
        <v>#N/A</v>
      </c>
      <c r="AE75" s="324">
        <f t="shared" ca="1" si="34"/>
        <v>20.832314781748551</v>
      </c>
      <c r="AG75" s="306">
        <f t="shared" ca="1" si="56"/>
        <v>85.653235201912352</v>
      </c>
      <c r="AH75" s="304">
        <f t="shared" ca="1" si="57"/>
        <v>95.418886241350606</v>
      </c>
    </row>
    <row r="76" spans="1:34" x14ac:dyDescent="0.2">
      <c r="A76" s="347">
        <f t="shared" ca="1" si="35"/>
        <v>0.01</v>
      </c>
      <c r="B76" s="304">
        <f t="shared" ca="1" si="36"/>
        <v>0.72000000000000042</v>
      </c>
      <c r="D76" s="306">
        <f t="shared" ca="1" si="37"/>
        <v>9.0752457622760243</v>
      </c>
      <c r="E76" s="307">
        <f t="shared" ca="1" si="38"/>
        <v>85.152041810378549</v>
      </c>
      <c r="F76" s="304">
        <f t="shared" ca="1" si="39"/>
        <v>85.634282329696475</v>
      </c>
      <c r="G76" s="306">
        <f t="shared" ca="1" si="40"/>
        <v>5.8229132300791857</v>
      </c>
      <c r="H76" s="307">
        <f t="shared" ca="1" si="41"/>
        <v>60.832010775788817</v>
      </c>
      <c r="I76" s="304">
        <f t="shared" ca="1" si="42"/>
        <v>61.11006343893547</v>
      </c>
      <c r="J76" s="306">
        <f t="shared" ca="1" si="43"/>
        <v>1.9632188576473495</v>
      </c>
      <c r="K76" s="307">
        <f t="shared" ca="1" si="44"/>
        <v>21.436377287415919</v>
      </c>
      <c r="L76" s="304">
        <f t="shared" ca="1" si="29"/>
        <v>21.526088810823559</v>
      </c>
      <c r="M76" s="306">
        <f t="shared" ca="1" si="45"/>
        <v>1.4753658774606677</v>
      </c>
      <c r="N76" s="304">
        <f t="shared" ca="1" si="46"/>
        <v>84.532238016111648</v>
      </c>
      <c r="P76" s="310">
        <f t="shared" ca="1" si="47"/>
        <v>6</v>
      </c>
      <c r="Q76" s="304">
        <f t="shared" ca="1" si="48"/>
        <v>1026.7491228070176</v>
      </c>
      <c r="R76" s="306">
        <f t="shared" ca="1" si="49"/>
        <v>0.51433175944434339</v>
      </c>
      <c r="S76" s="307">
        <f t="shared" ca="1" si="50"/>
        <v>10.640171122640501</v>
      </c>
      <c r="T76" s="304">
        <f t="shared" ca="1" si="30"/>
        <v>104.38007871310332</v>
      </c>
      <c r="U76" s="311">
        <f t="shared" ca="1" si="31"/>
        <v>0</v>
      </c>
      <c r="V76" s="306">
        <f t="shared" ca="1" si="32"/>
        <v>1.2223768553182452</v>
      </c>
      <c r="W76" s="304">
        <f t="shared" ca="1" si="33"/>
        <v>12.068283144666403</v>
      </c>
      <c r="Y76" s="314" t="str">
        <f t="shared" ca="1" si="51"/>
        <v/>
      </c>
      <c r="Z76" s="315" t="str">
        <f t="shared" ca="1" si="52"/>
        <v/>
      </c>
      <c r="AA76" s="316" t="str">
        <f t="shared" ca="1" si="53"/>
        <v/>
      </c>
      <c r="AC76" s="310" t="e">
        <f t="shared" ca="1" si="54"/>
        <v>#N/A</v>
      </c>
      <c r="AD76" s="323" t="e">
        <f t="shared" ca="1" si="55"/>
        <v>#N/A</v>
      </c>
      <c r="AE76" s="324">
        <f t="shared" ca="1" si="34"/>
        <v>21.436377287415919</v>
      </c>
      <c r="AG76" s="306">
        <f t="shared" ca="1" si="56"/>
        <v>85.629196737681227</v>
      </c>
      <c r="AH76" s="304">
        <f t="shared" ca="1" si="57"/>
        <v>95.394703576465886</v>
      </c>
    </row>
    <row r="77" spans="1:34" x14ac:dyDescent="0.2">
      <c r="A77" s="347">
        <f t="shared" ca="1" si="35"/>
        <v>0.01</v>
      </c>
      <c r="B77" s="304">
        <f t="shared" ca="1" si="36"/>
        <v>0.73000000000000043</v>
      </c>
      <c r="D77" s="306">
        <f t="shared" ca="1" si="37"/>
        <v>9.0866437562272306</v>
      </c>
      <c r="E77" s="307">
        <f t="shared" ca="1" si="38"/>
        <v>85.118223906755986</v>
      </c>
      <c r="F77" s="304">
        <f t="shared" ca="1" si="39"/>
        <v>85.601864090644838</v>
      </c>
      <c r="G77" s="306">
        <f t="shared" ca="1" si="40"/>
        <v>5.9137796676414585</v>
      </c>
      <c r="H77" s="307">
        <f t="shared" ca="1" si="41"/>
        <v>61.683193014856379</v>
      </c>
      <c r="I77" s="304">
        <f t="shared" ca="1" si="42"/>
        <v>61.96603174696147</v>
      </c>
      <c r="J77" s="306">
        <f t="shared" ca="1" si="43"/>
        <v>2.0219023221359529</v>
      </c>
      <c r="K77" s="307">
        <f t="shared" ca="1" si="44"/>
        <v>22.048953306369146</v>
      </c>
      <c r="L77" s="304">
        <f t="shared" ca="1" si="29"/>
        <v>22.141464064210066</v>
      </c>
      <c r="M77" s="306">
        <f t="shared" ca="1" si="45"/>
        <v>1.4752150282966203</v>
      </c>
      <c r="N77" s="304">
        <f t="shared" ca="1" si="46"/>
        <v>84.52359499566866</v>
      </c>
      <c r="P77" s="310">
        <f t="shared" ca="1" si="47"/>
        <v>6</v>
      </c>
      <c r="Q77" s="304">
        <f t="shared" ca="1" si="48"/>
        <v>1026.2473684210527</v>
      </c>
      <c r="R77" s="306">
        <f t="shared" ca="1" si="49"/>
        <v>0.51408041448537556</v>
      </c>
      <c r="S77" s="307">
        <f t="shared" ca="1" si="50"/>
        <v>10.635030318495646</v>
      </c>
      <c r="T77" s="304">
        <f t="shared" ca="1" si="30"/>
        <v>104.3296474244423</v>
      </c>
      <c r="U77" s="311">
        <f t="shared" ca="1" si="31"/>
        <v>0</v>
      </c>
      <c r="V77" s="306">
        <f t="shared" ca="1" si="32"/>
        <v>1.2223019776484121</v>
      </c>
      <c r="W77" s="304">
        <f t="shared" ca="1" si="33"/>
        <v>12.407971530991659</v>
      </c>
      <c r="Y77" s="314" t="str">
        <f t="shared" ca="1" si="51"/>
        <v/>
      </c>
      <c r="Z77" s="315" t="str">
        <f t="shared" ca="1" si="52"/>
        <v/>
      </c>
      <c r="AA77" s="316" t="str">
        <f t="shared" ca="1" si="53"/>
        <v/>
      </c>
      <c r="AC77" s="310" t="e">
        <f t="shared" ca="1" si="54"/>
        <v>#N/A</v>
      </c>
      <c r="AD77" s="323" t="e">
        <f t="shared" ca="1" si="55"/>
        <v>#N/A</v>
      </c>
      <c r="AE77" s="324">
        <f t="shared" ca="1" si="34"/>
        <v>22.048953306369146</v>
      </c>
      <c r="AG77" s="306">
        <f t="shared" ca="1" si="56"/>
        <v>85.596760299289542</v>
      </c>
      <c r="AH77" s="304">
        <f t="shared" ca="1" si="57"/>
        <v>95.36212449837609</v>
      </c>
    </row>
    <row r="78" spans="1:34" x14ac:dyDescent="0.2">
      <c r="A78" s="347">
        <f t="shared" ca="1" si="35"/>
        <v>0.01</v>
      </c>
      <c r="B78" s="304">
        <f t="shared" ca="1" si="36"/>
        <v>0.74000000000000044</v>
      </c>
      <c r="D78" s="306">
        <f t="shared" ca="1" si="37"/>
        <v>9.0978082058905834</v>
      </c>
      <c r="E78" s="307">
        <f t="shared" ca="1" si="38"/>
        <v>85.083941119707703</v>
      </c>
      <c r="F78" s="304">
        <f t="shared" ca="1" si="39"/>
        <v>85.568961373929611</v>
      </c>
      <c r="G78" s="306">
        <f t="shared" ca="1" si="40"/>
        <v>6.0047577497003646</v>
      </c>
      <c r="H78" s="307">
        <f t="shared" ca="1" si="41"/>
        <v>62.534032426053457</v>
      </c>
      <c r="I78" s="304">
        <f t="shared" ca="1" si="42"/>
        <v>62.821670839729272</v>
      </c>
      <c r="J78" s="306">
        <f t="shared" ca="1" si="43"/>
        <v>2.0814950092226621</v>
      </c>
      <c r="K78" s="307">
        <f t="shared" ca="1" si="44"/>
        <v>22.670039433573695</v>
      </c>
      <c r="L78" s="304">
        <f t="shared" ca="1" si="29"/>
        <v>22.765397193837959</v>
      </c>
      <c r="M78" s="306">
        <f t="shared" ca="1" si="45"/>
        <v>1.4750659992302761</v>
      </c>
      <c r="N78" s="304">
        <f t="shared" ca="1" si="46"/>
        <v>84.515056259142355</v>
      </c>
      <c r="P78" s="310">
        <f t="shared" ca="1" si="47"/>
        <v>6</v>
      </c>
      <c r="Q78" s="304">
        <f t="shared" ca="1" si="48"/>
        <v>1025.7456140350878</v>
      </c>
      <c r="R78" s="306">
        <f t="shared" ca="1" si="49"/>
        <v>0.51382906952640761</v>
      </c>
      <c r="S78" s="307">
        <f t="shared" ca="1" si="50"/>
        <v>10.629892027800382</v>
      </c>
      <c r="T78" s="304">
        <f t="shared" ca="1" si="30"/>
        <v>104.27924079272175</v>
      </c>
      <c r="U78" s="311">
        <f t="shared" ca="1" si="31"/>
        <v>0</v>
      </c>
      <c r="V78" s="306">
        <f t="shared" ca="1" si="32"/>
        <v>1.2222260644308243</v>
      </c>
      <c r="W78" s="304">
        <f t="shared" ca="1" si="33"/>
        <v>12.752208663186735</v>
      </c>
      <c r="Y78" s="314" t="str">
        <f t="shared" ca="1" si="51"/>
        <v/>
      </c>
      <c r="Z78" s="315" t="str">
        <f t="shared" ca="1" si="52"/>
        <v/>
      </c>
      <c r="AA78" s="316" t="str">
        <f t="shared" ca="1" si="53"/>
        <v/>
      </c>
      <c r="AC78" s="310" t="e">
        <f t="shared" ca="1" si="54"/>
        <v>#N/A</v>
      </c>
      <c r="AD78" s="323" t="e">
        <f t="shared" ca="1" si="55"/>
        <v>#N/A</v>
      </c>
      <c r="AE78" s="324">
        <f t="shared" ca="1" si="34"/>
        <v>22.670039433573695</v>
      </c>
      <c r="AG78" s="306">
        <f t="shared" ca="1" si="56"/>
        <v>85.563839514375417</v>
      </c>
      <c r="AH78" s="304">
        <f t="shared" ca="1" si="57"/>
        <v>95.329062595735849</v>
      </c>
    </row>
    <row r="79" spans="1:34" x14ac:dyDescent="0.2">
      <c r="A79" s="347">
        <f t="shared" ca="1" si="35"/>
        <v>0.01</v>
      </c>
      <c r="B79" s="304">
        <f t="shared" ca="1" si="36"/>
        <v>0.75000000000000044</v>
      </c>
      <c r="D79" s="306">
        <f t="shared" ca="1" si="37"/>
        <v>9.1087437318439051</v>
      </c>
      <c r="E79" s="307">
        <f t="shared" ca="1" si="38"/>
        <v>85.049193264900822</v>
      </c>
      <c r="F79" s="304">
        <f t="shared" ca="1" si="39"/>
        <v>85.53557439675528</v>
      </c>
      <c r="G79" s="306">
        <f t="shared" ca="1" si="40"/>
        <v>6.0958451870188037</v>
      </c>
      <c r="H79" s="307">
        <f t="shared" ca="1" si="41"/>
        <v>63.384524358702464</v>
      </c>
      <c r="I79" s="304">
        <f t="shared" ca="1" si="42"/>
        <v>63.67697587608135</v>
      </c>
      <c r="J79" s="306">
        <f t="shared" ca="1" si="43"/>
        <v>2.1419980239062579</v>
      </c>
      <c r="K79" s="307">
        <f t="shared" ca="1" si="44"/>
        <v>23.299632217497475</v>
      </c>
      <c r="L79" s="304">
        <f t="shared" ca="1" si="29"/>
        <v>23.397884883148404</v>
      </c>
      <c r="M79" s="306">
        <f t="shared" ca="1" si="45"/>
        <v>1.4749187433699213</v>
      </c>
      <c r="N79" s="304">
        <f t="shared" ca="1" si="46"/>
        <v>84.506619119835463</v>
      </c>
      <c r="P79" s="310">
        <f t="shared" ca="1" si="47"/>
        <v>6</v>
      </c>
      <c r="Q79" s="304">
        <f t="shared" ca="1" si="48"/>
        <v>1025.2438596491227</v>
      </c>
      <c r="R79" s="306">
        <f t="shared" ca="1" si="49"/>
        <v>0.51357772456743966</v>
      </c>
      <c r="S79" s="307">
        <f t="shared" ca="1" si="50"/>
        <v>10.624756250554707</v>
      </c>
      <c r="T79" s="304">
        <f t="shared" ca="1" si="30"/>
        <v>104.22885881794168</v>
      </c>
      <c r="U79" s="311">
        <f t="shared" ca="1" si="31"/>
        <v>0</v>
      </c>
      <c r="V79" s="306">
        <f t="shared" ca="1" si="32"/>
        <v>1.2221491162804645</v>
      </c>
      <c r="W79" s="304">
        <f t="shared" ca="1" si="33"/>
        <v>13.100985360635024</v>
      </c>
      <c r="Y79" s="314" t="str">
        <f t="shared" ca="1" si="51"/>
        <v/>
      </c>
      <c r="Z79" s="315" t="str">
        <f t="shared" ca="1" si="52"/>
        <v/>
      </c>
      <c r="AA79" s="316" t="str">
        <f t="shared" ca="1" si="53"/>
        <v/>
      </c>
      <c r="AC79" s="310" t="e">
        <f t="shared" ca="1" si="54"/>
        <v>#N/A</v>
      </c>
      <c r="AD79" s="323" t="e">
        <f t="shared" ca="1" si="55"/>
        <v>#N/A</v>
      </c>
      <c r="AE79" s="324">
        <f t="shared" ca="1" si="34"/>
        <v>23.299632217497475</v>
      </c>
      <c r="AG79" s="306">
        <f t="shared" ca="1" si="56"/>
        <v>85.530434595712109</v>
      </c>
      <c r="AH79" s="304">
        <f t="shared" ca="1" si="57"/>
        <v>95.295518043820991</v>
      </c>
    </row>
    <row r="80" spans="1:34" x14ac:dyDescent="0.2">
      <c r="A80" s="347">
        <f t="shared" ca="1" si="35"/>
        <v>0.01</v>
      </c>
      <c r="B80" s="304">
        <f t="shared" ca="1" si="36"/>
        <v>0.76000000000000045</v>
      </c>
      <c r="D80" s="306">
        <f t="shared" ca="1" si="37"/>
        <v>9.1194547733830618</v>
      </c>
      <c r="E80" s="307">
        <f t="shared" ca="1" si="38"/>
        <v>85.013980184489029</v>
      </c>
      <c r="F80" s="304">
        <f t="shared" ca="1" si="39"/>
        <v>85.501703387549369</v>
      </c>
      <c r="G80" s="306">
        <f t="shared" ca="1" si="40"/>
        <v>6.1870397347526342</v>
      </c>
      <c r="H80" s="307">
        <f t="shared" ca="1" si="41"/>
        <v>64.234664160547354</v>
      </c>
      <c r="I80" s="304">
        <f t="shared" ca="1" si="42"/>
        <v>64.531942017095034</v>
      </c>
      <c r="J80" s="306">
        <f t="shared" ca="1" si="43"/>
        <v>2.203412448515115</v>
      </c>
      <c r="K80" s="307">
        <f t="shared" ca="1" si="44"/>
        <v>23.937728160093723</v>
      </c>
      <c r="L80" s="304">
        <f t="shared" ca="1" si="29"/>
        <v>24.038923767190898</v>
      </c>
      <c r="M80" s="306">
        <f t="shared" ca="1" si="45"/>
        <v>1.4747732156339031</v>
      </c>
      <c r="N80" s="304">
        <f t="shared" ca="1" si="46"/>
        <v>84.498280994759526</v>
      </c>
      <c r="P80" s="310">
        <f t="shared" ca="1" si="47"/>
        <v>6</v>
      </c>
      <c r="Q80" s="304">
        <f t="shared" ca="1" si="48"/>
        <v>1024.7421052631578</v>
      </c>
      <c r="R80" s="306">
        <f t="shared" ca="1" si="49"/>
        <v>0.51332637960847183</v>
      </c>
      <c r="S80" s="307">
        <f t="shared" ca="1" si="50"/>
        <v>10.619622986758623</v>
      </c>
      <c r="T80" s="304">
        <f t="shared" ca="1" si="30"/>
        <v>104.1785015001021</v>
      </c>
      <c r="U80" s="311">
        <f t="shared" ca="1" si="31"/>
        <v>0</v>
      </c>
      <c r="V80" s="306">
        <f t="shared" ca="1" si="32"/>
        <v>1.2220711338205097</v>
      </c>
      <c r="W80" s="304">
        <f t="shared" ca="1" si="33"/>
        <v>13.454292318087115</v>
      </c>
      <c r="Y80" s="314" t="str">
        <f t="shared" ca="1" si="51"/>
        <v/>
      </c>
      <c r="Z80" s="315" t="str">
        <f t="shared" ca="1" si="52"/>
        <v/>
      </c>
      <c r="AA80" s="316" t="str">
        <f t="shared" ca="1" si="53"/>
        <v/>
      </c>
      <c r="AC80" s="310" t="e">
        <f t="shared" ca="1" si="54"/>
        <v>#N/A</v>
      </c>
      <c r="AD80" s="323" t="e">
        <f t="shared" ca="1" si="55"/>
        <v>#N/A</v>
      </c>
      <c r="AE80" s="324">
        <f t="shared" ca="1" si="34"/>
        <v>23.937728160093723</v>
      </c>
      <c r="AG80" s="306">
        <f t="shared" ca="1" si="56"/>
        <v>85.496545767455615</v>
      </c>
      <c r="AH80" s="304">
        <f t="shared" ca="1" si="57"/>
        <v>95.261491030700057</v>
      </c>
    </row>
    <row r="81" spans="1:34" x14ac:dyDescent="0.2">
      <c r="A81" s="347">
        <f t="shared" ca="1" si="35"/>
        <v>0.01</v>
      </c>
      <c r="B81" s="304">
        <f t="shared" ca="1" si="36"/>
        <v>0.77000000000000046</v>
      </c>
      <c r="D81" s="306">
        <f t="shared" ca="1" si="37"/>
        <v>9.1299455980495132</v>
      </c>
      <c r="E81" s="307">
        <f t="shared" ca="1" si="38"/>
        <v>84.978301746412697</v>
      </c>
      <c r="F81" s="304">
        <f t="shared" ca="1" si="39"/>
        <v>85.467348586040217</v>
      </c>
      <c r="G81" s="306">
        <f t="shared" ca="1" si="40"/>
        <v>6.2783391907331296</v>
      </c>
      <c r="H81" s="307">
        <f t="shared" ca="1" si="41"/>
        <v>65.084447178011487</v>
      </c>
      <c r="I81" s="304">
        <f t="shared" ca="1" si="42"/>
        <v>65.386564426197396</v>
      </c>
      <c r="J81" s="306">
        <f t="shared" ca="1" si="43"/>
        <v>2.2657393431425437</v>
      </c>
      <c r="K81" s="307">
        <f t="shared" ca="1" si="44"/>
        <v>24.584323716786518</v>
      </c>
      <c r="L81" s="304">
        <f t="shared" ca="1" si="29"/>
        <v>24.6885104326449</v>
      </c>
      <c r="M81" s="306">
        <f t="shared" ca="1" si="45"/>
        <v>1.4746293726577702</v>
      </c>
      <c r="N81" s="304">
        <f t="shared" ca="1" si="46"/>
        <v>84.490039399314512</v>
      </c>
      <c r="P81" s="310">
        <f t="shared" ca="1" si="47"/>
        <v>6</v>
      </c>
      <c r="Q81" s="304">
        <f t="shared" ca="1" si="48"/>
        <v>1024.2403508771929</v>
      </c>
      <c r="R81" s="306">
        <f t="shared" ca="1" si="49"/>
        <v>0.51307503464950388</v>
      </c>
      <c r="S81" s="307">
        <f t="shared" ca="1" si="50"/>
        <v>10.614492236412127</v>
      </c>
      <c r="T81" s="304">
        <f t="shared" ca="1" si="30"/>
        <v>104.12816883920297</v>
      </c>
      <c r="U81" s="311">
        <f t="shared" ca="1" si="31"/>
        <v>0</v>
      </c>
      <c r="V81" s="306">
        <f t="shared" ca="1" si="32"/>
        <v>1.2219921176823236</v>
      </c>
      <c r="W81" s="304">
        <f t="shared" ca="1" si="33"/>
        <v>13.812120106008026</v>
      </c>
      <c r="Y81" s="314" t="str">
        <f t="shared" ca="1" si="51"/>
        <v/>
      </c>
      <c r="Z81" s="315" t="str">
        <f t="shared" ca="1" si="52"/>
        <v/>
      </c>
      <c r="AA81" s="316" t="str">
        <f t="shared" ca="1" si="53"/>
        <v/>
      </c>
      <c r="AC81" s="310" t="e">
        <f t="shared" ca="1" si="54"/>
        <v>#N/A</v>
      </c>
      <c r="AD81" s="323" t="e">
        <f t="shared" ca="1" si="55"/>
        <v>#N/A</v>
      </c>
      <c r="AE81" s="324">
        <f t="shared" ca="1" si="34"/>
        <v>24.584323716786518</v>
      </c>
      <c r="AG81" s="306">
        <f t="shared" ca="1" si="56"/>
        <v>85.462173265214275</v>
      </c>
      <c r="AH81" s="304">
        <f t="shared" ca="1" si="57"/>
        <v>95.226981757232693</v>
      </c>
    </row>
    <row r="82" spans="1:34" x14ac:dyDescent="0.2">
      <c r="A82" s="347">
        <f t="shared" ca="1" si="35"/>
        <v>0.01</v>
      </c>
      <c r="B82" s="304">
        <f t="shared" ca="1" si="36"/>
        <v>0.78000000000000047</v>
      </c>
      <c r="D82" s="306">
        <f t="shared" ca="1" si="37"/>
        <v>9.1402203105426363</v>
      </c>
      <c r="E82" s="307">
        <f t="shared" ca="1" si="38"/>
        <v>84.942157843742379</v>
      </c>
      <c r="F82" s="304">
        <f t="shared" ca="1" si="39"/>
        <v>85.43251024332892</v>
      </c>
      <c r="G82" s="306">
        <f t="shared" ca="1" si="40"/>
        <v>6.3697413938385559</v>
      </c>
      <c r="H82" s="307">
        <f t="shared" ca="1" si="41"/>
        <v>65.933868756448916</v>
      </c>
      <c r="I82" s="304">
        <f t="shared" ca="1" si="42"/>
        <v>66.240838269280772</v>
      </c>
      <c r="J82" s="306">
        <f t="shared" ca="1" si="43"/>
        <v>2.3289797460654023</v>
      </c>
      <c r="K82" s="307">
        <f t="shared" ca="1" si="44"/>
        <v>25.239415296458819</v>
      </c>
      <c r="L82" s="304">
        <f t="shared" ca="1" si="29"/>
        <v>25.346641417842765</v>
      </c>
      <c r="M82" s="306">
        <f t="shared" ca="1" si="45"/>
        <v>1.4744871727073261</v>
      </c>
      <c r="N82" s="304">
        <f t="shared" ca="1" si="46"/>
        <v>84.481891942307087</v>
      </c>
      <c r="P82" s="310">
        <f t="shared" ca="1" si="47"/>
        <v>6</v>
      </c>
      <c r="Q82" s="304">
        <f t="shared" ca="1" si="48"/>
        <v>1023.738596491228</v>
      </c>
      <c r="R82" s="306">
        <f t="shared" ca="1" si="49"/>
        <v>0.51282368969053604</v>
      </c>
      <c r="S82" s="307">
        <f t="shared" ca="1" si="50"/>
        <v>10.609363999515223</v>
      </c>
      <c r="T82" s="304">
        <f t="shared" ca="1" si="30"/>
        <v>104.07786083524434</v>
      </c>
      <c r="U82" s="311">
        <f t="shared" ca="1" si="31"/>
        <v>0</v>
      </c>
      <c r="V82" s="306">
        <f t="shared" ca="1" si="32"/>
        <v>1.2219120685054539</v>
      </c>
      <c r="W82" s="304">
        <f t="shared" ca="1" si="33"/>
        <v>14.1744591709316</v>
      </c>
      <c r="Y82" s="314" t="str">
        <f t="shared" ca="1" si="51"/>
        <v/>
      </c>
      <c r="Z82" s="315" t="str">
        <f t="shared" ca="1" si="52"/>
        <v/>
      </c>
      <c r="AA82" s="316" t="str">
        <f t="shared" ca="1" si="53"/>
        <v/>
      </c>
      <c r="AC82" s="310" t="e">
        <f t="shared" ca="1" si="54"/>
        <v>#N/A</v>
      </c>
      <c r="AD82" s="323" t="e">
        <f t="shared" ca="1" si="55"/>
        <v>#N/A</v>
      </c>
      <c r="AE82" s="324">
        <f t="shared" ca="1" si="34"/>
        <v>25.239415296458819</v>
      </c>
      <c r="AG82" s="306">
        <f t="shared" ca="1" si="56"/>
        <v>85.427317336113262</v>
      </c>
      <c r="AH82" s="304">
        <f t="shared" ca="1" si="57"/>
        <v>95.191990437067375</v>
      </c>
    </row>
    <row r="83" spans="1:34" x14ac:dyDescent="0.2">
      <c r="A83" s="347">
        <f t="shared" ca="1" si="35"/>
        <v>0.01</v>
      </c>
      <c r="B83" s="304">
        <f t="shared" ca="1" si="36"/>
        <v>0.79000000000000048</v>
      </c>
      <c r="D83" s="306">
        <f t="shared" ca="1" si="37"/>
        <v>9.1502828610640048</v>
      </c>
      <c r="E83" s="307">
        <f t="shared" ca="1" si="38"/>
        <v>84.905548394062379</v>
      </c>
      <c r="F83" s="304">
        <f t="shared" ca="1" si="39"/>
        <v>85.397188621956118</v>
      </c>
      <c r="G83" s="306">
        <f t="shared" ca="1" si="40"/>
        <v>6.4612442224491957</v>
      </c>
      <c r="H83" s="307">
        <f t="shared" ca="1" si="41"/>
        <v>66.782924240389534</v>
      </c>
      <c r="I83" s="304">
        <f t="shared" ca="1" si="42"/>
        <v>67.09475871481871</v>
      </c>
      <c r="J83" s="306">
        <f t="shared" ca="1" si="43"/>
        <v>2.3931346741468409</v>
      </c>
      <c r="K83" s="307">
        <f t="shared" ca="1" si="44"/>
        <v>25.902999261443011</v>
      </c>
      <c r="L83" s="304">
        <f t="shared" ca="1" si="29"/>
        <v>26.013313212793964</v>
      </c>
      <c r="M83" s="306">
        <f t="shared" ca="1" si="45"/>
        <v>1.4743465755971443</v>
      </c>
      <c r="N83" s="304">
        <f t="shared" ca="1" si="46"/>
        <v>84.473836321281937</v>
      </c>
      <c r="P83" s="310">
        <f t="shared" ca="1" si="47"/>
        <v>6</v>
      </c>
      <c r="Q83" s="304">
        <f t="shared" ca="1" si="48"/>
        <v>1023.2368421052631</v>
      </c>
      <c r="R83" s="306">
        <f t="shared" ca="1" si="49"/>
        <v>0.5125723447315681</v>
      </c>
      <c r="S83" s="307">
        <f t="shared" ca="1" si="50"/>
        <v>10.604238276067907</v>
      </c>
      <c r="T83" s="304">
        <f t="shared" ca="1" si="30"/>
        <v>104.02757748822617</v>
      </c>
      <c r="U83" s="311">
        <f t="shared" ca="1" si="31"/>
        <v>0</v>
      </c>
      <c r="V83" s="306">
        <f t="shared" ca="1" si="32"/>
        <v>1.2218309869376243</v>
      </c>
      <c r="W83" s="304">
        <f t="shared" ca="1" si="33"/>
        <v>14.541299835821876</v>
      </c>
      <c r="Y83" s="314" t="str">
        <f t="shared" ca="1" si="51"/>
        <v/>
      </c>
      <c r="Z83" s="315" t="str">
        <f t="shared" ca="1" si="52"/>
        <v/>
      </c>
      <c r="AA83" s="316" t="str">
        <f t="shared" ca="1" si="53"/>
        <v/>
      </c>
      <c r="AC83" s="310" t="e">
        <f t="shared" ca="1" si="54"/>
        <v>#N/A</v>
      </c>
      <c r="AD83" s="323" t="e">
        <f t="shared" ca="1" si="55"/>
        <v>#N/A</v>
      </c>
      <c r="AE83" s="324">
        <f t="shared" ca="1" si="34"/>
        <v>25.902999261443011</v>
      </c>
      <c r="AG83" s="306">
        <f t="shared" ca="1" si="56"/>
        <v>85.391978238854193</v>
      </c>
      <c r="AH83" s="304">
        <f t="shared" ca="1" si="57"/>
        <v>95.156517296638469</v>
      </c>
    </row>
    <row r="84" spans="1:34" x14ac:dyDescent="0.2">
      <c r="A84" s="347">
        <f t="shared" ca="1" si="35"/>
        <v>0.01</v>
      </c>
      <c r="B84" s="304">
        <f t="shared" ca="1" si="36"/>
        <v>0.80000000000000049</v>
      </c>
      <c r="D84" s="306">
        <f t="shared" ca="1" si="37"/>
        <v>9.1601370531368378</v>
      </c>
      <c r="E84" s="307">
        <f t="shared" ca="1" si="38"/>
        <v>84.86847333889132</v>
      </c>
      <c r="F84" s="304">
        <f t="shared" ca="1" si="39"/>
        <v>85.361383995963635</v>
      </c>
      <c r="G84" s="306">
        <f t="shared" ca="1" si="40"/>
        <v>6.5528455929805638</v>
      </c>
      <c r="H84" s="307">
        <f t="shared" ca="1" si="41"/>
        <v>67.631608973778441</v>
      </c>
      <c r="I84" s="304">
        <f t="shared" ca="1" si="42"/>
        <v>67.948320933982714</v>
      </c>
      <c r="J84" s="306">
        <f t="shared" ca="1" si="43"/>
        <v>2.4582051232239897</v>
      </c>
      <c r="K84" s="307">
        <f t="shared" ca="1" si="44"/>
        <v>26.57507192751385</v>
      </c>
      <c r="L84" s="304">
        <f t="shared" ca="1" si="29"/>
        <v>26.688522259210593</v>
      </c>
      <c r="M84" s="306">
        <f t="shared" ca="1" si="45"/>
        <v>1.4742075426141421</v>
      </c>
      <c r="N84" s="304">
        <f t="shared" ca="1" si="46"/>
        <v>84.465870318142805</v>
      </c>
      <c r="P84" s="310">
        <f t="shared" ca="1" si="47"/>
        <v>6</v>
      </c>
      <c r="Q84" s="304">
        <f t="shared" ca="1" si="48"/>
        <v>1022.7350877192982</v>
      </c>
      <c r="R84" s="306">
        <f t="shared" ca="1" si="49"/>
        <v>0.51232099977260026</v>
      </c>
      <c r="S84" s="307">
        <f t="shared" ca="1" si="50"/>
        <v>10.599115066070182</v>
      </c>
      <c r="T84" s="304">
        <f t="shared" ca="1" si="30"/>
        <v>103.97731879814849</v>
      </c>
      <c r="U84" s="311">
        <f t="shared" ca="1" si="31"/>
        <v>0</v>
      </c>
      <c r="V84" s="306">
        <f t="shared" ca="1" si="32"/>
        <v>1.2217488736347297</v>
      </c>
      <c r="W84" s="304">
        <f t="shared" ca="1" si="33"/>
        <v>14.912632300441722</v>
      </c>
      <c r="Y84" s="314" t="str">
        <f t="shared" ca="1" si="51"/>
        <v/>
      </c>
      <c r="Z84" s="315" t="str">
        <f t="shared" ca="1" si="52"/>
        <v/>
      </c>
      <c r="AA84" s="316" t="str">
        <f t="shared" ca="1" si="53"/>
        <v/>
      </c>
      <c r="AC84" s="310" t="e">
        <f t="shared" ca="1" si="54"/>
        <v>#N/A</v>
      </c>
      <c r="AD84" s="323" t="e">
        <f t="shared" ca="1" si="55"/>
        <v>#N/A</v>
      </c>
      <c r="AE84" s="324">
        <f t="shared" ca="1" si="34"/>
        <v>26.57507192751385</v>
      </c>
      <c r="AG84" s="306">
        <f t="shared" ca="1" si="56"/>
        <v>85.356156243770101</v>
      </c>
      <c r="AH84" s="304">
        <f t="shared" ca="1" si="57"/>
        <v>95.120562575162509</v>
      </c>
    </row>
    <row r="85" spans="1:34" x14ac:dyDescent="0.2">
      <c r="A85" s="347">
        <f t="shared" ca="1" si="35"/>
        <v>0.01</v>
      </c>
      <c r="B85" s="304">
        <f t="shared" ca="1" si="36"/>
        <v>0.8100000000000005</v>
      </c>
      <c r="D85" s="306">
        <f t="shared" ca="1" si="37"/>
        <v>9.169786550939456</v>
      </c>
      <c r="E85" s="307">
        <f t="shared" ca="1" si="38"/>
        <v>84.830932643136862</v>
      </c>
      <c r="F85" s="304">
        <f t="shared" ca="1" si="39"/>
        <v>85.325096650951494</v>
      </c>
      <c r="G85" s="306">
        <f t="shared" ca="1" si="40"/>
        <v>6.6445434584899585</v>
      </c>
      <c r="H85" s="307">
        <f t="shared" ca="1" si="41"/>
        <v>68.479918300209803</v>
      </c>
      <c r="I85" s="304">
        <f t="shared" ca="1" si="42"/>
        <v>68.801520100759191</v>
      </c>
      <c r="J85" s="306">
        <f t="shared" ca="1" si="43"/>
        <v>2.5241920684813421</v>
      </c>
      <c r="K85" s="307">
        <f t="shared" ca="1" si="44"/>
        <v>27.25562956388379</v>
      </c>
      <c r="L85" s="304">
        <f t="shared" ca="1" si="29"/>
        <v>27.372264950534149</v>
      </c>
      <c r="M85" s="306">
        <f t="shared" ca="1" si="45"/>
        <v>1.4740700364458332</v>
      </c>
      <c r="N85" s="304">
        <f t="shared" ca="1" si="46"/>
        <v>84.457991795041679</v>
      </c>
      <c r="P85" s="310">
        <f t="shared" ca="1" si="47"/>
        <v>6</v>
      </c>
      <c r="Q85" s="304">
        <f t="shared" ca="1" si="48"/>
        <v>1022.2333333333333</v>
      </c>
      <c r="R85" s="306">
        <f t="shared" ca="1" si="49"/>
        <v>0.51206965481363242</v>
      </c>
      <c r="S85" s="307">
        <f t="shared" ca="1" si="50"/>
        <v>10.593994369522045</v>
      </c>
      <c r="T85" s="304">
        <f t="shared" ca="1" si="30"/>
        <v>103.92708476501127</v>
      </c>
      <c r="U85" s="311">
        <f t="shared" ca="1" si="31"/>
        <v>0</v>
      </c>
      <c r="V85" s="306">
        <f t="shared" ca="1" si="32"/>
        <v>1.2216657292608311</v>
      </c>
      <c r="W85" s="304">
        <f t="shared" ca="1" si="33"/>
        <v>15.288446641728376</v>
      </c>
      <c r="Y85" s="314" t="str">
        <f t="shared" ca="1" si="51"/>
        <v/>
      </c>
      <c r="Z85" s="315" t="str">
        <f t="shared" ca="1" si="52"/>
        <v/>
      </c>
      <c r="AA85" s="316" t="str">
        <f t="shared" ca="1" si="53"/>
        <v/>
      </c>
      <c r="AC85" s="310" t="e">
        <f t="shared" ca="1" si="54"/>
        <v>#N/A</v>
      </c>
      <c r="AD85" s="323" t="e">
        <f t="shared" ca="1" si="55"/>
        <v>#N/A</v>
      </c>
      <c r="AE85" s="324">
        <f t="shared" ca="1" si="34"/>
        <v>27.25562956388379</v>
      </c>
      <c r="AG85" s="306">
        <f t="shared" ca="1" si="56"/>
        <v>85.319851632876265</v>
      </c>
      <c r="AH85" s="304">
        <f t="shared" ca="1" si="57"/>
        <v>95.084126524633746</v>
      </c>
    </row>
    <row r="86" spans="1:34" x14ac:dyDescent="0.2">
      <c r="A86" s="347">
        <f t="shared" ca="1" si="35"/>
        <v>0.01</v>
      </c>
      <c r="B86" s="304">
        <f t="shared" ca="1" si="36"/>
        <v>0.82000000000000051</v>
      </c>
      <c r="D86" s="306">
        <f t="shared" ca="1" si="37"/>
        <v>9.1792348861892386</v>
      </c>
      <c r="E86" s="307">
        <f t="shared" ca="1" si="38"/>
        <v>84.792926294582216</v>
      </c>
      <c r="F86" s="304">
        <f t="shared" ca="1" si="39"/>
        <v>85.288326884130427</v>
      </c>
      <c r="G86" s="306">
        <f t="shared" ca="1" si="40"/>
        <v>6.7363358073518507</v>
      </c>
      <c r="H86" s="307">
        <f t="shared" ca="1" si="41"/>
        <v>69.327847563155629</v>
      </c>
      <c r="I86" s="304">
        <f t="shared" ca="1" si="42"/>
        <v>69.654351392067056</v>
      </c>
      <c r="J86" s="306">
        <f t="shared" ca="1" si="43"/>
        <v>2.5910964648105512</v>
      </c>
      <c r="K86" s="307">
        <f t="shared" ca="1" si="44"/>
        <v>27.944668393200619</v>
      </c>
      <c r="L86" s="304">
        <f t="shared" ca="1" si="29"/>
        <v>28.064537631963567</v>
      </c>
      <c r="M86" s="306">
        <f t="shared" ca="1" si="45"/>
        <v>1.4739340211129257</v>
      </c>
      <c r="N86" s="304">
        <f t="shared" ca="1" si="46"/>
        <v>84.450198690517013</v>
      </c>
      <c r="P86" s="310">
        <f t="shared" ca="1" si="47"/>
        <v>6</v>
      </c>
      <c r="Q86" s="304">
        <f t="shared" ca="1" si="48"/>
        <v>1021.7315789473683</v>
      </c>
      <c r="R86" s="306">
        <f t="shared" ca="1" si="49"/>
        <v>0.51181830985466448</v>
      </c>
      <c r="S86" s="307">
        <f t="shared" ca="1" si="50"/>
        <v>10.588876186423498</v>
      </c>
      <c r="T86" s="304">
        <f t="shared" ca="1" si="30"/>
        <v>103.87687538881453</v>
      </c>
      <c r="U86" s="311">
        <f t="shared" ca="1" si="31"/>
        <v>0</v>
      </c>
      <c r="V86" s="306">
        <f t="shared" ca="1" si="32"/>
        <v>1.2215815544881456</v>
      </c>
      <c r="W86" s="304">
        <f t="shared" ca="1" si="33"/>
        <v>15.668732814176087</v>
      </c>
      <c r="Y86" s="314" t="str">
        <f t="shared" ca="1" si="51"/>
        <v/>
      </c>
      <c r="Z86" s="315" t="str">
        <f t="shared" ca="1" si="52"/>
        <v/>
      </c>
      <c r="AA86" s="316" t="str">
        <f t="shared" ca="1" si="53"/>
        <v/>
      </c>
      <c r="AC86" s="310" t="e">
        <f t="shared" ca="1" si="54"/>
        <v>#N/A</v>
      </c>
      <c r="AD86" s="323" t="e">
        <f t="shared" ca="1" si="55"/>
        <v>#N/A</v>
      </c>
      <c r="AE86" s="324">
        <f t="shared" ca="1" si="34"/>
        <v>27.944668393200619</v>
      </c>
      <c r="AG86" s="306">
        <f t="shared" ca="1" si="56"/>
        <v>85.283064699916807</v>
      </c>
      <c r="AH86" s="304">
        <f t="shared" ca="1" si="57"/>
        <v>95.047209409819018</v>
      </c>
    </row>
    <row r="87" spans="1:34" x14ac:dyDescent="0.2">
      <c r="A87" s="347">
        <f t="shared" ca="1" si="35"/>
        <v>0.01</v>
      </c>
      <c r="B87" s="304">
        <f t="shared" ca="1" si="36"/>
        <v>0.83000000000000052</v>
      </c>
      <c r="D87" s="306">
        <f t="shared" ca="1" si="37"/>
        <v>9.18848546460916</v>
      </c>
      <c r="E87" s="307">
        <f t="shared" ca="1" si="38"/>
        <v>84.754454303402028</v>
      </c>
      <c r="F87" s="304">
        <f t="shared" ca="1" si="39"/>
        <v>85.251075004370449</v>
      </c>
      <c r="G87" s="306">
        <f t="shared" ca="1" si="40"/>
        <v>6.8282206619979426</v>
      </c>
      <c r="H87" s="307">
        <f t="shared" ca="1" si="41"/>
        <v>70.175392106189648</v>
      </c>
      <c r="I87" s="304">
        <f t="shared" ca="1" si="42"/>
        <v>70.506809987875627</v>
      </c>
      <c r="J87" s="306">
        <f t="shared" ca="1" si="43"/>
        <v>2.6589192471573</v>
      </c>
      <c r="K87" s="307">
        <f t="shared" ca="1" si="44"/>
        <v>28.642184591547345</v>
      </c>
      <c r="L87" s="304">
        <f t="shared" ca="1" si="29"/>
        <v>28.765336600484542</v>
      </c>
      <c r="M87" s="306">
        <f t="shared" ca="1" si="45"/>
        <v>1.4737994619059447</v>
      </c>
      <c r="N87" s="304">
        <f t="shared" ca="1" si="46"/>
        <v>84.442489015862378</v>
      </c>
      <c r="P87" s="310">
        <f t="shared" ca="1" si="47"/>
        <v>6</v>
      </c>
      <c r="Q87" s="304">
        <f t="shared" ca="1" si="48"/>
        <v>1021.2298245614035</v>
      </c>
      <c r="R87" s="306">
        <f t="shared" ca="1" si="49"/>
        <v>0.51156696489569653</v>
      </c>
      <c r="S87" s="307">
        <f t="shared" ca="1" si="50"/>
        <v>10.583760516774541</v>
      </c>
      <c r="T87" s="304">
        <f t="shared" ca="1" si="30"/>
        <v>103.82669066955826</v>
      </c>
      <c r="U87" s="311">
        <f t="shared" ca="1" si="31"/>
        <v>0</v>
      </c>
      <c r="V87" s="306">
        <f t="shared" ca="1" si="32"/>
        <v>1.2214963499970422</v>
      </c>
      <c r="W87" s="304">
        <f t="shared" ca="1" si="33"/>
        <v>16.053480650225804</v>
      </c>
      <c r="Y87" s="314" t="str">
        <f t="shared" ca="1" si="51"/>
        <v/>
      </c>
      <c r="Z87" s="315" t="str">
        <f t="shared" ca="1" si="52"/>
        <v/>
      </c>
      <c r="AA87" s="316" t="str">
        <f t="shared" ca="1" si="53"/>
        <v/>
      </c>
      <c r="AC87" s="310" t="e">
        <f t="shared" ca="1" si="54"/>
        <v>#N/A</v>
      </c>
      <c r="AD87" s="323" t="e">
        <f t="shared" ca="1" si="55"/>
        <v>#N/A</v>
      </c>
      <c r="AE87" s="324">
        <f t="shared" ca="1" si="34"/>
        <v>28.642184591547345</v>
      </c>
      <c r="AG87" s="306">
        <f t="shared" ca="1" si="56"/>
        <v>85.245795750407694</v>
      </c>
      <c r="AH87" s="304">
        <f t="shared" ca="1" si="57"/>
        <v>95.009811508251843</v>
      </c>
    </row>
    <row r="88" spans="1:34" x14ac:dyDescent="0.2">
      <c r="A88" s="347">
        <f t="shared" ca="1" si="35"/>
        <v>0.01</v>
      </c>
      <c r="B88" s="304">
        <f t="shared" ca="1" si="36"/>
        <v>0.84000000000000052</v>
      </c>
      <c r="D88" s="306">
        <f t="shared" ca="1" si="37"/>
        <v>9.1975415720076583</v>
      </c>
      <c r="E88" s="307">
        <f t="shared" ca="1" si="38"/>
        <v>84.715516701705511</v>
      </c>
      <c r="F88" s="304">
        <f t="shared" ca="1" si="39"/>
        <v>85.213341332245349</v>
      </c>
      <c r="G88" s="306">
        <f t="shared" ca="1" si="40"/>
        <v>6.9201960777180194</v>
      </c>
      <c r="H88" s="307">
        <f t="shared" ca="1" si="41"/>
        <v>71.022547273206698</v>
      </c>
      <c r="I88" s="304">
        <f t="shared" ca="1" si="42"/>
        <v>71.358891071323015</v>
      </c>
      <c r="J88" s="306">
        <f t="shared" ca="1" si="43"/>
        <v>2.7276613308558799</v>
      </c>
      <c r="K88" s="307">
        <f t="shared" ca="1" si="44"/>
        <v>29.348174288444326</v>
      </c>
      <c r="L88" s="304">
        <f t="shared" ca="1" si="29"/>
        <v>29.474658104900065</v>
      </c>
      <c r="M88" s="306">
        <f t="shared" ca="1" si="45"/>
        <v>1.4736663253256002</v>
      </c>
      <c r="N88" s="304">
        <f t="shared" ca="1" si="46"/>
        <v>84.434860851709828</v>
      </c>
      <c r="P88" s="310">
        <f t="shared" ca="1" si="47"/>
        <v>6</v>
      </c>
      <c r="Q88" s="304">
        <f t="shared" ca="1" si="48"/>
        <v>1020.7280701754386</v>
      </c>
      <c r="R88" s="306">
        <f t="shared" ca="1" si="49"/>
        <v>0.51131561993672869</v>
      </c>
      <c r="S88" s="307">
        <f t="shared" ca="1" si="50"/>
        <v>10.578647360575173</v>
      </c>
      <c r="T88" s="304">
        <f t="shared" ca="1" si="30"/>
        <v>103.77653060724245</v>
      </c>
      <c r="U88" s="311">
        <f t="shared" ca="1" si="31"/>
        <v>0</v>
      </c>
      <c r="V88" s="306">
        <f t="shared" ca="1" si="32"/>
        <v>1.2214101164760327</v>
      </c>
      <c r="W88" s="304">
        <f t="shared" ca="1" si="33"/>
        <v>16.442679860661844</v>
      </c>
      <c r="Y88" s="314" t="str">
        <f t="shared" ca="1" si="51"/>
        <v/>
      </c>
      <c r="Z88" s="315" t="str">
        <f t="shared" ca="1" si="52"/>
        <v/>
      </c>
      <c r="AA88" s="316" t="str">
        <f t="shared" ca="1" si="53"/>
        <v/>
      </c>
      <c r="AC88" s="310" t="e">
        <f t="shared" ca="1" si="54"/>
        <v>#N/A</v>
      </c>
      <c r="AD88" s="323" t="e">
        <f t="shared" ca="1" si="55"/>
        <v>#N/A</v>
      </c>
      <c r="AE88" s="324">
        <f t="shared" ca="1" si="34"/>
        <v>29.348174288444326</v>
      </c>
      <c r="AG88" s="306">
        <f t="shared" ca="1" si="56"/>
        <v>85.208045101676035</v>
      </c>
      <c r="AH88" s="304">
        <f t="shared" ca="1" si="57"/>
        <v>94.971933110225862</v>
      </c>
    </row>
    <row r="89" spans="1:34" x14ac:dyDescent="0.2">
      <c r="A89" s="347">
        <f t="shared" ca="1" si="35"/>
        <v>0.01</v>
      </c>
      <c r="B89" s="304">
        <f t="shared" ca="1" si="36"/>
        <v>0.85000000000000053</v>
      </c>
      <c r="D89" s="306">
        <f t="shared" ca="1" si="37"/>
        <v>9.2064063799987537</v>
      </c>
      <c r="E89" s="307">
        <f t="shared" ca="1" si="38"/>
        <v>84.676113543104705</v>
      </c>
      <c r="F89" s="304">
        <f t="shared" ca="1" si="39"/>
        <v>85.175126200073464</v>
      </c>
      <c r="G89" s="306">
        <f t="shared" ca="1" si="40"/>
        <v>7.0122601415180066</v>
      </c>
      <c r="H89" s="307">
        <f t="shared" ca="1" si="41"/>
        <v>71.86930840863775</v>
      </c>
      <c r="I89" s="304">
        <f t="shared" ca="1" si="42"/>
        <v>72.210589828834728</v>
      </c>
      <c r="J89" s="306">
        <f t="shared" ca="1" si="43"/>
        <v>2.7973236119520601</v>
      </c>
      <c r="K89" s="307">
        <f t="shared" ca="1" si="44"/>
        <v>30.062633566853549</v>
      </c>
      <c r="L89" s="304">
        <f t="shared" ca="1" si="29"/>
        <v>30.192498345862244</v>
      </c>
      <c r="M89" s="306">
        <f t="shared" ca="1" si="45"/>
        <v>1.4735345790266325</v>
      </c>
      <c r="N89" s="304">
        <f t="shared" ca="1" si="46"/>
        <v>84.42731234481252</v>
      </c>
      <c r="P89" s="310">
        <f t="shared" ca="1" si="47"/>
        <v>6</v>
      </c>
      <c r="Q89" s="304">
        <f t="shared" ca="1" si="48"/>
        <v>1020.2263157894737</v>
      </c>
      <c r="R89" s="306">
        <f t="shared" ca="1" si="49"/>
        <v>0.51106427497776075</v>
      </c>
      <c r="S89" s="307">
        <f t="shared" ca="1" si="50"/>
        <v>10.573536717825396</v>
      </c>
      <c r="T89" s="304">
        <f t="shared" ca="1" si="30"/>
        <v>103.72639520186715</v>
      </c>
      <c r="U89" s="311">
        <f t="shared" ca="1" si="31"/>
        <v>0</v>
      </c>
      <c r="V89" s="306">
        <f t="shared" ca="1" si="32"/>
        <v>1.2213228546217645</v>
      </c>
      <c r="W89" s="304">
        <f t="shared" ca="1" si="33"/>
        <v>16.836320035015529</v>
      </c>
      <c r="Y89" s="314" t="str">
        <f t="shared" ca="1" si="51"/>
        <v/>
      </c>
      <c r="Z89" s="315" t="str">
        <f t="shared" ca="1" si="52"/>
        <v/>
      </c>
      <c r="AA89" s="316" t="str">
        <f t="shared" ca="1" si="53"/>
        <v/>
      </c>
      <c r="AC89" s="310" t="e">
        <f t="shared" ca="1" si="54"/>
        <v>#N/A</v>
      </c>
      <c r="AD89" s="323" t="e">
        <f t="shared" ca="1" si="55"/>
        <v>#N/A</v>
      </c>
      <c r="AE89" s="324">
        <f t="shared" ca="1" si="34"/>
        <v>30.062633566853549</v>
      </c>
      <c r="AG89" s="306">
        <f t="shared" ca="1" si="56"/>
        <v>85.169813082895999</v>
      </c>
      <c r="AH89" s="304">
        <f t="shared" ca="1" si="57"/>
        <v>94.933574518787381</v>
      </c>
    </row>
    <row r="90" spans="1:34" x14ac:dyDescent="0.2">
      <c r="A90" s="347">
        <f t="shared" ca="1" si="35"/>
        <v>0.01</v>
      </c>
      <c r="B90" s="304">
        <f t="shared" ca="1" si="36"/>
        <v>0.86000000000000054</v>
      </c>
      <c r="D90" s="306">
        <f t="shared" ca="1" si="37"/>
        <v>9.2150829513881156</v>
      </c>
      <c r="E90" s="307">
        <f t="shared" ca="1" si="38"/>
        <v>84.636244902306601</v>
      </c>
      <c r="F90" s="304">
        <f t="shared" ca="1" si="39"/>
        <v>85.13642995195525</v>
      </c>
      <c r="G90" s="306">
        <f t="shared" ca="1" si="40"/>
        <v>7.1044109710318875</v>
      </c>
      <c r="H90" s="307">
        <f t="shared" ca="1" si="41"/>
        <v>72.715670857660811</v>
      </c>
      <c r="I90" s="304">
        <f t="shared" ca="1" si="42"/>
        <v>73.061901450242729</v>
      </c>
      <c r="J90" s="306">
        <f t="shared" ca="1" si="43"/>
        <v>2.8679069675148097</v>
      </c>
      <c r="K90" s="307">
        <f t="shared" ca="1" si="44"/>
        <v>30.785558463185041</v>
      </c>
      <c r="L90" s="304">
        <f t="shared" ca="1" si="29"/>
        <v>30.918853475905344</v>
      </c>
      <c r="M90" s="306">
        <f t="shared" ca="1" si="45"/>
        <v>1.473404191764895</v>
      </c>
      <c r="N90" s="304">
        <f t="shared" ca="1" si="46"/>
        <v>84.419841705012686</v>
      </c>
      <c r="P90" s="310">
        <f t="shared" ca="1" si="47"/>
        <v>6</v>
      </c>
      <c r="Q90" s="304">
        <f t="shared" ca="1" si="48"/>
        <v>1019.7245614035087</v>
      </c>
      <c r="R90" s="306">
        <f t="shared" ca="1" si="49"/>
        <v>0.51081293001879291</v>
      </c>
      <c r="S90" s="307">
        <f t="shared" ca="1" si="50"/>
        <v>10.568428588525208</v>
      </c>
      <c r="T90" s="304">
        <f t="shared" ca="1" si="30"/>
        <v>103.6762844534323</v>
      </c>
      <c r="U90" s="311">
        <f t="shared" ca="1" si="31"/>
        <v>0</v>
      </c>
      <c r="V90" s="306">
        <f t="shared" ca="1" si="32"/>
        <v>1.2212345651390129</v>
      </c>
      <c r="W90" s="304">
        <f t="shared" ca="1" si="33"/>
        <v>17.234390641975828</v>
      </c>
      <c r="Y90" s="314" t="str">
        <f t="shared" ca="1" si="51"/>
        <v/>
      </c>
      <c r="Z90" s="315" t="str">
        <f t="shared" ca="1" si="52"/>
        <v/>
      </c>
      <c r="AA90" s="316" t="str">
        <f t="shared" ca="1" si="53"/>
        <v/>
      </c>
      <c r="AC90" s="310" t="e">
        <f t="shared" ca="1" si="54"/>
        <v>#N/A</v>
      </c>
      <c r="AD90" s="323" t="e">
        <f t="shared" ca="1" si="55"/>
        <v>#N/A</v>
      </c>
      <c r="AE90" s="324">
        <f t="shared" ca="1" si="34"/>
        <v>30.785558463185041</v>
      </c>
      <c r="AG90" s="306">
        <f t="shared" ca="1" si="56"/>
        <v>85.131100035121662</v>
      </c>
      <c r="AH90" s="304">
        <f t="shared" ca="1" si="57"/>
        <v>94.894736049727442</v>
      </c>
    </row>
    <row r="91" spans="1:34" x14ac:dyDescent="0.2">
      <c r="A91" s="347">
        <f t="shared" ca="1" si="35"/>
        <v>0.01</v>
      </c>
      <c r="B91" s="304">
        <f t="shared" ca="1" si="36"/>
        <v>0.87000000000000055</v>
      </c>
      <c r="D91" s="306">
        <f t="shared" ca="1" si="37"/>
        <v>9.223574245248221</v>
      </c>
      <c r="E91" s="307">
        <f t="shared" ca="1" si="38"/>
        <v>84.595910874726741</v>
      </c>
      <c r="F91" s="304">
        <f t="shared" ca="1" si="39"/>
        <v>85.097252943807277</v>
      </c>
      <c r="G91" s="306">
        <f t="shared" ca="1" si="40"/>
        <v>7.1966467134843697</v>
      </c>
      <c r="H91" s="307">
        <f t="shared" ca="1" si="41"/>
        <v>73.561629966408077</v>
      </c>
      <c r="I91" s="304">
        <f t="shared" ca="1" si="42"/>
        <v>73.912821128904639</v>
      </c>
      <c r="J91" s="306">
        <f t="shared" ca="1" si="43"/>
        <v>2.9394122559373907</v>
      </c>
      <c r="K91" s="307">
        <f t="shared" ca="1" si="44"/>
        <v>31.516944967305385</v>
      </c>
      <c r="L91" s="304">
        <f t="shared" ca="1" si="29"/>
        <v>31.653719599480109</v>
      </c>
      <c r="M91" s="306">
        <f t="shared" ca="1" si="45"/>
        <v>1.4732751333474532</v>
      </c>
      <c r="N91" s="304">
        <f t="shared" ca="1" si="46"/>
        <v>84.412447202382637</v>
      </c>
      <c r="P91" s="310">
        <f t="shared" ca="1" si="47"/>
        <v>6</v>
      </c>
      <c r="Q91" s="304">
        <f t="shared" ca="1" si="48"/>
        <v>1019.2228070175438</v>
      </c>
      <c r="R91" s="306">
        <f t="shared" ca="1" si="49"/>
        <v>0.51056158505982496</v>
      </c>
      <c r="S91" s="307">
        <f t="shared" ca="1" si="50"/>
        <v>10.563322972674611</v>
      </c>
      <c r="T91" s="304">
        <f t="shared" ca="1" si="30"/>
        <v>103.62619836193794</v>
      </c>
      <c r="U91" s="311">
        <f t="shared" ca="1" si="31"/>
        <v>0</v>
      </c>
      <c r="V91" s="306">
        <f t="shared" ca="1" si="32"/>
        <v>1.2211452487406704</v>
      </c>
      <c r="W91" s="304">
        <f t="shared" ca="1" si="33"/>
        <v>17.636881029806837</v>
      </c>
      <c r="Y91" s="314" t="str">
        <f t="shared" ca="1" si="51"/>
        <v/>
      </c>
      <c r="Z91" s="315" t="str">
        <f t="shared" ca="1" si="52"/>
        <v/>
      </c>
      <c r="AA91" s="316" t="str">
        <f t="shared" ca="1" si="53"/>
        <v/>
      </c>
      <c r="AC91" s="310" t="e">
        <f t="shared" ca="1" si="54"/>
        <v>#N/A</v>
      </c>
      <c r="AD91" s="323" t="e">
        <f t="shared" ca="1" si="55"/>
        <v>#N/A</v>
      </c>
      <c r="AE91" s="324">
        <f t="shared" ca="1" si="34"/>
        <v>31.516944967305385</v>
      </c>
      <c r="AG91" s="306">
        <f t="shared" ca="1" si="56"/>
        <v>85.091906311316691</v>
      </c>
      <c r="AH91" s="304">
        <f t="shared" ca="1" si="57"/>
        <v>94.855418031572952</v>
      </c>
    </row>
    <row r="92" spans="1:34" x14ac:dyDescent="0.2">
      <c r="A92" s="347">
        <f t="shared" ca="1" si="35"/>
        <v>0.01</v>
      </c>
      <c r="B92" s="304">
        <f t="shared" ca="1" si="36"/>
        <v>0.88000000000000056</v>
      </c>
      <c r="D92" s="306">
        <f t="shared" ca="1" si="37"/>
        <v>9.231883121703671</v>
      </c>
      <c r="E92" s="307">
        <f t="shared" ca="1" si="38"/>
        <v>84.555111576123309</v>
      </c>
      <c r="F92" s="304">
        <f t="shared" ca="1" si="39"/>
        <v>85.057595543393177</v>
      </c>
      <c r="G92" s="306">
        <f t="shared" ca="1" si="40"/>
        <v>7.2889655447014068</v>
      </c>
      <c r="H92" s="307">
        <f t="shared" ca="1" si="41"/>
        <v>74.407181082169316</v>
      </c>
      <c r="I92" s="304">
        <f t="shared" ca="1" si="42"/>
        <v>74.763344061823375</v>
      </c>
      <c r="J92" s="306">
        <f t="shared" ca="1" si="43"/>
        <v>3.0118403172283195</v>
      </c>
      <c r="K92" s="307">
        <f t="shared" ca="1" si="44"/>
        <v>32.256789022548269</v>
      </c>
      <c r="L92" s="304">
        <f t="shared" ca="1" si="29"/>
        <v>32.397092772989254</v>
      </c>
      <c r="M92" s="306">
        <f t="shared" ca="1" si="45"/>
        <v>1.4731473745854937</v>
      </c>
      <c r="N92" s="304">
        <f t="shared" ca="1" si="46"/>
        <v>84.405127164526547</v>
      </c>
      <c r="P92" s="310">
        <f t="shared" ca="1" si="47"/>
        <v>6</v>
      </c>
      <c r="Q92" s="304">
        <f t="shared" ca="1" si="48"/>
        <v>1018.7210526315789</v>
      </c>
      <c r="R92" s="306">
        <f t="shared" ca="1" si="49"/>
        <v>0.51031024010085713</v>
      </c>
      <c r="S92" s="307">
        <f t="shared" ca="1" si="50"/>
        <v>10.558219870273602</v>
      </c>
      <c r="T92" s="304">
        <f t="shared" ca="1" si="30"/>
        <v>103.57613692738404</v>
      </c>
      <c r="U92" s="311">
        <f t="shared" ca="1" si="31"/>
        <v>0</v>
      </c>
      <c r="V92" s="306">
        <f t="shared" ca="1" si="32"/>
        <v>1.2210549061477414</v>
      </c>
      <c r="W92" s="304">
        <f t="shared" ca="1" si="33"/>
        <v>18.043780426772326</v>
      </c>
      <c r="Y92" s="314" t="str">
        <f t="shared" ca="1" si="51"/>
        <v/>
      </c>
      <c r="Z92" s="315" t="str">
        <f t="shared" ca="1" si="52"/>
        <v/>
      </c>
      <c r="AA92" s="316" t="str">
        <f t="shared" ca="1" si="53"/>
        <v/>
      </c>
      <c r="AC92" s="310" t="e">
        <f t="shared" ca="1" si="54"/>
        <v>#N/A</v>
      </c>
      <c r="AD92" s="323" t="e">
        <f t="shared" ca="1" si="55"/>
        <v>#N/A</v>
      </c>
      <c r="AE92" s="324">
        <f t="shared" ca="1" si="34"/>
        <v>32.256789022548269</v>
      </c>
      <c r="AG92" s="306">
        <f t="shared" ca="1" si="56"/>
        <v>85.052232276381176</v>
      </c>
      <c r="AH92" s="304">
        <f t="shared" ca="1" si="57"/>
        <v>94.815620805577169</v>
      </c>
    </row>
    <row r="93" spans="1:34" x14ac:dyDescent="0.2">
      <c r="A93" s="347">
        <f t="shared" ca="1" si="35"/>
        <v>0.01</v>
      </c>
      <c r="B93" s="304">
        <f t="shared" ca="1" si="36"/>
        <v>0.89000000000000057</v>
      </c>
      <c r="D93" s="306">
        <f t="shared" ca="1" si="37"/>
        <v>9.2400123464467558</v>
      </c>
      <c r="E93" s="307">
        <f t="shared" ca="1" si="38"/>
        <v>84.513847142250228</v>
      </c>
      <c r="F93" s="304">
        <f t="shared" ca="1" si="39"/>
        <v>85.017458130351827</v>
      </c>
      <c r="G93" s="306">
        <f t="shared" ca="1" si="40"/>
        <v>7.3813656681658744</v>
      </c>
      <c r="H93" s="307">
        <f t="shared" ca="1" si="41"/>
        <v>75.252319553591818</v>
      </c>
      <c r="I93" s="304">
        <f t="shared" ca="1" si="42"/>
        <v>75.613465449766792</v>
      </c>
      <c r="J93" s="306">
        <f t="shared" ca="1" si="43"/>
        <v>3.0851919732926558</v>
      </c>
      <c r="K93" s="307">
        <f t="shared" ca="1" si="44"/>
        <v>33.005086525727073</v>
      </c>
      <c r="L93" s="304">
        <f t="shared" ca="1" si="29"/>
        <v>33.148969004824274</v>
      </c>
      <c r="M93" s="306">
        <f t="shared" ca="1" si="45"/>
        <v>1.4730208872498551</v>
      </c>
      <c r="N93" s="304">
        <f t="shared" ca="1" si="46"/>
        <v>84.397879974032591</v>
      </c>
      <c r="P93" s="310">
        <f t="shared" ca="1" si="47"/>
        <v>6</v>
      </c>
      <c r="Q93" s="304">
        <f t="shared" ca="1" si="48"/>
        <v>1018.219298245614</v>
      </c>
      <c r="R93" s="306">
        <f t="shared" ca="1" si="49"/>
        <v>0.51005889514188918</v>
      </c>
      <c r="S93" s="307">
        <f t="shared" ca="1" si="50"/>
        <v>10.553119281322182</v>
      </c>
      <c r="T93" s="304">
        <f t="shared" ca="1" si="30"/>
        <v>103.52610014977061</v>
      </c>
      <c r="U93" s="311">
        <f t="shared" ca="1" si="31"/>
        <v>0</v>
      </c>
      <c r="V93" s="306">
        <f t="shared" ca="1" si="32"/>
        <v>1.2209635380893298</v>
      </c>
      <c r="W93" s="304">
        <f t="shared" ca="1" si="33"/>
        <v>18.455077941566977</v>
      </c>
      <c r="Y93" s="314" t="str">
        <f t="shared" ca="1" si="51"/>
        <v/>
      </c>
      <c r="Z93" s="315" t="str">
        <f t="shared" ca="1" si="52"/>
        <v/>
      </c>
      <c r="AA93" s="316" t="str">
        <f t="shared" ca="1" si="53"/>
        <v/>
      </c>
      <c r="AC93" s="310" t="e">
        <f t="shared" ca="1" si="54"/>
        <v>#N/A</v>
      </c>
      <c r="AD93" s="323" t="e">
        <f t="shared" ca="1" si="55"/>
        <v>#N/A</v>
      </c>
      <c r="AE93" s="324">
        <f t="shared" ca="1" si="34"/>
        <v>33.005086525727073</v>
      </c>
      <c r="AG93" s="306">
        <f t="shared" ca="1" si="56"/>
        <v>85.012078307175813</v>
      </c>
      <c r="AH93" s="304">
        <f t="shared" ca="1" si="57"/>
        <v>94.775344725709516</v>
      </c>
    </row>
    <row r="94" spans="1:34" x14ac:dyDescent="0.2">
      <c r="A94" s="347">
        <f t="shared" ca="1" si="35"/>
        <v>0.01</v>
      </c>
      <c r="B94" s="304">
        <f t="shared" ca="1" si="36"/>
        <v>0.90000000000000058</v>
      </c>
      <c r="D94" s="306">
        <f t="shared" ca="1" si="37"/>
        <v>9.2479645950011182</v>
      </c>
      <c r="E94" s="307">
        <f t="shared" ca="1" si="38"/>
        <v>84.472117728527635</v>
      </c>
      <c r="F94" s="304">
        <f t="shared" ca="1" si="39"/>
        <v>84.976841096222373</v>
      </c>
      <c r="G94" s="306">
        <f t="shared" ca="1" si="40"/>
        <v>7.4738453141158852</v>
      </c>
      <c r="H94" s="307">
        <f t="shared" ca="1" si="41"/>
        <v>76.097040730877097</v>
      </c>
      <c r="I94" s="304">
        <f t="shared" ca="1" si="42"/>
        <v>76.463180497387754</v>
      </c>
      <c r="J94" s="306">
        <f t="shared" ca="1" si="43"/>
        <v>3.1594680282040648</v>
      </c>
      <c r="K94" s="307">
        <f t="shared" ca="1" si="44"/>
        <v>33.761833327149418</v>
      </c>
      <c r="L94" s="304">
        <f t="shared" ca="1" si="29"/>
        <v>33.909344255403418</v>
      </c>
      <c r="M94" s="306">
        <f t="shared" ca="1" si="45"/>
        <v>1.4728956440290084</v>
      </c>
      <c r="N94" s="304">
        <f t="shared" ca="1" si="46"/>
        <v>84.390704066065453</v>
      </c>
      <c r="P94" s="310">
        <f t="shared" ca="1" si="47"/>
        <v>6</v>
      </c>
      <c r="Q94" s="304">
        <f t="shared" ca="1" si="48"/>
        <v>1017.7175438596491</v>
      </c>
      <c r="R94" s="306">
        <f t="shared" ca="1" si="49"/>
        <v>0.50980755018292134</v>
      </c>
      <c r="S94" s="307">
        <f t="shared" ca="1" si="50"/>
        <v>10.548021205820353</v>
      </c>
      <c r="T94" s="304">
        <f t="shared" ca="1" si="30"/>
        <v>103.47608802909767</v>
      </c>
      <c r="U94" s="311">
        <f t="shared" ca="1" si="31"/>
        <v>0</v>
      </c>
      <c r="V94" s="306">
        <f t="shared" ca="1" si="32"/>
        <v>1.2208711453026306</v>
      </c>
      <c r="W94" s="304">
        <f t="shared" ca="1" si="33"/>
        <v>18.87076256375461</v>
      </c>
      <c r="Y94" s="314" t="str">
        <f t="shared" ca="1" si="51"/>
        <v/>
      </c>
      <c r="Z94" s="315" t="str">
        <f t="shared" ca="1" si="52"/>
        <v/>
      </c>
      <c r="AA94" s="316" t="str">
        <f t="shared" ca="1" si="53"/>
        <v/>
      </c>
      <c r="AC94" s="310" t="e">
        <f t="shared" ca="1" si="54"/>
        <v>#N/A</v>
      </c>
      <c r="AD94" s="323" t="e">
        <f t="shared" ca="1" si="55"/>
        <v>#N/A</v>
      </c>
      <c r="AE94" s="324">
        <f t="shared" ca="1" si="34"/>
        <v>33.761833327149418</v>
      </c>
      <c r="AG94" s="306">
        <f t="shared" ca="1" si="56"/>
        <v>84.97144479254338</v>
      </c>
      <c r="AH94" s="304">
        <f t="shared" ca="1" si="57"/>
        <v>94.73459015864448</v>
      </c>
    </row>
    <row r="95" spans="1:34" x14ac:dyDescent="0.2">
      <c r="A95" s="347">
        <f t="shared" ca="1" si="35"/>
        <v>0.01</v>
      </c>
      <c r="B95" s="304">
        <f t="shared" ca="1" si="36"/>
        <v>0.91000000000000059</v>
      </c>
      <c r="D95" s="306">
        <f t="shared" ca="1" si="37"/>
        <v>9.2557424567501911</v>
      </c>
      <c r="E95" s="307">
        <f t="shared" ca="1" si="38"/>
        <v>84.429923509729107</v>
      </c>
      <c r="F95" s="304">
        <f t="shared" ca="1" si="39"/>
        <v>84.935744844466953</v>
      </c>
      <c r="G95" s="306">
        <f t="shared" ca="1" si="40"/>
        <v>7.5664027386833874</v>
      </c>
      <c r="H95" s="307">
        <f t="shared" ca="1" si="41"/>
        <v>76.941339965974393</v>
      </c>
      <c r="I95" s="304">
        <f t="shared" ca="1" si="42"/>
        <v>77.312484413344293</v>
      </c>
      <c r="J95" s="306">
        <f t="shared" ca="1" si="43"/>
        <v>3.2346692684680614</v>
      </c>
      <c r="K95" s="307">
        <f t="shared" ca="1" si="44"/>
        <v>34.527025230633676</v>
      </c>
      <c r="L95" s="304">
        <f t="shared" ca="1" si="29"/>
        <v>34.678214437210947</v>
      </c>
      <c r="M95" s="306">
        <f t="shared" ca="1" si="45"/>
        <v>1.4727716184893227</v>
      </c>
      <c r="N95" s="304">
        <f t="shared" ca="1" si="46"/>
        <v>84.383597926089635</v>
      </c>
      <c r="P95" s="310">
        <f t="shared" ca="1" si="47"/>
        <v>6</v>
      </c>
      <c r="Q95" s="304">
        <f t="shared" ca="1" si="48"/>
        <v>1017.2157894736841</v>
      </c>
      <c r="R95" s="306">
        <f t="shared" ca="1" si="49"/>
        <v>0.5095562052239534</v>
      </c>
      <c r="S95" s="307">
        <f t="shared" ca="1" si="50"/>
        <v>10.542925643768113</v>
      </c>
      <c r="T95" s="304">
        <f t="shared" ca="1" si="30"/>
        <v>103.42610056536519</v>
      </c>
      <c r="U95" s="311">
        <f t="shared" ca="1" si="31"/>
        <v>0</v>
      </c>
      <c r="V95" s="306">
        <f t="shared" ca="1" si="32"/>
        <v>1.2207777285329213</v>
      </c>
      <c r="W95" s="304">
        <f t="shared" ca="1" si="33"/>
        <v>19.29082316421324</v>
      </c>
      <c r="Y95" s="314" t="str">
        <f t="shared" ca="1" si="51"/>
        <v/>
      </c>
      <c r="Z95" s="315" t="str">
        <f t="shared" ca="1" si="52"/>
        <v/>
      </c>
      <c r="AA95" s="316" t="str">
        <f t="shared" ca="1" si="53"/>
        <v/>
      </c>
      <c r="AC95" s="310" t="e">
        <f t="shared" ca="1" si="54"/>
        <v>#N/A</v>
      </c>
      <c r="AD95" s="323" t="e">
        <f t="shared" ca="1" si="55"/>
        <v>#N/A</v>
      </c>
      <c r="AE95" s="324">
        <f t="shared" ca="1" si="34"/>
        <v>34.527025230633676</v>
      </c>
      <c r="AG95" s="306">
        <f t="shared" ca="1" si="56"/>
        <v>84.930332133327852</v>
      </c>
      <c r="AH95" s="304">
        <f t="shared" ca="1" si="57"/>
        <v>94.693357483750049</v>
      </c>
    </row>
    <row r="96" spans="1:34" x14ac:dyDescent="0.2">
      <c r="A96" s="347">
        <f t="shared" ca="1" si="35"/>
        <v>0.01</v>
      </c>
      <c r="B96" s="304">
        <f t="shared" ca="1" si="36"/>
        <v>0.9200000000000006</v>
      </c>
      <c r="D96" s="306">
        <f t="shared" ca="1" si="37"/>
        <v>9.2633484387461227</v>
      </c>
      <c r="E96" s="307">
        <f t="shared" ca="1" si="38"/>
        <v>84.387264679683895</v>
      </c>
      <c r="F96" s="304">
        <f t="shared" ca="1" si="39"/>
        <v>84.894169790490594</v>
      </c>
      <c r="G96" s="306">
        <f t="shared" ca="1" si="40"/>
        <v>7.6590362230708484</v>
      </c>
      <c r="H96" s="307">
        <f t="shared" ca="1" si="41"/>
        <v>77.785212612771232</v>
      </c>
      <c r="I96" s="304">
        <f t="shared" ca="1" si="42"/>
        <v>78.161372410419816</v>
      </c>
      <c r="J96" s="306">
        <f t="shared" ca="1" si="43"/>
        <v>3.3107964632768327</v>
      </c>
      <c r="K96" s="307">
        <f t="shared" ca="1" si="44"/>
        <v>35.300657993527402</v>
      </c>
      <c r="L96" s="304">
        <f t="shared" ca="1" si="29"/>
        <v>35.455575414837597</v>
      </c>
      <c r="M96" s="306">
        <f t="shared" ca="1" si="45"/>
        <v>1.472648785037473</v>
      </c>
      <c r="N96" s="304">
        <f t="shared" ca="1" si="46"/>
        <v>84.376560087715617</v>
      </c>
      <c r="P96" s="310">
        <f t="shared" ca="1" si="47"/>
        <v>6</v>
      </c>
      <c r="Q96" s="304">
        <f t="shared" ca="1" si="48"/>
        <v>1016.7140350877193</v>
      </c>
      <c r="R96" s="306">
        <f t="shared" ca="1" si="49"/>
        <v>0.50930486026498556</v>
      </c>
      <c r="S96" s="307">
        <f t="shared" ca="1" si="50"/>
        <v>10.537832595165463</v>
      </c>
      <c r="T96" s="304">
        <f t="shared" ca="1" si="30"/>
        <v>103.37613775857321</v>
      </c>
      <c r="U96" s="311">
        <f t="shared" ca="1" si="31"/>
        <v>0</v>
      </c>
      <c r="V96" s="306">
        <f t="shared" ca="1" si="32"/>
        <v>1.2206832885335497</v>
      </c>
      <c r="W96" s="304">
        <f t="shared" ca="1" si="33"/>
        <v>19.715248495586788</v>
      </c>
      <c r="Y96" s="314" t="str">
        <f t="shared" ca="1" si="51"/>
        <v/>
      </c>
      <c r="Z96" s="315" t="str">
        <f t="shared" ca="1" si="52"/>
        <v/>
      </c>
      <c r="AA96" s="316" t="str">
        <f t="shared" ca="1" si="53"/>
        <v/>
      </c>
      <c r="AC96" s="310" t="e">
        <f t="shared" ca="1" si="54"/>
        <v>#N/A</v>
      </c>
      <c r="AD96" s="323" t="e">
        <f t="shared" ca="1" si="55"/>
        <v>#N/A</v>
      </c>
      <c r="AE96" s="324">
        <f t="shared" ca="1" si="34"/>
        <v>35.300657993527402</v>
      </c>
      <c r="AG96" s="306">
        <f t="shared" ca="1" si="56"/>
        <v>84.888740742391008</v>
      </c>
      <c r="AH96" s="304">
        <f t="shared" ca="1" si="57"/>
        <v>94.651647093075169</v>
      </c>
    </row>
    <row r="97" spans="1:34" x14ac:dyDescent="0.2">
      <c r="A97" s="347">
        <f t="shared" ca="1" si="35"/>
        <v>0.01</v>
      </c>
      <c r="B97" s="304">
        <f t="shared" ca="1" si="36"/>
        <v>0.9300000000000006</v>
      </c>
      <c r="D97" s="306">
        <f t="shared" ca="1" si="37"/>
        <v>9.270784969313036</v>
      </c>
      <c r="E97" s="307">
        <f t="shared" ca="1" si="38"/>
        <v>84.344141450993789</v>
      </c>
      <c r="F97" s="304">
        <f t="shared" ca="1" si="39"/>
        <v>84.85211636165883</v>
      </c>
      <c r="G97" s="306">
        <f t="shared" ca="1" si="40"/>
        <v>7.7517440727639784</v>
      </c>
      <c r="H97" s="307">
        <f t="shared" ca="1" si="41"/>
        <v>78.628654027281172</v>
      </c>
      <c r="I97" s="304">
        <f t="shared" ca="1" si="42"/>
        <v>79.009839705643699</v>
      </c>
      <c r="J97" s="306">
        <f t="shared" ca="1" si="43"/>
        <v>3.387850364756007</v>
      </c>
      <c r="K97" s="307">
        <f t="shared" ca="1" si="44"/>
        <v>36.082727326727664</v>
      </c>
      <c r="L97" s="304">
        <f t="shared" ca="1" si="29"/>
        <v>36.241423005022263</v>
      </c>
      <c r="M97" s="306">
        <f t="shared" ca="1" si="45"/>
        <v>1.4725271188848486</v>
      </c>
      <c r="N97" s="304">
        <f t="shared" ca="1" si="46"/>
        <v>84.369589130660643</v>
      </c>
      <c r="P97" s="310">
        <f t="shared" ca="1" si="47"/>
        <v>6</v>
      </c>
      <c r="Q97" s="304">
        <f t="shared" ca="1" si="48"/>
        <v>1016.2122807017544</v>
      </c>
      <c r="R97" s="306">
        <f t="shared" ca="1" si="49"/>
        <v>0.50905351530601761</v>
      </c>
      <c r="S97" s="307">
        <f t="shared" ca="1" si="50"/>
        <v>10.532742060012403</v>
      </c>
      <c r="T97" s="304">
        <f t="shared" ca="1" si="30"/>
        <v>103.32619960872168</v>
      </c>
      <c r="U97" s="311">
        <f t="shared" ca="1" si="31"/>
        <v>0</v>
      </c>
      <c r="V97" s="306">
        <f t="shared" ca="1" si="32"/>
        <v>1.2205878260659251</v>
      </c>
      <c r="W97" s="304">
        <f t="shared" ca="1" si="33"/>
        <v>20.14402719274376</v>
      </c>
      <c r="Y97" s="314" t="str">
        <f t="shared" ca="1" si="51"/>
        <v/>
      </c>
      <c r="Z97" s="315" t="str">
        <f t="shared" ca="1" si="52"/>
        <v/>
      </c>
      <c r="AA97" s="316" t="str">
        <f t="shared" ca="1" si="53"/>
        <v/>
      </c>
      <c r="AC97" s="310" t="e">
        <f t="shared" ca="1" si="54"/>
        <v>#N/A</v>
      </c>
      <c r="AD97" s="323" t="e">
        <f t="shared" ca="1" si="55"/>
        <v>#N/A</v>
      </c>
      <c r="AE97" s="324">
        <f t="shared" ca="1" si="34"/>
        <v>36.082727326727664</v>
      </c>
      <c r="AG97" s="306">
        <f t="shared" ca="1" si="56"/>
        <v>84.846671044626973</v>
      </c>
      <c r="AH97" s="304">
        <f t="shared" ca="1" si="57"/>
        <v>94.609459391336699</v>
      </c>
    </row>
    <row r="98" spans="1:34" x14ac:dyDescent="0.2">
      <c r="A98" s="347">
        <f t="shared" ca="1" si="35"/>
        <v>0.01</v>
      </c>
      <c r="B98" s="304">
        <f t="shared" ca="1" si="36"/>
        <v>0.94000000000000061</v>
      </c>
      <c r="D98" s="306">
        <f t="shared" ca="1" si="37"/>
        <v>9.2780544014581192</v>
      </c>
      <c r="E98" s="307">
        <f t="shared" ca="1" si="38"/>
        <v>84.300554054762969</v>
      </c>
      <c r="F98" s="304">
        <f t="shared" ca="1" si="39"/>
        <v>84.809584997312825</v>
      </c>
      <c r="G98" s="306">
        <f t="shared" ca="1" si="40"/>
        <v>7.8445246167785596</v>
      </c>
      <c r="H98" s="307">
        <f t="shared" ca="1" si="41"/>
        <v>79.471659567828809</v>
      </c>
      <c r="I98" s="304">
        <f t="shared" ca="1" si="42"/>
        <v>79.857881520411752</v>
      </c>
      <c r="J98" s="306">
        <f t="shared" ca="1" si="43"/>
        <v>3.4658317082037198</v>
      </c>
      <c r="K98" s="307">
        <f t="shared" ca="1" si="44"/>
        <v>36.87322889470321</v>
      </c>
      <c r="L98" s="304">
        <f t="shared" ca="1" si="29"/>
        <v>37.035752976694916</v>
      </c>
      <c r="M98" s="306">
        <f t="shared" ca="1" si="45"/>
        <v>1.4724065960138359</v>
      </c>
      <c r="N98" s="304">
        <f t="shared" ca="1" si="46"/>
        <v>84.362683678816822</v>
      </c>
      <c r="P98" s="310">
        <f t="shared" ca="1" si="47"/>
        <v>6</v>
      </c>
      <c r="Q98" s="304">
        <f t="shared" ca="1" si="48"/>
        <v>1015.7105263157895</v>
      </c>
      <c r="R98" s="306">
        <f t="shared" ca="1" si="49"/>
        <v>0.50880217034704978</v>
      </c>
      <c r="S98" s="307">
        <f t="shared" ca="1" si="50"/>
        <v>10.527654038308933</v>
      </c>
      <c r="T98" s="304">
        <f t="shared" ca="1" si="30"/>
        <v>103.27628611581063</v>
      </c>
      <c r="U98" s="311">
        <f t="shared" ca="1" si="31"/>
        <v>0</v>
      </c>
      <c r="V98" s="306">
        <f t="shared" ca="1" si="32"/>
        <v>1.2204913418995065</v>
      </c>
      <c r="W98" s="304">
        <f t="shared" ca="1" si="33"/>
        <v>20.57714777324248</v>
      </c>
      <c r="Y98" s="314" t="str">
        <f t="shared" ca="1" si="51"/>
        <v/>
      </c>
      <c r="Z98" s="315" t="str">
        <f t="shared" ca="1" si="52"/>
        <v/>
      </c>
      <c r="AA98" s="316" t="str">
        <f t="shared" ca="1" si="53"/>
        <v/>
      </c>
      <c r="AC98" s="310" t="e">
        <f t="shared" ca="1" si="54"/>
        <v>#N/A</v>
      </c>
      <c r="AD98" s="323" t="e">
        <f t="shared" ca="1" si="55"/>
        <v>#N/A</v>
      </c>
      <c r="AE98" s="324">
        <f t="shared" ca="1" si="34"/>
        <v>36.87322889470321</v>
      </c>
      <c r="AG98" s="306">
        <f t="shared" ca="1" si="56"/>
        <v>84.80412347697434</v>
      </c>
      <c r="AH98" s="304">
        <f t="shared" ca="1" si="57"/>
        <v>94.566794795905395</v>
      </c>
    </row>
    <row r="99" spans="1:34" x14ac:dyDescent="0.2">
      <c r="A99" s="347">
        <f t="shared" ca="1" si="35"/>
        <v>0.01</v>
      </c>
      <c r="B99" s="304">
        <f t="shared" ca="1" si="36"/>
        <v>0.95000000000000062</v>
      </c>
      <c r="D99" s="306">
        <f t="shared" ca="1" si="37"/>
        <v>9.2851590161027069</v>
      </c>
      <c r="E99" s="307">
        <f t="shared" ca="1" si="38"/>
        <v>84.256502740340721</v>
      </c>
      <c r="F99" s="304">
        <f t="shared" ca="1" si="39"/>
        <v>84.76657614878259</v>
      </c>
      <c r="G99" s="306">
        <f t="shared" ca="1" si="40"/>
        <v>7.9373762069395868</v>
      </c>
      <c r="H99" s="307">
        <f t="shared" ca="1" si="41"/>
        <v>80.314224595232218</v>
      </c>
      <c r="I99" s="304">
        <f t="shared" ca="1" si="42"/>
        <v>80.705493080606942</v>
      </c>
      <c r="J99" s="306">
        <f t="shared" ca="1" si="43"/>
        <v>3.5447412123223105</v>
      </c>
      <c r="K99" s="307">
        <f t="shared" ca="1" si="44"/>
        <v>37.672158315518516</v>
      </c>
      <c r="L99" s="304">
        <f t="shared" ca="1" si="29"/>
        <v>37.838561051020783</v>
      </c>
      <c r="M99" s="306">
        <f t="shared" ca="1" si="45"/>
        <v>1.4722871931458597</v>
      </c>
      <c r="N99" s="304">
        <f t="shared" ca="1" si="46"/>
        <v>84.355842398420023</v>
      </c>
      <c r="P99" s="310">
        <f t="shared" ca="1" si="47"/>
        <v>6</v>
      </c>
      <c r="Q99" s="304">
        <f t="shared" ca="1" si="48"/>
        <v>1015.2087719298245</v>
      </c>
      <c r="R99" s="306">
        <f t="shared" ca="1" si="49"/>
        <v>0.50855082538808183</v>
      </c>
      <c r="S99" s="307">
        <f t="shared" ca="1" si="50"/>
        <v>10.522568530055052</v>
      </c>
      <c r="T99" s="304">
        <f t="shared" ca="1" si="30"/>
        <v>103.22639727984007</v>
      </c>
      <c r="U99" s="311">
        <f t="shared" ca="1" si="31"/>
        <v>0</v>
      </c>
      <c r="V99" s="306">
        <f t="shared" ca="1" si="32"/>
        <v>1.2203938368117917</v>
      </c>
      <c r="W99" s="304">
        <f t="shared" ca="1" si="33"/>
        <v>21.01459863780315</v>
      </c>
      <c r="Y99" s="314" t="str">
        <f t="shared" ca="1" si="51"/>
        <v/>
      </c>
      <c r="Z99" s="315" t="str">
        <f t="shared" ca="1" si="52"/>
        <v/>
      </c>
      <c r="AA99" s="316" t="str">
        <f t="shared" ca="1" si="53"/>
        <v/>
      </c>
      <c r="AC99" s="310" t="e">
        <f t="shared" ca="1" si="54"/>
        <v>#N/A</v>
      </c>
      <c r="AD99" s="323" t="e">
        <f t="shared" ca="1" si="55"/>
        <v>#N/A</v>
      </c>
      <c r="AE99" s="324">
        <f t="shared" ca="1" si="34"/>
        <v>37.672158315518516</v>
      </c>
      <c r="AG99" s="306">
        <f t="shared" ca="1" si="56"/>
        <v>84.761098488426484</v>
      </c>
      <c r="AH99" s="304">
        <f t="shared" ca="1" si="57"/>
        <v>94.523653736791417</v>
      </c>
    </row>
    <row r="100" spans="1:34" x14ac:dyDescent="0.2">
      <c r="A100" s="347">
        <f t="shared" ca="1" si="35"/>
        <v>0.01</v>
      </c>
      <c r="B100" s="304">
        <f t="shared" ca="1" si="36"/>
        <v>0.96000000000000063</v>
      </c>
      <c r="D100" s="306">
        <f t="shared" ca="1" si="37"/>
        <v>9.2921010251445839</v>
      </c>
      <c r="E100" s="307">
        <f t="shared" ca="1" si="38"/>
        <v>84.211987775075528</v>
      </c>
      <c r="F100" s="304">
        <f t="shared" ca="1" si="39"/>
        <v>84.723090279397638</v>
      </c>
      <c r="G100" s="306">
        <f t="shared" ca="1" si="40"/>
        <v>8.0302972171910323</v>
      </c>
      <c r="H100" s="307">
        <f t="shared" ca="1" si="41"/>
        <v>81.15634447298298</v>
      </c>
      <c r="I100" s="304">
        <f t="shared" ca="1" si="42"/>
        <v>81.552669616720095</v>
      </c>
      <c r="J100" s="306">
        <f t="shared" ca="1" si="43"/>
        <v>3.6245795794429636</v>
      </c>
      <c r="K100" s="307">
        <f t="shared" ca="1" si="44"/>
        <v>38.479511160859595</v>
      </c>
      <c r="L100" s="304">
        <f t="shared" ca="1" si="29"/>
        <v>38.649842901445709</v>
      </c>
      <c r="M100" s="306">
        <f t="shared" ca="1" si="45"/>
        <v>1.4721688877110721</v>
      </c>
      <c r="N100" s="304">
        <f t="shared" ca="1" si="46"/>
        <v>84.349063996313234</v>
      </c>
      <c r="P100" s="310">
        <f t="shared" ca="1" si="47"/>
        <v>6</v>
      </c>
      <c r="Q100" s="304">
        <f t="shared" ca="1" si="48"/>
        <v>1014.7070175438596</v>
      </c>
      <c r="R100" s="306">
        <f t="shared" ca="1" si="49"/>
        <v>0.50829948042911399</v>
      </c>
      <c r="S100" s="307">
        <f t="shared" ca="1" si="50"/>
        <v>10.517485535250762</v>
      </c>
      <c r="T100" s="304">
        <f t="shared" ca="1" si="30"/>
        <v>103.17653310080998</v>
      </c>
      <c r="U100" s="311">
        <f t="shared" ca="1" si="31"/>
        <v>0</v>
      </c>
      <c r="V100" s="306">
        <f t="shared" ca="1" si="32"/>
        <v>1.2202953115883073</v>
      </c>
      <c r="W100" s="304">
        <f t="shared" ca="1" si="33"/>
        <v>21.456368070786528</v>
      </c>
      <c r="Y100" s="314" t="str">
        <f t="shared" ca="1" si="51"/>
        <v/>
      </c>
      <c r="Z100" s="315" t="str">
        <f t="shared" ca="1" si="52"/>
        <v/>
      </c>
      <c r="AA100" s="316" t="str">
        <f t="shared" ca="1" si="53"/>
        <v/>
      </c>
      <c r="AC100" s="310" t="e">
        <f t="shared" ca="1" si="54"/>
        <v>#N/A</v>
      </c>
      <c r="AD100" s="323" t="e">
        <f t="shared" ca="1" si="55"/>
        <v>#N/A</v>
      </c>
      <c r="AE100" s="324">
        <f t="shared" ca="1" si="34"/>
        <v>38.479511160859595</v>
      </c>
      <c r="AG100" s="306">
        <f t="shared" ca="1" si="56"/>
        <v>84.717596540039736</v>
      </c>
      <c r="AH100" s="304">
        <f t="shared" ca="1" si="57"/>
        <v>94.480036656628926</v>
      </c>
    </row>
    <row r="101" spans="1:34" x14ac:dyDescent="0.2">
      <c r="A101" s="347">
        <f t="shared" ca="1" si="35"/>
        <v>0.01</v>
      </c>
      <c r="B101" s="304">
        <f t="shared" ca="1" si="36"/>
        <v>0.97000000000000064</v>
      </c>
      <c r="D101" s="306">
        <f t="shared" ca="1" si="37"/>
        <v>9.2988825743618921</v>
      </c>
      <c r="E101" s="307">
        <f t="shared" ca="1" si="38"/>
        <v>84.16700944408025</v>
      </c>
      <c r="F101" s="304">
        <f t="shared" ca="1" si="39"/>
        <v>84.67912786449601</v>
      </c>
      <c r="G101" s="306">
        <f t="shared" ca="1" si="40"/>
        <v>8.1232860429346516</v>
      </c>
      <c r="H101" s="307">
        <f t="shared" ca="1" si="41"/>
        <v>81.99801456742378</v>
      </c>
      <c r="I101" s="304">
        <f t="shared" ca="1" si="42"/>
        <v>82.399406363970726</v>
      </c>
      <c r="J101" s="306">
        <f t="shared" ca="1" si="43"/>
        <v>3.7053474957435921</v>
      </c>
      <c r="K101" s="307">
        <f t="shared" ca="1" si="44"/>
        <v>39.295282956061627</v>
      </c>
      <c r="L101" s="304">
        <f t="shared" ca="1" si="29"/>
        <v>39.469594153742712</v>
      </c>
      <c r="M101" s="306">
        <f t="shared" ca="1" si="45"/>
        <v>1.4720516578195879</v>
      </c>
      <c r="N101" s="304">
        <f t="shared" ca="1" si="46"/>
        <v>84.342347218298414</v>
      </c>
      <c r="P101" s="310">
        <f t="shared" ca="1" si="47"/>
        <v>6</v>
      </c>
      <c r="Q101" s="304">
        <f t="shared" ca="1" si="48"/>
        <v>1014.2052631578947</v>
      </c>
      <c r="R101" s="306">
        <f t="shared" ca="1" si="49"/>
        <v>0.50804813547014605</v>
      </c>
      <c r="S101" s="307">
        <f t="shared" ca="1" si="50"/>
        <v>10.51240505389606</v>
      </c>
      <c r="T101" s="304">
        <f t="shared" ca="1" si="30"/>
        <v>103.12669357872036</v>
      </c>
      <c r="U101" s="311">
        <f t="shared" ca="1" si="31"/>
        <v>0</v>
      </c>
      <c r="V101" s="306">
        <f t="shared" ca="1" si="32"/>
        <v>1.2201957670225945</v>
      </c>
      <c r="W101" s="304">
        <f t="shared" ca="1" si="33"/>
        <v>21.902444240679255</v>
      </c>
      <c r="Y101" s="314" t="str">
        <f t="shared" ca="1" si="51"/>
        <v/>
      </c>
      <c r="Z101" s="315" t="str">
        <f t="shared" ca="1" si="52"/>
        <v/>
      </c>
      <c r="AA101" s="316" t="str">
        <f t="shared" ca="1" si="53"/>
        <v/>
      </c>
      <c r="AC101" s="310" t="e">
        <f t="shared" ca="1" si="54"/>
        <v>#N/A</v>
      </c>
      <c r="AD101" s="323" t="e">
        <f t="shared" ca="1" si="55"/>
        <v>#N/A</v>
      </c>
      <c r="AE101" s="324">
        <f t="shared" ca="1" si="34"/>
        <v>39.295282956061627</v>
      </c>
      <c r="AG101" s="306">
        <f t="shared" ca="1" si="56"/>
        <v>84.673618104939663</v>
      </c>
      <c r="AH101" s="304">
        <f t="shared" ca="1" si="57"/>
        <v>94.435944010660052</v>
      </c>
    </row>
    <row r="102" spans="1:34" x14ac:dyDescent="0.2">
      <c r="A102" s="347">
        <f t="shared" ca="1" si="35"/>
        <v>0.01</v>
      </c>
      <c r="B102" s="304">
        <f t="shared" ca="1" si="36"/>
        <v>0.98000000000000065</v>
      </c>
      <c r="D102" s="306">
        <f t="shared" ca="1" si="37"/>
        <v>9.3055057461687678</v>
      </c>
      <c r="E102" s="307">
        <f t="shared" ca="1" si="38"/>
        <v>84.12156805000744</v>
      </c>
      <c r="F102" s="304">
        <f t="shared" ca="1" si="39"/>
        <v>84.634689391431053</v>
      </c>
      <c r="G102" s="306">
        <f t="shared" ca="1" si="40"/>
        <v>8.21634110039634</v>
      </c>
      <c r="H102" s="307">
        <f t="shared" ca="1" si="41"/>
        <v>82.839230247923851</v>
      </c>
      <c r="I102" s="304">
        <f t="shared" ca="1" si="42"/>
        <v>83.245698562427862</v>
      </c>
      <c r="J102" s="306">
        <f t="shared" ca="1" si="43"/>
        <v>3.7870456314602472</v>
      </c>
      <c r="K102" s="307">
        <f t="shared" ca="1" si="44"/>
        <v>40.119469180138367</v>
      </c>
      <c r="L102" s="304">
        <f t="shared" ca="1" si="29"/>
        <v>40.297810386059865</v>
      </c>
      <c r="M102" s="306">
        <f t="shared" ca="1" si="45"/>
        <v>1.4719354822341739</v>
      </c>
      <c r="N102" s="304">
        <f t="shared" ca="1" si="46"/>
        <v>84.335690847571726</v>
      </c>
      <c r="P102" s="310">
        <f t="shared" ca="1" si="47"/>
        <v>6</v>
      </c>
      <c r="Q102" s="304">
        <f t="shared" ca="1" si="48"/>
        <v>1013.7035087719298</v>
      </c>
      <c r="R102" s="306">
        <f t="shared" ca="1" si="49"/>
        <v>0.50779679051117821</v>
      </c>
      <c r="S102" s="307">
        <f t="shared" ca="1" si="50"/>
        <v>10.507327085990948</v>
      </c>
      <c r="T102" s="304">
        <f t="shared" ca="1" si="30"/>
        <v>103.0768787135712</v>
      </c>
      <c r="U102" s="311">
        <f t="shared" ca="1" si="31"/>
        <v>0</v>
      </c>
      <c r="V102" s="306">
        <f t="shared" ca="1" si="32"/>
        <v>1.220095203916199</v>
      </c>
      <c r="W102" s="304">
        <f t="shared" ca="1" si="33"/>
        <v>22.352815200585777</v>
      </c>
      <c r="Y102" s="314" t="str">
        <f t="shared" ca="1" si="51"/>
        <v/>
      </c>
      <c r="Z102" s="315" t="str">
        <f t="shared" ca="1" si="52"/>
        <v/>
      </c>
      <c r="AA102" s="316" t="str">
        <f t="shared" ca="1" si="53"/>
        <v/>
      </c>
      <c r="AC102" s="310" t="e">
        <f t="shared" ca="1" si="54"/>
        <v>#N/A</v>
      </c>
      <c r="AD102" s="323" t="e">
        <f t="shared" ca="1" si="55"/>
        <v>#N/A</v>
      </c>
      <c r="AE102" s="324">
        <f t="shared" ca="1" si="34"/>
        <v>40.119469180138367</v>
      </c>
      <c r="AG102" s="306">
        <f t="shared" ca="1" si="56"/>
        <v>84.629163668325518</v>
      </c>
      <c r="AH102" s="304">
        <f t="shared" ca="1" si="57"/>
        <v>94.391376266718126</v>
      </c>
    </row>
    <row r="103" spans="1:34" x14ac:dyDescent="0.2">
      <c r="A103" s="347">
        <f t="shared" ca="1" si="35"/>
        <v>0.01</v>
      </c>
      <c r="B103" s="304">
        <f t="shared" ca="1" si="36"/>
        <v>0.99000000000000066</v>
      </c>
      <c r="D103" s="306">
        <f t="shared" ca="1" si="37"/>
        <v>9.311972562231162</v>
      </c>
      <c r="E103" s="307">
        <f t="shared" ca="1" si="38"/>
        <v>84.075663912834187</v>
      </c>
      <c r="F103" s="304">
        <f t="shared" ca="1" si="39"/>
        <v>84.589775359576379</v>
      </c>
      <c r="G103" s="306">
        <f t="shared" ca="1" si="40"/>
        <v>8.3094608260186522</v>
      </c>
      <c r="H103" s="307">
        <f t="shared" ca="1" si="41"/>
        <v>83.679986887052195</v>
      </c>
      <c r="I103" s="304">
        <f t="shared" ca="1" si="42"/>
        <v>84.091541457130901</v>
      </c>
      <c r="J103" s="306">
        <f t="shared" ca="1" si="43"/>
        <v>3.8696746410923222</v>
      </c>
      <c r="K103" s="307">
        <f t="shared" ca="1" si="44"/>
        <v>40.952065265813246</v>
      </c>
      <c r="L103" s="304">
        <f t="shared" ca="1" si="29"/>
        <v>41.134487128969297</v>
      </c>
      <c r="M103" s="306">
        <f t="shared" ca="1" si="45"/>
        <v>1.4718203403443011</v>
      </c>
      <c r="N103" s="304">
        <f t="shared" ca="1" si="46"/>
        <v>84.329093703236865</v>
      </c>
      <c r="P103" s="310">
        <f t="shared" ca="1" si="47"/>
        <v>6</v>
      </c>
      <c r="Q103" s="304">
        <f t="shared" ca="1" si="48"/>
        <v>1013.2017543859648</v>
      </c>
      <c r="R103" s="306">
        <f t="shared" ca="1" si="49"/>
        <v>0.50754544555221026</v>
      </c>
      <c r="S103" s="307">
        <f t="shared" ca="1" si="50"/>
        <v>10.502251631535426</v>
      </c>
      <c r="T103" s="304">
        <f t="shared" ca="1" si="30"/>
        <v>103.02708850536253</v>
      </c>
      <c r="U103" s="311">
        <f t="shared" ca="1" si="31"/>
        <v>0</v>
      </c>
      <c r="V103" s="306">
        <f t="shared" ca="1" si="32"/>
        <v>1.2199936230786594</v>
      </c>
      <c r="W103" s="304">
        <f t="shared" ca="1" si="33"/>
        <v>22.807468888726888</v>
      </c>
      <c r="Y103" s="314" t="str">
        <f t="shared" ca="1" si="51"/>
        <v/>
      </c>
      <c r="Z103" s="315" t="str">
        <f t="shared" ca="1" si="52"/>
        <v/>
      </c>
      <c r="AA103" s="316" t="str">
        <f t="shared" ca="1" si="53"/>
        <v/>
      </c>
      <c r="AC103" s="310" t="e">
        <f t="shared" ca="1" si="54"/>
        <v>#N/A</v>
      </c>
      <c r="AD103" s="323" t="e">
        <f t="shared" ca="1" si="55"/>
        <v>#N/A</v>
      </c>
      <c r="AE103" s="324">
        <f t="shared" ca="1" si="34"/>
        <v>40.952065265813246</v>
      </c>
      <c r="AG103" s="306">
        <f t="shared" ca="1" si="56"/>
        <v>84.584233727472949</v>
      </c>
      <c r="AH103" s="304">
        <f t="shared" ca="1" si="57"/>
        <v>94.34633390521013</v>
      </c>
    </row>
    <row r="104" spans="1:34" x14ac:dyDescent="0.2">
      <c r="A104" s="347">
        <f t="shared" ca="1" si="35"/>
        <v>0.01</v>
      </c>
      <c r="B104" s="304">
        <f t="shared" ca="1" si="36"/>
        <v>1.0000000000000007</v>
      </c>
      <c r="D104" s="306">
        <f t="shared" ca="1" si="37"/>
        <v>9.3182849859519266</v>
      </c>
      <c r="E104" s="307">
        <f t="shared" ca="1" si="38"/>
        <v>84.029297369656007</v>
      </c>
      <c r="F104" s="304">
        <f t="shared" ca="1" si="39"/>
        <v>84.544386280329064</v>
      </c>
      <c r="G104" s="306">
        <f t="shared" ca="1" si="40"/>
        <v>8.4026436758781706</v>
      </c>
      <c r="H104" s="307">
        <f t="shared" ca="1" si="41"/>
        <v>84.520279860748758</v>
      </c>
      <c r="I104" s="304">
        <f t="shared" ca="1" si="42"/>
        <v>84.936930298210484</v>
      </c>
      <c r="J104" s="306">
        <f t="shared" ca="1" si="43"/>
        <v>3.9532351636018062</v>
      </c>
      <c r="K104" s="307">
        <f t="shared" ca="1" si="44"/>
        <v>41.793066599552247</v>
      </c>
      <c r="L104" s="304">
        <f t="shared" ca="1" si="29"/>
        <v>41.979619865517449</v>
      </c>
      <c r="M104" s="306">
        <f t="shared" ca="1" si="45"/>
        <v>1.4717062121414839</v>
      </c>
      <c r="N104" s="304">
        <f t="shared" ca="1" si="46"/>
        <v>84.322554638892015</v>
      </c>
      <c r="P104" s="310">
        <f t="shared" ca="1" si="47"/>
        <v>6</v>
      </c>
      <c r="Q104" s="304">
        <f t="shared" ca="1" si="48"/>
        <v>1012.6999999999999</v>
      </c>
      <c r="R104" s="306">
        <f t="shared" ca="1" si="49"/>
        <v>0.50729410059324243</v>
      </c>
      <c r="S104" s="307">
        <f t="shared" ca="1" si="50"/>
        <v>10.497178690529493</v>
      </c>
      <c r="T104" s="304">
        <f t="shared" ca="1" si="30"/>
        <v>102.97732295409433</v>
      </c>
      <c r="U104" s="311">
        <f t="shared" ca="1" si="31"/>
        <v>0</v>
      </c>
      <c r="V104" s="306">
        <f t="shared" ca="1" si="32"/>
        <v>1.2198910253274922</v>
      </c>
      <c r="W104" s="304">
        <f t="shared" ca="1" si="33"/>
        <v>23.266393128944681</v>
      </c>
      <c r="Y104" s="314" t="str">
        <f t="shared" ca="1" si="51"/>
        <v/>
      </c>
      <c r="Z104" s="315" t="str">
        <f t="shared" ca="1" si="52"/>
        <v/>
      </c>
      <c r="AA104" s="316" t="str">
        <f t="shared" ca="1" si="53"/>
        <v/>
      </c>
      <c r="AC104" s="310">
        <f t="shared" ca="1" si="54"/>
        <v>1.0000000000000007</v>
      </c>
      <c r="AD104" s="323">
        <f t="shared" ca="1" si="55"/>
        <v>3.9532351636018062</v>
      </c>
      <c r="AE104" s="324">
        <f t="shared" ca="1" si="34"/>
        <v>41.793066599552247</v>
      </c>
      <c r="AG104" s="306">
        <f t="shared" ca="1" si="56"/>
        <v>84.538828791734929</v>
      </c>
      <c r="AH104" s="304">
        <f t="shared" ca="1" si="57"/>
        <v>94.300817419098479</v>
      </c>
    </row>
    <row r="105" spans="1:34" x14ac:dyDescent="0.2">
      <c r="A105" s="347">
        <f t="shared" ca="1" si="35"/>
        <v>0.01</v>
      </c>
      <c r="B105" s="304">
        <f t="shared" ca="1" si="36"/>
        <v>1.0100000000000007</v>
      </c>
      <c r="D105" s="306">
        <f t="shared" ca="1" si="37"/>
        <v>9.3244449248322656</v>
      </c>
      <c r="E105" s="307">
        <f t="shared" ca="1" si="38"/>
        <v>83.982468774489121</v>
      </c>
      <c r="F105" s="304">
        <f t="shared" ca="1" si="39"/>
        <v>84.498522677111168</v>
      </c>
      <c r="G105" s="306">
        <f t="shared" ca="1" si="40"/>
        <v>8.4958881251264931</v>
      </c>
      <c r="H105" s="307">
        <f t="shared" ca="1" si="41"/>
        <v>85.360104548493652</v>
      </c>
      <c r="I105" s="304">
        <f t="shared" ca="1" si="42"/>
        <v>85.781860341009349</v>
      </c>
      <c r="J105" s="306">
        <f t="shared" ca="1" si="43"/>
        <v>4.0377278226068292</v>
      </c>
      <c r="K105" s="307">
        <f t="shared" ca="1" si="44"/>
        <v>42.64246852159846</v>
      </c>
      <c r="L105" s="304">
        <f t="shared" ca="1" si="29"/>
        <v>42.833204031276587</v>
      </c>
      <c r="M105" s="306">
        <f t="shared" ca="1" si="45"/>
        <v>1.4715930781958237</v>
      </c>
      <c r="N105" s="304">
        <f t="shared" ca="1" si="46"/>
        <v>84.316072541286033</v>
      </c>
      <c r="P105" s="310">
        <f t="shared" ca="1" si="47"/>
        <v>6</v>
      </c>
      <c r="Q105" s="304">
        <f t="shared" ca="1" si="48"/>
        <v>1012.198245614035</v>
      </c>
      <c r="R105" s="306">
        <f t="shared" ca="1" si="49"/>
        <v>0.50704275563427448</v>
      </c>
      <c r="S105" s="307">
        <f t="shared" ca="1" si="50"/>
        <v>10.492108262973151</v>
      </c>
      <c r="T105" s="304">
        <f t="shared" ca="1" si="30"/>
        <v>102.92758205976662</v>
      </c>
      <c r="U105" s="311">
        <f t="shared" ca="1" si="31"/>
        <v>0</v>
      </c>
      <c r="V105" s="306">
        <f t="shared" ca="1" si="32"/>
        <v>1.219787411488181</v>
      </c>
      <c r="W105" s="304">
        <f t="shared" ca="1" si="33"/>
        <v>23.729575631214171</v>
      </c>
      <c r="Y105" s="314" t="str">
        <f t="shared" ca="1" si="51"/>
        <v/>
      </c>
      <c r="Z105" s="315" t="str">
        <f t="shared" ca="1" si="52"/>
        <v/>
      </c>
      <c r="AA105" s="316" t="str">
        <f t="shared" ca="1" si="53"/>
        <v/>
      </c>
      <c r="AC105" s="310" t="e">
        <f t="shared" ca="1" si="54"/>
        <v>#N/A</v>
      </c>
      <c r="AD105" s="323" t="e">
        <f t="shared" ca="1" si="55"/>
        <v>#N/A</v>
      </c>
      <c r="AE105" s="324">
        <f t="shared" ca="1" si="34"/>
        <v>42.64246852159846</v>
      </c>
      <c r="AG105" s="306">
        <f t="shared" ca="1" si="56"/>
        <v>84.492949382541212</v>
      </c>
      <c r="AH105" s="304">
        <f t="shared" ca="1" si="57"/>
        <v>94.25482731388216</v>
      </c>
    </row>
    <row r="106" spans="1:34" x14ac:dyDescent="0.2">
      <c r="A106" s="347">
        <f t="shared" ca="1" si="35"/>
        <v>0.01</v>
      </c>
      <c r="B106" s="304">
        <f t="shared" ca="1" si="36"/>
        <v>1.0200000000000007</v>
      </c>
      <c r="D106" s="306">
        <f t="shared" ca="1" si="37"/>
        <v>9.3304542327175461</v>
      </c>
      <c r="E106" s="307">
        <f t="shared" ca="1" si="38"/>
        <v>83.935178498080361</v>
      </c>
      <c r="F106" s="304">
        <f t="shared" ca="1" si="39"/>
        <v>84.452185085369152</v>
      </c>
      <c r="G106" s="306">
        <f t="shared" ca="1" si="40"/>
        <v>8.5891926674536681</v>
      </c>
      <c r="H106" s="307">
        <f t="shared" ca="1" si="41"/>
        <v>86.199456333474458</v>
      </c>
      <c r="I106" s="304">
        <f t="shared" ca="1" si="42"/>
        <v>86.626326846203114</v>
      </c>
      <c r="J106" s="306">
        <f t="shared" ca="1" si="43"/>
        <v>4.1231532265697304</v>
      </c>
      <c r="K106" s="307">
        <f t="shared" ca="1" si="44"/>
        <v>43.500266326008301</v>
      </c>
      <c r="L106" s="304">
        <f t="shared" ca="1" si="29"/>
        <v>43.69523501439744</v>
      </c>
      <c r="M106" s="306">
        <f t="shared" ca="1" si="45"/>
        <v>1.471480919633694</v>
      </c>
      <c r="N106" s="304">
        <f t="shared" ca="1" si="46"/>
        <v>84.309646329039737</v>
      </c>
      <c r="P106" s="310">
        <f t="shared" ca="1" si="47"/>
        <v>6</v>
      </c>
      <c r="Q106" s="304">
        <f t="shared" ca="1" si="48"/>
        <v>1011.6964912280702</v>
      </c>
      <c r="R106" s="306">
        <f t="shared" ca="1" si="49"/>
        <v>0.50679141067530664</v>
      </c>
      <c r="S106" s="307">
        <f t="shared" ca="1" si="50"/>
        <v>10.487040348866397</v>
      </c>
      <c r="T106" s="304">
        <f t="shared" ca="1" si="30"/>
        <v>102.87786582237936</v>
      </c>
      <c r="U106" s="311">
        <f t="shared" ca="1" si="31"/>
        <v>0</v>
      </c>
      <c r="V106" s="306">
        <f t="shared" ca="1" si="32"/>
        <v>1.2196827823941623</v>
      </c>
      <c r="W106" s="304">
        <f t="shared" ca="1" si="33"/>
        <v>24.197003992161186</v>
      </c>
      <c r="Y106" s="314" t="str">
        <f t="shared" ca="1" si="51"/>
        <v/>
      </c>
      <c r="Z106" s="315" t="str">
        <f t="shared" ca="1" si="52"/>
        <v/>
      </c>
      <c r="AA106" s="316" t="str">
        <f t="shared" ca="1" si="53"/>
        <v/>
      </c>
      <c r="AC106" s="310" t="e">
        <f t="shared" ca="1" si="54"/>
        <v>#N/A</v>
      </c>
      <c r="AD106" s="323" t="e">
        <f t="shared" ca="1" si="55"/>
        <v>#N/A</v>
      </c>
      <c r="AE106" s="324">
        <f t="shared" ca="1" si="34"/>
        <v>43.500266326008301</v>
      </c>
      <c r="AG106" s="306">
        <f t="shared" ca="1" si="56"/>
        <v>84.446596033395863</v>
      </c>
      <c r="AH106" s="304">
        <f t="shared" ca="1" si="57"/>
        <v>94.208364107576912</v>
      </c>
    </row>
    <row r="107" spans="1:34" x14ac:dyDescent="0.2">
      <c r="A107" s="347">
        <f t="shared" ca="1" si="35"/>
        <v>0.01</v>
      </c>
      <c r="B107" s="304">
        <f t="shared" ca="1" si="36"/>
        <v>1.0300000000000007</v>
      </c>
      <c r="D107" s="306">
        <f t="shared" ca="1" si="37"/>
        <v>9.3363147119335466</v>
      </c>
      <c r="E107" s="307">
        <f t="shared" ca="1" si="38"/>
        <v>83.887426927724846</v>
      </c>
      <c r="F107" s="304">
        <f t="shared" ca="1" si="39"/>
        <v>84.405374052572284</v>
      </c>
      <c r="G107" s="306">
        <f t="shared" ca="1" si="40"/>
        <v>8.6825558145730035</v>
      </c>
      <c r="H107" s="307">
        <f t="shared" ca="1" si="41"/>
        <v>87.038330602751714</v>
      </c>
      <c r="I107" s="304">
        <f t="shared" ca="1" si="42"/>
        <v>87.470325079921139</v>
      </c>
      <c r="J107" s="306">
        <f t="shared" ca="1" si="43"/>
        <v>4.2095119689798635</v>
      </c>
      <c r="K107" s="307">
        <f t="shared" ca="1" si="44"/>
        <v>44.366455260689435</v>
      </c>
      <c r="L107" s="304">
        <f t="shared" ca="1" si="29"/>
        <v>44.56570815566316</v>
      </c>
      <c r="M107" s="306">
        <f t="shared" ca="1" si="45"/>
        <v>1.4713697181164935</v>
      </c>
      <c r="N107" s="304">
        <f t="shared" ca="1" si="46"/>
        <v>84.303274951428705</v>
      </c>
      <c r="P107" s="310">
        <f t="shared" ca="1" si="47"/>
        <v>6</v>
      </c>
      <c r="Q107" s="304">
        <f t="shared" ca="1" si="48"/>
        <v>1011.1947368421052</v>
      </c>
      <c r="R107" s="306">
        <f t="shared" ca="1" si="49"/>
        <v>0.50654006571633869</v>
      </c>
      <c r="S107" s="307">
        <f t="shared" ca="1" si="50"/>
        <v>10.481974948209235</v>
      </c>
      <c r="T107" s="304">
        <f t="shared" ca="1" si="30"/>
        <v>102.8281742419326</v>
      </c>
      <c r="U107" s="311">
        <f t="shared" ca="1" si="31"/>
        <v>0</v>
      </c>
      <c r="V107" s="306">
        <f t="shared" ca="1" si="32"/>
        <v>1.2195771388868137</v>
      </c>
      <c r="W107" s="304">
        <f t="shared" ca="1" si="33"/>
        <v>24.668665695586885</v>
      </c>
      <c r="Y107" s="314" t="str">
        <f t="shared" ca="1" si="51"/>
        <v/>
      </c>
      <c r="Z107" s="315" t="str">
        <f t="shared" ca="1" si="52"/>
        <v/>
      </c>
      <c r="AA107" s="316" t="str">
        <f t="shared" ca="1" si="53"/>
        <v/>
      </c>
      <c r="AC107" s="310" t="e">
        <f t="shared" ca="1" si="54"/>
        <v>#N/A</v>
      </c>
      <c r="AD107" s="323" t="e">
        <f t="shared" ca="1" si="55"/>
        <v>#N/A</v>
      </c>
      <c r="AE107" s="324">
        <f t="shared" ca="1" si="34"/>
        <v>44.366455260689435</v>
      </c>
      <c r="AG107" s="306">
        <f t="shared" ca="1" si="56"/>
        <v>84.399769289873618</v>
      </c>
      <c r="AH107" s="304">
        <f t="shared" ca="1" si="57"/>
        <v>94.161428330694974</v>
      </c>
    </row>
    <row r="108" spans="1:34" x14ac:dyDescent="0.2">
      <c r="A108" s="347">
        <f t="shared" ca="1" si="35"/>
        <v>0.01</v>
      </c>
      <c r="B108" s="304">
        <f t="shared" ca="1" si="36"/>
        <v>1.0400000000000007</v>
      </c>
      <c r="D108" s="306">
        <f t="shared" ca="1" si="37"/>
        <v>9.3420281153200673</v>
      </c>
      <c r="E108" s="307">
        <f t="shared" ca="1" si="38"/>
        <v>83.839214467090258</v>
      </c>
      <c r="F108" s="304">
        <f t="shared" ca="1" si="39"/>
        <v>84.358090138208951</v>
      </c>
      <c r="G108" s="306">
        <f t="shared" ca="1" si="40"/>
        <v>8.7759760957262039</v>
      </c>
      <c r="H108" s="307">
        <f t="shared" ca="1" si="41"/>
        <v>87.876722747422619</v>
      </c>
      <c r="I108" s="304">
        <f t="shared" ca="1" si="42"/>
        <v>88.313850313867192</v>
      </c>
      <c r="J108" s="306">
        <f t="shared" ca="1" si="43"/>
        <v>4.2968046285313592</v>
      </c>
      <c r="K108" s="307">
        <f t="shared" ca="1" si="44"/>
        <v>45.241030527440309</v>
      </c>
      <c r="L108" s="304">
        <f t="shared" ca="1" si="29"/>
        <v>45.444618748544414</v>
      </c>
      <c r="M108" s="306">
        <f t="shared" ca="1" si="45"/>
        <v>1.4712594558204124</v>
      </c>
      <c r="N108" s="304">
        <f t="shared" ca="1" si="46"/>
        <v>84.296957387223827</v>
      </c>
      <c r="P108" s="310">
        <f t="shared" ca="1" si="47"/>
        <v>6</v>
      </c>
      <c r="Q108" s="304">
        <f t="shared" ca="1" si="48"/>
        <v>1010.6929824561403</v>
      </c>
      <c r="R108" s="306">
        <f t="shared" ca="1" si="49"/>
        <v>0.50628872075737075</v>
      </c>
      <c r="S108" s="307">
        <f t="shared" ca="1" si="50"/>
        <v>10.476912061001661</v>
      </c>
      <c r="T108" s="304">
        <f t="shared" ca="1" si="30"/>
        <v>102.77850731842631</v>
      </c>
      <c r="U108" s="311">
        <f t="shared" ca="1" si="31"/>
        <v>0</v>
      </c>
      <c r="V108" s="306">
        <f t="shared" ca="1" si="32"/>
        <v>1.2194704818154383</v>
      </c>
      <c r="W108" s="304">
        <f t="shared" ca="1" si="33"/>
        <v>25.144548112998464</v>
      </c>
      <c r="Y108" s="314" t="str">
        <f t="shared" ca="1" si="51"/>
        <v/>
      </c>
      <c r="Z108" s="315" t="str">
        <f t="shared" ca="1" si="52"/>
        <v/>
      </c>
      <c r="AA108" s="316" t="str">
        <f t="shared" ca="1" si="53"/>
        <v/>
      </c>
      <c r="AC108" s="310" t="e">
        <f t="shared" ca="1" si="54"/>
        <v>#N/A</v>
      </c>
      <c r="AD108" s="323" t="e">
        <f t="shared" ca="1" si="55"/>
        <v>#N/A</v>
      </c>
      <c r="AE108" s="324">
        <f t="shared" ca="1" si="34"/>
        <v>45.241030527440309</v>
      </c>
      <c r="AG108" s="306">
        <f t="shared" ca="1" si="56"/>
        <v>84.352469709614525</v>
      </c>
      <c r="AH108" s="304">
        <f t="shared" ca="1" si="57"/>
        <v>94.114020526223925</v>
      </c>
    </row>
    <row r="109" spans="1:34" x14ac:dyDescent="0.2">
      <c r="A109" s="347">
        <f t="shared" ca="1" si="35"/>
        <v>0.01</v>
      </c>
      <c r="B109" s="304">
        <f t="shared" ca="1" si="36"/>
        <v>1.0500000000000007</v>
      </c>
      <c r="D109" s="306">
        <f t="shared" ca="1" si="37"/>
        <v>9.3475961481673959</v>
      </c>
      <c r="E109" s="307">
        <f t="shared" ca="1" si="38"/>
        <v>83.79054153604767</v>
      </c>
      <c r="F109" s="304">
        <f t="shared" ca="1" si="39"/>
        <v>84.310333913781662</v>
      </c>
      <c r="G109" s="306">
        <f t="shared" ca="1" si="40"/>
        <v>8.8694520572078783</v>
      </c>
      <c r="H109" s="307">
        <f t="shared" ca="1" si="41"/>
        <v>88.7146281627831</v>
      </c>
      <c r="I109" s="304">
        <f t="shared" ca="1" si="42"/>
        <v>89.156897825440169</v>
      </c>
      <c r="J109" s="306">
        <f t="shared" ca="1" si="43"/>
        <v>4.3850317692960292</v>
      </c>
      <c r="K109" s="307">
        <f t="shared" ca="1" si="44"/>
        <v>46.12398728199134</v>
      </c>
      <c r="L109" s="304">
        <f t="shared" ca="1" si="29"/>
        <v>46.331962039255735</v>
      </c>
      <c r="M109" s="306">
        <f t="shared" ca="1" si="45"/>
        <v>1.4711501154171494</v>
      </c>
      <c r="N109" s="304">
        <f t="shared" ca="1" si="46"/>
        <v>84.290692643586596</v>
      </c>
      <c r="P109" s="310">
        <f t="shared" ca="1" si="47"/>
        <v>6</v>
      </c>
      <c r="Q109" s="304">
        <f t="shared" ca="1" si="48"/>
        <v>1010.1912280701754</v>
      </c>
      <c r="R109" s="306">
        <f t="shared" ca="1" si="49"/>
        <v>0.50603737579840291</v>
      </c>
      <c r="S109" s="307">
        <f t="shared" ca="1" si="50"/>
        <v>10.471851687243676</v>
      </c>
      <c r="T109" s="304">
        <f t="shared" ca="1" si="30"/>
        <v>102.72886505186047</v>
      </c>
      <c r="U109" s="311">
        <f t="shared" ca="1" si="31"/>
        <v>0</v>
      </c>
      <c r="V109" s="306">
        <f t="shared" ca="1" si="32"/>
        <v>1.2193628120372513</v>
      </c>
      <c r="W109" s="304">
        <f t="shared" ca="1" si="33"/>
        <v>25.62463850414634</v>
      </c>
      <c r="Y109" s="314" t="str">
        <f t="shared" ca="1" si="51"/>
        <v/>
      </c>
      <c r="Z109" s="315" t="str">
        <f t="shared" ca="1" si="52"/>
        <v/>
      </c>
      <c r="AA109" s="316" t="str">
        <f t="shared" ca="1" si="53"/>
        <v/>
      </c>
      <c r="AC109" s="310" t="e">
        <f t="shared" ca="1" si="54"/>
        <v>#N/A</v>
      </c>
      <c r="AD109" s="323" t="e">
        <f t="shared" ca="1" si="55"/>
        <v>#N/A</v>
      </c>
      <c r="AE109" s="324">
        <f t="shared" ca="1" si="34"/>
        <v>46.12398728199134</v>
      </c>
      <c r="AG109" s="306">
        <f t="shared" ca="1" si="56"/>
        <v>84.304697862317184</v>
      </c>
      <c r="AH109" s="304">
        <f t="shared" ca="1" si="57"/>
        <v>94.066141249604897</v>
      </c>
    </row>
    <row r="110" spans="1:34" x14ac:dyDescent="0.2">
      <c r="A110" s="347">
        <f t="shared" ca="1" si="35"/>
        <v>0.01</v>
      </c>
      <c r="B110" s="304">
        <f t="shared" ca="1" si="36"/>
        <v>1.0600000000000007</v>
      </c>
      <c r="D110" s="306">
        <f t="shared" ca="1" si="37"/>
        <v>9.3530204700613346</v>
      </c>
      <c r="E110" s="307">
        <f t="shared" ca="1" si="38"/>
        <v>83.741408570508469</v>
      </c>
      <c r="F110" s="304">
        <f t="shared" ca="1" si="39"/>
        <v>84.262105962800476</v>
      </c>
      <c r="G110" s="306">
        <f t="shared" ca="1" si="40"/>
        <v>8.9629822619084916</v>
      </c>
      <c r="H110" s="307">
        <f t="shared" ca="1" si="41"/>
        <v>89.552042248488192</v>
      </c>
      <c r="I110" s="304">
        <f t="shared" ca="1" si="42"/>
        <v>89.999462897854571</v>
      </c>
      <c r="J110" s="306">
        <f t="shared" ca="1" si="43"/>
        <v>4.4741939408916114</v>
      </c>
      <c r="K110" s="307">
        <f t="shared" ca="1" si="44"/>
        <v>47.015320634047697</v>
      </c>
      <c r="L110" s="304">
        <f t="shared" ca="1" si="29"/>
        <v>47.227733226813058</v>
      </c>
      <c r="M110" s="306">
        <f t="shared" ca="1" si="45"/>
        <v>1.4710416800555297</v>
      </c>
      <c r="N110" s="304">
        <f t="shared" ca="1" si="46"/>
        <v>84.284479755015823</v>
      </c>
      <c r="P110" s="310">
        <f t="shared" ca="1" si="47"/>
        <v>6</v>
      </c>
      <c r="Q110" s="304">
        <f t="shared" ca="1" si="48"/>
        <v>1009.6894736842105</v>
      </c>
      <c r="R110" s="306">
        <f t="shared" ca="1" si="49"/>
        <v>0.50578603083943507</v>
      </c>
      <c r="S110" s="307">
        <f t="shared" ca="1" si="50"/>
        <v>10.466793826935282</v>
      </c>
      <c r="T110" s="304">
        <f t="shared" ca="1" si="30"/>
        <v>102.67924744223512</v>
      </c>
      <c r="U110" s="311">
        <f t="shared" ca="1" si="31"/>
        <v>0</v>
      </c>
      <c r="V110" s="306">
        <f t="shared" ca="1" si="32"/>
        <v>1.2192541304173667</v>
      </c>
      <c r="W110" s="304">
        <f t="shared" ca="1" si="33"/>
        <v>26.108924017567556</v>
      </c>
      <c r="Y110" s="314" t="str">
        <f t="shared" ca="1" si="51"/>
        <v/>
      </c>
      <c r="Z110" s="315" t="str">
        <f t="shared" ca="1" si="52"/>
        <v/>
      </c>
      <c r="AA110" s="316" t="str">
        <f t="shared" ca="1" si="53"/>
        <v/>
      </c>
      <c r="AC110" s="310" t="e">
        <f t="shared" ca="1" si="54"/>
        <v>#N/A</v>
      </c>
      <c r="AD110" s="323" t="e">
        <f t="shared" ca="1" si="55"/>
        <v>#N/A</v>
      </c>
      <c r="AE110" s="324">
        <f t="shared" ca="1" si="34"/>
        <v>47.015320634047697</v>
      </c>
      <c r="AG110" s="306">
        <f t="shared" ca="1" si="56"/>
        <v>84.256454329730516</v>
      </c>
      <c r="AH110" s="304">
        <f t="shared" ca="1" si="57"/>
        <v>94.017791068709926</v>
      </c>
    </row>
    <row r="111" spans="1:34" x14ac:dyDescent="0.2">
      <c r="A111" s="347">
        <f t="shared" ca="1" si="35"/>
        <v>0.01</v>
      </c>
      <c r="B111" s="304">
        <f t="shared" ca="1" si="36"/>
        <v>1.0700000000000007</v>
      </c>
      <c r="D111" s="306">
        <f t="shared" ca="1" si="37"/>
        <v>9.3583026966418466</v>
      </c>
      <c r="E111" s="307">
        <f t="shared" ca="1" si="38"/>
        <v>83.691816022267133</v>
      </c>
      <c r="F111" s="304">
        <f t="shared" ca="1" si="39"/>
        <v>84.213406880775125</v>
      </c>
      <c r="G111" s="306">
        <f t="shared" ca="1" si="40"/>
        <v>9.0565652888749106</v>
      </c>
      <c r="H111" s="307">
        <f t="shared" ca="1" si="41"/>
        <v>90.388960408710858</v>
      </c>
      <c r="I111" s="304">
        <f t="shared" ca="1" si="42"/>
        <v>90.841540820261045</v>
      </c>
      <c r="J111" s="306">
        <f t="shared" ca="1" si="43"/>
        <v>4.5642916786455281</v>
      </c>
      <c r="K111" s="307">
        <f t="shared" ca="1" si="44"/>
        <v>47.915025647333692</v>
      </c>
      <c r="L111" s="304">
        <f t="shared" ca="1" si="29"/>
        <v>48.131927463092509</v>
      </c>
      <c r="M111" s="306">
        <f t="shared" ca="1" si="45"/>
        <v>1.4709341333439725</v>
      </c>
      <c r="N111" s="304">
        <f t="shared" ca="1" si="46"/>
        <v>84.27831778234308</v>
      </c>
      <c r="P111" s="310">
        <f t="shared" ca="1" si="47"/>
        <v>6</v>
      </c>
      <c r="Q111" s="304">
        <f t="shared" ca="1" si="48"/>
        <v>1009.1877192982456</v>
      </c>
      <c r="R111" s="306">
        <f t="shared" ca="1" si="49"/>
        <v>0.50553468588046713</v>
      </c>
      <c r="S111" s="307">
        <f t="shared" ca="1" si="50"/>
        <v>10.461738480076477</v>
      </c>
      <c r="T111" s="304">
        <f t="shared" ca="1" si="30"/>
        <v>102.62965448955025</v>
      </c>
      <c r="U111" s="311">
        <f t="shared" ca="1" si="31"/>
        <v>0</v>
      </c>
      <c r="V111" s="306">
        <f t="shared" ca="1" si="32"/>
        <v>1.2191444378287823</v>
      </c>
      <c r="W111" s="304">
        <f t="shared" ca="1" si="33"/>
        <v>26.597391691135496</v>
      </c>
      <c r="Y111" s="314" t="str">
        <f t="shared" ca="1" si="51"/>
        <v/>
      </c>
      <c r="Z111" s="315" t="str">
        <f t="shared" ca="1" si="52"/>
        <v/>
      </c>
      <c r="AA111" s="316" t="str">
        <f t="shared" ca="1" si="53"/>
        <v/>
      </c>
      <c r="AC111" s="310" t="e">
        <f t="shared" ca="1" si="54"/>
        <v>#N/A</v>
      </c>
      <c r="AD111" s="323" t="e">
        <f t="shared" ca="1" si="55"/>
        <v>#N/A</v>
      </c>
      <c r="AE111" s="324">
        <f t="shared" ca="1" si="34"/>
        <v>47.915025647333692</v>
      </c>
      <c r="AG111" s="306">
        <f t="shared" ca="1" si="56"/>
        <v>84.207739705644414</v>
      </c>
      <c r="AH111" s="304">
        <f t="shared" ca="1" si="57"/>
        <v>93.968970563818914</v>
      </c>
    </row>
    <row r="112" spans="1:34" x14ac:dyDescent="0.2">
      <c r="A112" s="347">
        <f t="shared" ca="1" si="35"/>
        <v>0.01</v>
      </c>
      <c r="B112" s="304">
        <f t="shared" ca="1" si="36"/>
        <v>1.0800000000000007</v>
      </c>
      <c r="D112" s="306">
        <f t="shared" ca="1" si="37"/>
        <v>9.3634444012800877</v>
      </c>
      <c r="E112" s="307">
        <f t="shared" ca="1" si="38"/>
        <v>83.641764358849088</v>
      </c>
      <c r="F112" s="304">
        <f t="shared" ca="1" si="39"/>
        <v>84.164237275205565</v>
      </c>
      <c r="G112" s="306">
        <f t="shared" ca="1" si="40"/>
        <v>9.150199732887712</v>
      </c>
      <c r="H112" s="307">
        <f t="shared" ca="1" si="41"/>
        <v>91.225378052299348</v>
      </c>
      <c r="I112" s="304">
        <f t="shared" ca="1" si="42"/>
        <v>91.683126887866777</v>
      </c>
      <c r="J112" s="306">
        <f t="shared" ca="1" si="43"/>
        <v>4.6553255037543408</v>
      </c>
      <c r="K112" s="307">
        <f t="shared" ca="1" si="44"/>
        <v>48.823097339638743</v>
      </c>
      <c r="L112" s="304">
        <f t="shared" ca="1" si="29"/>
        <v>49.044539852890303</v>
      </c>
      <c r="M112" s="306">
        <f t="shared" ca="1" si="45"/>
        <v>1.4708274593337596</v>
      </c>
      <c r="N112" s="304">
        <f t="shared" ca="1" si="46"/>
        <v>84.272205811774143</v>
      </c>
      <c r="P112" s="310">
        <f t="shared" ca="1" si="47"/>
        <v>6</v>
      </c>
      <c r="Q112" s="304">
        <f t="shared" ca="1" si="48"/>
        <v>1008.6859649122806</v>
      </c>
      <c r="R112" s="306">
        <f t="shared" ca="1" si="49"/>
        <v>0.50528334092149918</v>
      </c>
      <c r="S112" s="307">
        <f t="shared" ca="1" si="50"/>
        <v>10.456685646667262</v>
      </c>
      <c r="T112" s="304">
        <f t="shared" ca="1" si="30"/>
        <v>102.58008619380584</v>
      </c>
      <c r="U112" s="311">
        <f t="shared" ca="1" si="31"/>
        <v>0</v>
      </c>
      <c r="V112" s="306">
        <f t="shared" ca="1" si="32"/>
        <v>1.219033735152365</v>
      </c>
      <c r="W112" s="304">
        <f t="shared" ca="1" si="33"/>
        <v>27.090028452615844</v>
      </c>
      <c r="Y112" s="314" t="str">
        <f t="shared" ca="1" si="51"/>
        <v/>
      </c>
      <c r="Z112" s="315" t="str">
        <f t="shared" ca="1" si="52"/>
        <v/>
      </c>
      <c r="AA112" s="316" t="str">
        <f t="shared" ca="1" si="53"/>
        <v/>
      </c>
      <c r="AC112" s="310" t="e">
        <f t="shared" ca="1" si="54"/>
        <v>#N/A</v>
      </c>
      <c r="AD112" s="323" t="e">
        <f t="shared" ca="1" si="55"/>
        <v>#N/A</v>
      </c>
      <c r="AE112" s="324">
        <f t="shared" ca="1" si="34"/>
        <v>48.823097339638743</v>
      </c>
      <c r="AG112" s="306">
        <f t="shared" ca="1" si="56"/>
        <v>84.158554595878641</v>
      </c>
      <c r="AH112" s="304">
        <f t="shared" ca="1" si="57"/>
        <v>93.919680327595458</v>
      </c>
    </row>
    <row r="113" spans="1:34" x14ac:dyDescent="0.2">
      <c r="A113" s="347">
        <f t="shared" ca="1" si="35"/>
        <v>0.01</v>
      </c>
      <c r="B113" s="304">
        <f t="shared" ca="1" si="36"/>
        <v>1.0900000000000007</v>
      </c>
      <c r="D113" s="306">
        <f t="shared" ca="1" si="37"/>
        <v>9.3684471166785102</v>
      </c>
      <c r="E113" s="307">
        <f t="shared" ca="1" si="38"/>
        <v>83.591254063363934</v>
      </c>
      <c r="F113" s="304">
        <f t="shared" ca="1" si="39"/>
        <v>84.114597765571347</v>
      </c>
      <c r="G113" s="306">
        <f t="shared" ca="1" si="40"/>
        <v>9.2438842040544973</v>
      </c>
      <c r="H113" s="307">
        <f t="shared" ca="1" si="41"/>
        <v>92.061290592932991</v>
      </c>
      <c r="I113" s="304">
        <f t="shared" ca="1" si="42"/>
        <v>92.524216402055629</v>
      </c>
      <c r="J113" s="306">
        <f t="shared" ca="1" si="43"/>
        <v>4.7472959234390517</v>
      </c>
      <c r="K113" s="307">
        <f t="shared" ca="1" si="44"/>
        <v>49.739530682864903</v>
      </c>
      <c r="L113" s="304">
        <f t="shared" ca="1" si="29"/>
        <v>49.965565453984006</v>
      </c>
      <c r="M113" s="306">
        <f t="shared" ca="1" si="45"/>
        <v>1.4707216425030636</v>
      </c>
      <c r="N113" s="304">
        <f t="shared" ca="1" si="46"/>
        <v>84.266142953973812</v>
      </c>
      <c r="P113" s="310">
        <f t="shared" ca="1" si="47"/>
        <v>6</v>
      </c>
      <c r="Q113" s="304">
        <f t="shared" ca="1" si="48"/>
        <v>1008.1842105263157</v>
      </c>
      <c r="R113" s="306">
        <f t="shared" ca="1" si="49"/>
        <v>0.50503199596253134</v>
      </c>
      <c r="S113" s="307">
        <f t="shared" ca="1" si="50"/>
        <v>10.451635326707637</v>
      </c>
      <c r="T113" s="304">
        <f t="shared" ca="1" si="30"/>
        <v>102.53054255500192</v>
      </c>
      <c r="U113" s="311">
        <f t="shared" ca="1" si="31"/>
        <v>0</v>
      </c>
      <c r="V113" s="306">
        <f t="shared" ca="1" si="32"/>
        <v>1.2189220232768347</v>
      </c>
      <c r="W113" s="304">
        <f t="shared" ca="1" si="33"/>
        <v>27.586821120228567</v>
      </c>
      <c r="Y113" s="314" t="str">
        <f t="shared" ca="1" si="51"/>
        <v/>
      </c>
      <c r="Z113" s="315" t="str">
        <f t="shared" ca="1" si="52"/>
        <v/>
      </c>
      <c r="AA113" s="316" t="str">
        <f t="shared" ca="1" si="53"/>
        <v/>
      </c>
      <c r="AC113" s="310" t="e">
        <f t="shared" ca="1" si="54"/>
        <v>#N/A</v>
      </c>
      <c r="AD113" s="323" t="e">
        <f t="shared" ca="1" si="55"/>
        <v>#N/A</v>
      </c>
      <c r="AE113" s="324">
        <f t="shared" ca="1" si="34"/>
        <v>49.739530682864903</v>
      </c>
      <c r="AG113" s="306">
        <f t="shared" ca="1" si="56"/>
        <v>84.108899618270939</v>
      </c>
      <c r="AH113" s="304">
        <f t="shared" ca="1" si="57"/>
        <v>93.869920965062391</v>
      </c>
    </row>
    <row r="114" spans="1:34" x14ac:dyDescent="0.2">
      <c r="A114" s="347">
        <f t="shared" ca="1" si="35"/>
        <v>0.01</v>
      </c>
      <c r="B114" s="304">
        <f t="shared" ca="1" si="36"/>
        <v>1.1000000000000008</v>
      </c>
      <c r="D114" s="306">
        <f t="shared" ca="1" si="37"/>
        <v>9.3733123363980368</v>
      </c>
      <c r="E114" s="307">
        <f t="shared" ca="1" si="38"/>
        <v>83.540285634363002</v>
      </c>
      <c r="F114" s="304">
        <f t="shared" ca="1" si="39"/>
        <v>84.064488983319393</v>
      </c>
      <c r="G114" s="306">
        <f t="shared" ca="1" si="40"/>
        <v>9.3376173274184779</v>
      </c>
      <c r="H114" s="307">
        <f t="shared" ca="1" si="41"/>
        <v>92.896693449276626</v>
      </c>
      <c r="I114" s="304">
        <f t="shared" ca="1" si="42"/>
        <v>93.364804670508363</v>
      </c>
      <c r="J114" s="306">
        <f t="shared" ca="1" si="43"/>
        <v>4.8402034310964162</v>
      </c>
      <c r="K114" s="307">
        <f t="shared" ca="1" si="44"/>
        <v>50.66432060307595</v>
      </c>
      <c r="L114" s="304">
        <f t="shared" ca="1" si="29"/>
        <v>50.894999277194842</v>
      </c>
      <c r="M114" s="306">
        <f t="shared" ca="1" si="45"/>
        <v>1.4706166677416936</v>
      </c>
      <c r="N114" s="304">
        <f t="shared" ca="1" si="46"/>
        <v>84.260128343191923</v>
      </c>
      <c r="P114" s="310">
        <f t="shared" ca="1" si="47"/>
        <v>6</v>
      </c>
      <c r="Q114" s="304">
        <f t="shared" ca="1" si="48"/>
        <v>1007.6824561403508</v>
      </c>
      <c r="R114" s="306">
        <f t="shared" ca="1" si="49"/>
        <v>0.50478065100356351</v>
      </c>
      <c r="S114" s="307">
        <f t="shared" ca="1" si="50"/>
        <v>10.446587520197602</v>
      </c>
      <c r="T114" s="304">
        <f t="shared" ca="1" si="30"/>
        <v>102.48102357313847</v>
      </c>
      <c r="U114" s="311">
        <f t="shared" ca="1" si="31"/>
        <v>0</v>
      </c>
      <c r="V114" s="306">
        <f t="shared" ca="1" si="32"/>
        <v>1.2188093030987515</v>
      </c>
      <c r="W114" s="304">
        <f t="shared" ca="1" si="33"/>
        <v>28.0877564032163</v>
      </c>
      <c r="Y114" s="314" t="str">
        <f t="shared" ca="1" si="51"/>
        <v/>
      </c>
      <c r="Z114" s="315" t="str">
        <f t="shared" ca="1" si="52"/>
        <v/>
      </c>
      <c r="AA114" s="316" t="str">
        <f t="shared" ca="1" si="53"/>
        <v/>
      </c>
      <c r="AC114" s="310" t="e">
        <f t="shared" ca="1" si="54"/>
        <v>#N/A</v>
      </c>
      <c r="AD114" s="323" t="e">
        <f t="shared" ca="1" si="55"/>
        <v>#N/A</v>
      </c>
      <c r="AE114" s="324">
        <f t="shared" ca="1" si="34"/>
        <v>50.66432060307595</v>
      </c>
      <c r="AG114" s="306">
        <f t="shared" ca="1" si="56"/>
        <v>84.058775402663372</v>
      </c>
      <c r="AH114" s="304">
        <f t="shared" ca="1" si="57"/>
        <v>93.819693093576205</v>
      </c>
    </row>
    <row r="115" spans="1:34" x14ac:dyDescent="0.2">
      <c r="A115" s="347">
        <f t="shared" ca="1" si="35"/>
        <v>0.01</v>
      </c>
      <c r="B115" s="304">
        <f t="shared" ca="1" si="36"/>
        <v>1.1100000000000008</v>
      </c>
      <c r="D115" s="306">
        <f t="shared" ca="1" si="37"/>
        <v>9.3780415163163831</v>
      </c>
      <c r="E115" s="307">
        <f t="shared" ca="1" si="38"/>
        <v>83.488859585701746</v>
      </c>
      <c r="F115" s="304">
        <f t="shared" ca="1" si="39"/>
        <v>84.013911571850869</v>
      </c>
      <c r="G115" s="306">
        <f t="shared" ca="1" si="40"/>
        <v>9.4313977425816411</v>
      </c>
      <c r="H115" s="307">
        <f t="shared" ca="1" si="41"/>
        <v>93.731582045133649</v>
      </c>
      <c r="I115" s="304">
        <f t="shared" ca="1" si="42"/>
        <v>94.204887007322469</v>
      </c>
      <c r="J115" s="306">
        <f t="shared" ca="1" si="43"/>
        <v>4.934048506446417</v>
      </c>
      <c r="K115" s="307">
        <f t="shared" ca="1" si="44"/>
        <v>51.597461980548005</v>
      </c>
      <c r="L115" s="304">
        <f t="shared" ca="1" si="29"/>
        <v>51.832836286451304</v>
      </c>
      <c r="M115" s="306">
        <f t="shared" ca="1" si="45"/>
        <v>1.470512520336521</v>
      </c>
      <c r="N115" s="304">
        <f t="shared" ca="1" si="46"/>
        <v>84.254161136428294</v>
      </c>
      <c r="P115" s="310">
        <f t="shared" ca="1" si="47"/>
        <v>6</v>
      </c>
      <c r="Q115" s="304">
        <f t="shared" ca="1" si="48"/>
        <v>1007.180701754386</v>
      </c>
      <c r="R115" s="306">
        <f t="shared" ca="1" si="49"/>
        <v>0.50452930604459556</v>
      </c>
      <c r="S115" s="307">
        <f t="shared" ca="1" si="50"/>
        <v>10.441542227137155</v>
      </c>
      <c r="T115" s="304">
        <f t="shared" ca="1" si="30"/>
        <v>102.4315292482155</v>
      </c>
      <c r="U115" s="311">
        <f t="shared" ca="1" si="31"/>
        <v>0</v>
      </c>
      <c r="V115" s="306">
        <f t="shared" ca="1" si="32"/>
        <v>1.2186955755224971</v>
      </c>
      <c r="W115" s="304">
        <f t="shared" ca="1" si="33"/>
        <v>28.592820902418516</v>
      </c>
      <c r="Y115" s="314" t="str">
        <f t="shared" ca="1" si="51"/>
        <v/>
      </c>
      <c r="Z115" s="315" t="str">
        <f t="shared" ca="1" si="52"/>
        <v/>
      </c>
      <c r="AA115" s="316" t="str">
        <f t="shared" ca="1" si="53"/>
        <v/>
      </c>
      <c r="AC115" s="310" t="e">
        <f t="shared" ca="1" si="54"/>
        <v>#N/A</v>
      </c>
      <c r="AD115" s="323" t="e">
        <f t="shared" ca="1" si="55"/>
        <v>#N/A</v>
      </c>
      <c r="AE115" s="324">
        <f t="shared" ca="1" si="34"/>
        <v>51.597461980548005</v>
      </c>
      <c r="AG115" s="306">
        <f t="shared" ca="1" si="56"/>
        <v>84.008182590887813</v>
      </c>
      <c r="AH115" s="304">
        <f t="shared" ca="1" si="57"/>
        <v>93.768997342801129</v>
      </c>
    </row>
    <row r="116" spans="1:34" x14ac:dyDescent="0.2">
      <c r="A116" s="347">
        <f t="shared" ca="1" si="35"/>
        <v>0.01</v>
      </c>
      <c r="B116" s="304">
        <f t="shared" ca="1" si="36"/>
        <v>1.1200000000000008</v>
      </c>
      <c r="D116" s="306">
        <f t="shared" ca="1" si="37"/>
        <v>9.3826360760210363</v>
      </c>
      <c r="E116" s="307">
        <f t="shared" ca="1" si="38"/>
        <v>83.436976446406049</v>
      </c>
      <c r="F116" s="304">
        <f t="shared" ca="1" si="39"/>
        <v>83.962866186506332</v>
      </c>
      <c r="G116" s="306">
        <f t="shared" ca="1" si="40"/>
        <v>9.5252241033418521</v>
      </c>
      <c r="H116" s="307">
        <f t="shared" ca="1" si="41"/>
        <v>94.565951809597706</v>
      </c>
      <c r="I116" s="304">
        <f t="shared" ca="1" si="42"/>
        <v>95.044458733132046</v>
      </c>
      <c r="J116" s="306">
        <f t="shared" ca="1" si="43"/>
        <v>5.0288316156760349</v>
      </c>
      <c r="K116" s="307">
        <f t="shared" ca="1" si="44"/>
        <v>52.53894964982166</v>
      </c>
      <c r="L116" s="304">
        <f t="shared" ca="1" si="29"/>
        <v>52.779071398853908</v>
      </c>
      <c r="M116" s="306">
        <f t="shared" ca="1" si="45"/>
        <v>1.4704091859575459</v>
      </c>
      <c r="N116" s="304">
        <f t="shared" ca="1" si="46"/>
        <v>84.24824051263441</v>
      </c>
      <c r="P116" s="310">
        <f t="shared" ca="1" si="47"/>
        <v>6</v>
      </c>
      <c r="Q116" s="304">
        <f t="shared" ca="1" si="48"/>
        <v>1006.6789473684209</v>
      </c>
      <c r="R116" s="306">
        <f t="shared" ca="1" si="49"/>
        <v>0.50427796108562761</v>
      </c>
      <c r="S116" s="307">
        <f t="shared" ca="1" si="50"/>
        <v>10.4364994475263</v>
      </c>
      <c r="T116" s="304">
        <f t="shared" ca="1" si="30"/>
        <v>102.382059580233</v>
      </c>
      <c r="U116" s="311">
        <f t="shared" ca="1" si="31"/>
        <v>0</v>
      </c>
      <c r="V116" s="306">
        <f t="shared" ca="1" si="32"/>
        <v>1.2185808414602626</v>
      </c>
      <c r="W116" s="304">
        <f t="shared" ca="1" si="33"/>
        <v>29.102001110852008</v>
      </c>
      <c r="Y116" s="314" t="str">
        <f t="shared" ca="1" si="51"/>
        <v/>
      </c>
      <c r="Z116" s="315" t="str">
        <f t="shared" ca="1" si="52"/>
        <v/>
      </c>
      <c r="AA116" s="316" t="str">
        <f t="shared" ca="1" si="53"/>
        <v/>
      </c>
      <c r="AC116" s="310" t="e">
        <f t="shared" ca="1" si="54"/>
        <v>#N/A</v>
      </c>
      <c r="AD116" s="323" t="e">
        <f t="shared" ca="1" si="55"/>
        <v>#N/A</v>
      </c>
      <c r="AE116" s="324">
        <f t="shared" ca="1" si="34"/>
        <v>52.53894964982166</v>
      </c>
      <c r="AG116" s="306">
        <f t="shared" ca="1" si="56"/>
        <v>83.957121836750019</v>
      </c>
      <c r="AH116" s="304">
        <f t="shared" ca="1" si="57"/>
        <v>93.717834354682225</v>
      </c>
    </row>
    <row r="117" spans="1:34" x14ac:dyDescent="0.2">
      <c r="A117" s="347">
        <f t="shared" ca="1" si="35"/>
        <v>0.01</v>
      </c>
      <c r="B117" s="304">
        <f t="shared" ca="1" si="36"/>
        <v>1.1300000000000008</v>
      </c>
      <c r="D117" s="306">
        <f t="shared" ca="1" si="37"/>
        <v>9.3870974001407426</v>
      </c>
      <c r="E117" s="307">
        <f t="shared" ca="1" si="38"/>
        <v>83.384636760542634</v>
      </c>
      <c r="F117" s="304">
        <f t="shared" ca="1" si="39"/>
        <v>83.911353494550227</v>
      </c>
      <c r="G117" s="306">
        <f t="shared" ca="1" si="40"/>
        <v>9.6190950773432604</v>
      </c>
      <c r="H117" s="307">
        <f t="shared" ca="1" si="41"/>
        <v>95.399798177203138</v>
      </c>
      <c r="I117" s="304">
        <f t="shared" ca="1" si="42"/>
        <v>95.883515175227387</v>
      </c>
      <c r="J117" s="306">
        <f t="shared" ca="1" si="43"/>
        <v>5.1245532115794603</v>
      </c>
      <c r="K117" s="307">
        <f t="shared" ca="1" si="44"/>
        <v>53.488778399755667</v>
      </c>
      <c r="L117" s="304">
        <f t="shared" ca="1" si="29"/>
        <v>53.733699484741209</v>
      </c>
      <c r="M117" s="306">
        <f t="shared" ca="1" si="45"/>
        <v>1.4703066506445759</v>
      </c>
      <c r="N117" s="304">
        <f t="shared" ca="1" si="46"/>
        <v>84.242365671950182</v>
      </c>
      <c r="P117" s="310">
        <f t="shared" ca="1" si="47"/>
        <v>6</v>
      </c>
      <c r="Q117" s="304">
        <f t="shared" ca="1" si="48"/>
        <v>1006.1771929824561</v>
      </c>
      <c r="R117" s="306">
        <f t="shared" ca="1" si="49"/>
        <v>0.50402661612665978</v>
      </c>
      <c r="S117" s="307">
        <f t="shared" ca="1" si="50"/>
        <v>10.431459181365033</v>
      </c>
      <c r="T117" s="304">
        <f t="shared" ca="1" si="30"/>
        <v>102.33261456919098</v>
      </c>
      <c r="U117" s="311">
        <f t="shared" ca="1" si="31"/>
        <v>0</v>
      </c>
      <c r="V117" s="306">
        <f t="shared" ca="1" si="32"/>
        <v>1.2184651018320287</v>
      </c>
      <c r="W117" s="304">
        <f t="shared" ca="1" si="33"/>
        <v>29.615283414297181</v>
      </c>
      <c r="Y117" s="314" t="str">
        <f t="shared" ca="1" si="51"/>
        <v/>
      </c>
      <c r="Z117" s="315" t="str">
        <f t="shared" ca="1" si="52"/>
        <v/>
      </c>
      <c r="AA117" s="316" t="str">
        <f t="shared" ca="1" si="53"/>
        <v/>
      </c>
      <c r="AC117" s="310" t="e">
        <f t="shared" ca="1" si="54"/>
        <v>#N/A</v>
      </c>
      <c r="AD117" s="323" t="e">
        <f t="shared" ca="1" si="55"/>
        <v>#N/A</v>
      </c>
      <c r="AE117" s="324">
        <f t="shared" ca="1" si="34"/>
        <v>53.488778399755667</v>
      </c>
      <c r="AG117" s="306">
        <f t="shared" ca="1" si="56"/>
        <v>83.905593806012803</v>
      </c>
      <c r="AH117" s="304">
        <f t="shared" ca="1" si="57"/>
        <v>93.666204783418095</v>
      </c>
    </row>
    <row r="118" spans="1:34" x14ac:dyDescent="0.2">
      <c r="A118" s="347">
        <f t="shared" ca="1" si="35"/>
        <v>0.01</v>
      </c>
      <c r="B118" s="304">
        <f t="shared" ca="1" si="36"/>
        <v>1.1400000000000008</v>
      </c>
      <c r="D118" s="306">
        <f t="shared" ca="1" si="37"/>
        <v>9.3914268396181768</v>
      </c>
      <c r="E118" s="307">
        <f t="shared" ca="1" si="38"/>
        <v>83.331841087092897</v>
      </c>
      <c r="F118" s="304">
        <f t="shared" ca="1" si="39"/>
        <v>83.859374175153519</v>
      </c>
      <c r="G118" s="306">
        <f t="shared" ca="1" si="40"/>
        <v>9.713009345739442</v>
      </c>
      <c r="H118" s="307">
        <f t="shared" ca="1" si="41"/>
        <v>96.233116588074068</v>
      </c>
      <c r="I118" s="304">
        <f t="shared" ca="1" si="42"/>
        <v>96.722051667674421</v>
      </c>
      <c r="J118" s="306">
        <f t="shared" ca="1" si="43"/>
        <v>5.2212137336948734</v>
      </c>
      <c r="K118" s="307">
        <f t="shared" ca="1" si="44"/>
        <v>54.446942973582054</v>
      </c>
      <c r="L118" s="304">
        <f t="shared" ca="1" si="29"/>
        <v>54.696715367756958</v>
      </c>
      <c r="M118" s="306">
        <f t="shared" ca="1" si="45"/>
        <v>1.4702049007944791</v>
      </c>
      <c r="N118" s="304">
        <f t="shared" ca="1" si="46"/>
        <v>84.236535834973537</v>
      </c>
      <c r="P118" s="310">
        <f t="shared" ca="1" si="47"/>
        <v>6</v>
      </c>
      <c r="Q118" s="304">
        <f t="shared" ca="1" si="48"/>
        <v>1005.6754385964912</v>
      </c>
      <c r="R118" s="306">
        <f t="shared" ca="1" si="49"/>
        <v>0.50377527116769194</v>
      </c>
      <c r="S118" s="307">
        <f t="shared" ca="1" si="50"/>
        <v>10.426421428653356</v>
      </c>
      <c r="T118" s="304">
        <f t="shared" ca="1" si="30"/>
        <v>102.28319421508942</v>
      </c>
      <c r="U118" s="311">
        <f t="shared" ca="1" si="31"/>
        <v>0</v>
      </c>
      <c r="V118" s="306">
        <f t="shared" ca="1" si="32"/>
        <v>1.2183483575655516</v>
      </c>
      <c r="W118" s="304">
        <f t="shared" ca="1" si="33"/>
        <v>30.132654091890394</v>
      </c>
      <c r="Y118" s="314" t="str">
        <f t="shared" ca="1" si="51"/>
        <v/>
      </c>
      <c r="Z118" s="315" t="str">
        <f t="shared" ca="1" si="52"/>
        <v/>
      </c>
      <c r="AA118" s="316" t="str">
        <f t="shared" ca="1" si="53"/>
        <v/>
      </c>
      <c r="AC118" s="310" t="e">
        <f t="shared" ca="1" si="54"/>
        <v>#N/A</v>
      </c>
      <c r="AD118" s="323" t="e">
        <f t="shared" ca="1" si="55"/>
        <v>#N/A</v>
      </c>
      <c r="AE118" s="324">
        <f t="shared" ca="1" si="34"/>
        <v>54.446942973582054</v>
      </c>
      <c r="AG118" s="306">
        <f t="shared" ca="1" si="56"/>
        <v>83.853599176377514</v>
      </c>
      <c r="AH118" s="304">
        <f t="shared" ca="1" si="57"/>
        <v>93.614109295432428</v>
      </c>
    </row>
    <row r="119" spans="1:34" x14ac:dyDescent="0.2">
      <c r="A119" s="347">
        <f t="shared" ca="1" si="35"/>
        <v>0.01</v>
      </c>
      <c r="B119" s="304">
        <f t="shared" ca="1" si="36"/>
        <v>1.1500000000000008</v>
      </c>
      <c r="D119" s="306">
        <f t="shared" ca="1" si="37"/>
        <v>9.3956257129275205</v>
      </c>
      <c r="E119" s="307">
        <f t="shared" ca="1" si="38"/>
        <v>83.278589999830487</v>
      </c>
      <c r="F119" s="304">
        <f t="shared" ca="1" si="39"/>
        <v>83.806928919375707</v>
      </c>
      <c r="G119" s="306">
        <f t="shared" ca="1" si="40"/>
        <v>9.8069656028687167</v>
      </c>
      <c r="H119" s="307">
        <f t="shared" ca="1" si="41"/>
        <v>97.065902488072368</v>
      </c>
      <c r="I119" s="304">
        <f t="shared" ca="1" si="42"/>
        <v>97.560063551433913</v>
      </c>
      <c r="J119" s="306">
        <f t="shared" ca="1" si="43"/>
        <v>5.3188136084379138</v>
      </c>
      <c r="K119" s="307">
        <f t="shared" ca="1" si="44"/>
        <v>55.413438068962783</v>
      </c>
      <c r="L119" s="304">
        <f t="shared" ca="1" si="29"/>
        <v>55.668113824918464</v>
      </c>
      <c r="M119" s="306">
        <f t="shared" ca="1" si="45"/>
        <v>1.4701039231489874</v>
      </c>
      <c r="N119" s="304">
        <f t="shared" ca="1" si="46"/>
        <v>84.230750242061703</v>
      </c>
      <c r="P119" s="310">
        <f t="shared" ca="1" si="47"/>
        <v>6</v>
      </c>
      <c r="Q119" s="304">
        <f t="shared" ca="1" si="48"/>
        <v>1005.1736842105263</v>
      </c>
      <c r="R119" s="306">
        <f t="shared" ca="1" si="49"/>
        <v>0.50352392620872399</v>
      </c>
      <c r="S119" s="307">
        <f t="shared" ca="1" si="50"/>
        <v>10.421386189391269</v>
      </c>
      <c r="T119" s="304">
        <f t="shared" ca="1" si="30"/>
        <v>102.23379851792835</v>
      </c>
      <c r="U119" s="311">
        <f t="shared" ca="1" si="31"/>
        <v>0</v>
      </c>
      <c r="V119" s="306">
        <f t="shared" ca="1" si="32"/>
        <v>1.2182306095963473</v>
      </c>
      <c r="W119" s="304">
        <f t="shared" ca="1" si="33"/>
        <v>30.654099316722213</v>
      </c>
      <c r="Y119" s="314" t="str">
        <f t="shared" ca="1" si="51"/>
        <v/>
      </c>
      <c r="Z119" s="315" t="str">
        <f t="shared" ca="1" si="52"/>
        <v/>
      </c>
      <c r="AA119" s="316" t="str">
        <f t="shared" ca="1" si="53"/>
        <v/>
      </c>
      <c r="AC119" s="310" t="e">
        <f t="shared" ca="1" si="54"/>
        <v>#N/A</v>
      </c>
      <c r="AD119" s="323" t="e">
        <f t="shared" ca="1" si="55"/>
        <v>#N/A</v>
      </c>
      <c r="AE119" s="324">
        <f t="shared" ca="1" si="34"/>
        <v>55.413438068962783</v>
      </c>
      <c r="AG119" s="306">
        <f t="shared" ca="1" si="56"/>
        <v>83.801138637465058</v>
      </c>
      <c r="AH119" s="304">
        <f t="shared" ca="1" si="57"/>
        <v>93.561548569345334</v>
      </c>
    </row>
    <row r="120" spans="1:34" x14ac:dyDescent="0.2">
      <c r="A120" s="347">
        <f t="shared" ca="1" si="35"/>
        <v>0.01</v>
      </c>
      <c r="B120" s="304">
        <f t="shared" ca="1" si="36"/>
        <v>1.1600000000000008</v>
      </c>
      <c r="D120" s="306">
        <f t="shared" ca="1" si="37"/>
        <v>9.3996953072391545</v>
      </c>
      <c r="E120" s="307">
        <f t="shared" ca="1" si="38"/>
        <v>83.224884087201971</v>
      </c>
      <c r="F120" s="304">
        <f t="shared" ca="1" si="39"/>
        <v>83.754018430145408</v>
      </c>
      <c r="G120" s="306">
        <f t="shared" ca="1" si="40"/>
        <v>9.9009625559411081</v>
      </c>
      <c r="H120" s="307">
        <f t="shared" ca="1" si="41"/>
        <v>97.898151328944394</v>
      </c>
      <c r="I120" s="304">
        <f t="shared" ca="1" si="42"/>
        <v>98.39754617448061</v>
      </c>
      <c r="J120" s="306">
        <f t="shared" ca="1" si="43"/>
        <v>5.4173532492319634</v>
      </c>
      <c r="K120" s="307">
        <f t="shared" ca="1" si="44"/>
        <v>56.388258338047869</v>
      </c>
      <c r="L120" s="304">
        <f t="shared" ca="1" si="29"/>
        <v>56.64788958668619</v>
      </c>
      <c r="M120" s="306">
        <f t="shared" ca="1" si="45"/>
        <v>1.4700037047830168</v>
      </c>
      <c r="N120" s="304">
        <f t="shared" ca="1" si="46"/>
        <v>84.225008152661886</v>
      </c>
      <c r="P120" s="310">
        <f t="shared" ca="1" si="47"/>
        <v>6</v>
      </c>
      <c r="Q120" s="304">
        <f t="shared" ca="1" si="48"/>
        <v>1004.6719298245613</v>
      </c>
      <c r="R120" s="306">
        <f t="shared" ca="1" si="49"/>
        <v>0.50327258124975605</v>
      </c>
      <c r="S120" s="307">
        <f t="shared" ca="1" si="50"/>
        <v>10.416353463578771</v>
      </c>
      <c r="T120" s="304">
        <f t="shared" ca="1" si="30"/>
        <v>102.18442747770774</v>
      </c>
      <c r="U120" s="311">
        <f t="shared" ca="1" si="31"/>
        <v>0</v>
      </c>
      <c r="V120" s="306">
        <f t="shared" ca="1" si="32"/>
        <v>1.2181118588676711</v>
      </c>
      <c r="W120" s="304">
        <f t="shared" ca="1" si="33"/>
        <v>31.179605156441468</v>
      </c>
      <c r="Y120" s="314" t="str">
        <f t="shared" ca="1" si="51"/>
        <v/>
      </c>
      <c r="Z120" s="315" t="str">
        <f t="shared" ca="1" si="52"/>
        <v/>
      </c>
      <c r="AA120" s="316" t="str">
        <f t="shared" ca="1" si="53"/>
        <v/>
      </c>
      <c r="AC120" s="310" t="e">
        <f t="shared" ca="1" si="54"/>
        <v>#N/A</v>
      </c>
      <c r="AD120" s="323" t="e">
        <f t="shared" ca="1" si="55"/>
        <v>#N/A</v>
      </c>
      <c r="AE120" s="324">
        <f t="shared" ca="1" si="34"/>
        <v>56.388258338047869</v>
      </c>
      <c r="AG120" s="306">
        <f t="shared" ca="1" si="56"/>
        <v>83.748212890795372</v>
      </c>
      <c r="AH120" s="304">
        <f t="shared" ca="1" si="57"/>
        <v>93.508523295943675</v>
      </c>
    </row>
    <row r="121" spans="1:34" x14ac:dyDescent="0.2">
      <c r="A121" s="347">
        <f t="shared" ca="1" si="35"/>
        <v>0.01</v>
      </c>
      <c r="B121" s="304">
        <f t="shared" ca="1" si="36"/>
        <v>1.1700000000000008</v>
      </c>
      <c r="D121" s="306">
        <f t="shared" ca="1" si="37"/>
        <v>9.4036368795347443</v>
      </c>
      <c r="E121" s="307">
        <f t="shared" ca="1" si="38"/>
        <v>83.170723952210636</v>
      </c>
      <c r="F121" s="304">
        <f t="shared" ca="1" si="39"/>
        <v>83.700643422240006</v>
      </c>
      <c r="G121" s="306">
        <f t="shared" ca="1" si="40"/>
        <v>9.9949989247364552</v>
      </c>
      <c r="H121" s="307">
        <f t="shared" ca="1" si="41"/>
        <v>98.729858568466497</v>
      </c>
      <c r="I121" s="304">
        <f t="shared" ca="1" si="42"/>
        <v>99.234494891921926</v>
      </c>
      <c r="J121" s="306">
        <f t="shared" ca="1" si="43"/>
        <v>5.5168330566353516</v>
      </c>
      <c r="K121" s="307">
        <f t="shared" ca="1" si="44"/>
        <v>57.371398387534924</v>
      </c>
      <c r="L121" s="304">
        <f t="shared" ca="1" si="29"/>
        <v>57.636037337034452</v>
      </c>
      <c r="M121" s="306">
        <f t="shared" ca="1" si="45"/>
        <v>1.4699042330934831</v>
      </c>
      <c r="N121" s="304">
        <f t="shared" ca="1" si="46"/>
        <v>84.219308844670564</v>
      </c>
      <c r="P121" s="310">
        <f t="shared" ca="1" si="47"/>
        <v>6</v>
      </c>
      <c r="Q121" s="304">
        <f t="shared" ca="1" si="48"/>
        <v>1004.1701754385964</v>
      </c>
      <c r="R121" s="306">
        <f t="shared" ca="1" si="49"/>
        <v>0.50302123629078821</v>
      </c>
      <c r="S121" s="307">
        <f t="shared" ca="1" si="50"/>
        <v>10.411323251215864</v>
      </c>
      <c r="T121" s="304">
        <f t="shared" ca="1" si="30"/>
        <v>102.13508109442763</v>
      </c>
      <c r="U121" s="311">
        <f t="shared" ca="1" si="31"/>
        <v>0</v>
      </c>
      <c r="V121" s="306">
        <f t="shared" ca="1" si="32"/>
        <v>1.2179921063305055</v>
      </c>
      <c r="W121" s="304">
        <f t="shared" ca="1" si="33"/>
        <v>31.709157573865212</v>
      </c>
      <c r="Y121" s="314" t="str">
        <f t="shared" ca="1" si="51"/>
        <v/>
      </c>
      <c r="Z121" s="315" t="str">
        <f t="shared" ca="1" si="52"/>
        <v/>
      </c>
      <c r="AA121" s="316" t="str">
        <f t="shared" ca="1" si="53"/>
        <v/>
      </c>
      <c r="AC121" s="310" t="e">
        <f t="shared" ca="1" si="54"/>
        <v>#N/A</v>
      </c>
      <c r="AD121" s="323" t="e">
        <f t="shared" ca="1" si="55"/>
        <v>#N/A</v>
      </c>
      <c r="AE121" s="324">
        <f t="shared" ca="1" si="34"/>
        <v>57.371398387534924</v>
      </c>
      <c r="AG121" s="306">
        <f t="shared" ca="1" si="56"/>
        <v>83.69482264976601</v>
      </c>
      <c r="AH121" s="304">
        <f t="shared" ca="1" si="57"/>
        <v>93.455034178150839</v>
      </c>
    </row>
    <row r="122" spans="1:34" x14ac:dyDescent="0.2">
      <c r="A122" s="347">
        <f t="shared" ca="1" si="35"/>
        <v>0.01</v>
      </c>
      <c r="B122" s="304">
        <f t="shared" ca="1" si="36"/>
        <v>1.1800000000000008</v>
      </c>
      <c r="D122" s="306">
        <f t="shared" ca="1" si="37"/>
        <v>9.407451657674704</v>
      </c>
      <c r="E122" s="307">
        <f t="shared" ca="1" si="38"/>
        <v>83.116110212303028</v>
      </c>
      <c r="F122" s="304">
        <f t="shared" ca="1" si="39"/>
        <v>83.6468046222639</v>
      </c>
      <c r="G122" s="306">
        <f t="shared" ca="1" si="40"/>
        <v>10.089073441313202</v>
      </c>
      <c r="H122" s="307">
        <f t="shared" ca="1" si="41"/>
        <v>99.561019670589531</v>
      </c>
      <c r="I122" s="304">
        <f t="shared" ca="1" si="42"/>
        <v>100.07090506611662</v>
      </c>
      <c r="J122" s="306">
        <f t="shared" ca="1" si="43"/>
        <v>5.6172534184655998</v>
      </c>
      <c r="K122" s="307">
        <f t="shared" ca="1" si="44"/>
        <v>58.362852778730208</v>
      </c>
      <c r="L122" s="304">
        <f t="shared" ca="1" si="29"/>
        <v>58.632551713523434</v>
      </c>
      <c r="M122" s="306">
        <f t="shared" ca="1" si="45"/>
        <v>1.4698054957885824</v>
      </c>
      <c r="N122" s="304">
        <f t="shared" ca="1" si="46"/>
        <v>84.213651613819266</v>
      </c>
      <c r="P122" s="310">
        <f t="shared" ca="1" si="47"/>
        <v>6</v>
      </c>
      <c r="Q122" s="304">
        <f t="shared" ca="1" si="48"/>
        <v>1003.6684210526315</v>
      </c>
      <c r="R122" s="306">
        <f t="shared" ca="1" si="49"/>
        <v>0.50276989133182026</v>
      </c>
      <c r="S122" s="307">
        <f t="shared" ca="1" si="50"/>
        <v>10.406295552302545</v>
      </c>
      <c r="T122" s="304">
        <f t="shared" ca="1" si="30"/>
        <v>102.08575936808798</v>
      </c>
      <c r="U122" s="311">
        <f t="shared" ca="1" si="31"/>
        <v>0</v>
      </c>
      <c r="V122" s="306">
        <f t="shared" ca="1" si="32"/>
        <v>1.217871352943539</v>
      </c>
      <c r="W122" s="304">
        <f t="shared" ca="1" si="33"/>
        <v>32.242742427594337</v>
      </c>
      <c r="Y122" s="314" t="str">
        <f t="shared" ca="1" si="51"/>
        <v/>
      </c>
      <c r="Z122" s="315" t="str">
        <f t="shared" ca="1" si="52"/>
        <v/>
      </c>
      <c r="AA122" s="316" t="str">
        <f t="shared" ca="1" si="53"/>
        <v/>
      </c>
      <c r="AC122" s="310" t="e">
        <f t="shared" ca="1" si="54"/>
        <v>#N/A</v>
      </c>
      <c r="AD122" s="323" t="e">
        <f t="shared" ca="1" si="55"/>
        <v>#N/A</v>
      </c>
      <c r="AE122" s="324">
        <f t="shared" ca="1" si="34"/>
        <v>58.362852778730208</v>
      </c>
      <c r="AG122" s="306">
        <f t="shared" ca="1" si="56"/>
        <v>83.640968639629534</v>
      </c>
      <c r="AH122" s="304">
        <f t="shared" ca="1" si="57"/>
        <v>93.401081930995716</v>
      </c>
    </row>
    <row r="123" spans="1:34" x14ac:dyDescent="0.2">
      <c r="A123" s="347">
        <f t="shared" ca="1" si="35"/>
        <v>0.01</v>
      </c>
      <c r="B123" s="304">
        <f t="shared" ca="1" si="36"/>
        <v>1.1900000000000008</v>
      </c>
      <c r="D123" s="306">
        <f t="shared" ca="1" si="37"/>
        <v>9.4111408414210675</v>
      </c>
      <c r="E123" s="307">
        <f t="shared" ca="1" si="38"/>
        <v>83.061043499258389</v>
      </c>
      <c r="F123" s="304">
        <f t="shared" ca="1" si="39"/>
        <v>83.592502768626076</v>
      </c>
      <c r="G123" s="306">
        <f t="shared" ca="1" si="40"/>
        <v>10.183184849727413</v>
      </c>
      <c r="H123" s="307">
        <f t="shared" ca="1" si="41"/>
        <v>100.39163010558211</v>
      </c>
      <c r="I123" s="304">
        <f t="shared" ca="1" si="42"/>
        <v>100.90677206679311</v>
      </c>
      <c r="J123" s="306">
        <f t="shared" ca="1" si="43"/>
        <v>5.7186147099208027</v>
      </c>
      <c r="K123" s="307">
        <f t="shared" ca="1" si="44"/>
        <v>59.362616027611068</v>
      </c>
      <c r="L123" s="304">
        <f t="shared" ca="1" si="29"/>
        <v>59.637427307372249</v>
      </c>
      <c r="M123" s="306">
        <f t="shared" ca="1" si="45"/>
        <v>1.4697074808775212</v>
      </c>
      <c r="N123" s="304">
        <f t="shared" ca="1" si="46"/>
        <v>84.20803577308611</v>
      </c>
      <c r="P123" s="310">
        <f t="shared" ca="1" si="47"/>
        <v>6</v>
      </c>
      <c r="Q123" s="304">
        <f t="shared" ca="1" si="48"/>
        <v>1003.1666666666666</v>
      </c>
      <c r="R123" s="306">
        <f t="shared" ca="1" si="49"/>
        <v>0.50251854637285243</v>
      </c>
      <c r="S123" s="307">
        <f t="shared" ca="1" si="50"/>
        <v>10.401270366838817</v>
      </c>
      <c r="T123" s="304">
        <f t="shared" ca="1" si="30"/>
        <v>102.0364622986888</v>
      </c>
      <c r="U123" s="311">
        <f t="shared" ca="1" si="31"/>
        <v>0</v>
      </c>
      <c r="V123" s="306">
        <f t="shared" ca="1" si="32"/>
        <v>1.2177495996731502</v>
      </c>
      <c r="W123" s="304">
        <f t="shared" ca="1" si="33"/>
        <v>32.780345472634949</v>
      </c>
      <c r="Y123" s="314" t="str">
        <f t="shared" ca="1" si="51"/>
        <v/>
      </c>
      <c r="Z123" s="315" t="str">
        <f t="shared" ca="1" si="52"/>
        <v/>
      </c>
      <c r="AA123" s="316" t="str">
        <f t="shared" ca="1" si="53"/>
        <v/>
      </c>
      <c r="AC123" s="310" t="e">
        <f t="shared" ca="1" si="54"/>
        <v>#N/A</v>
      </c>
      <c r="AD123" s="323" t="e">
        <f t="shared" ca="1" si="55"/>
        <v>#N/A</v>
      </c>
      <c r="AE123" s="324">
        <f t="shared" ca="1" si="34"/>
        <v>59.362616027611068</v>
      </c>
      <c r="AG123" s="306">
        <f t="shared" ca="1" si="56"/>
        <v>83.586651597470095</v>
      </c>
      <c r="AH123" s="304">
        <f t="shared" ca="1" si="57"/>
        <v>93.346667281581119</v>
      </c>
    </row>
    <row r="124" spans="1:34" x14ac:dyDescent="0.2">
      <c r="A124" s="347">
        <f t="shared" ca="1" si="35"/>
        <v>0.01</v>
      </c>
      <c r="B124" s="304">
        <f t="shared" ca="1" si="36"/>
        <v>1.2000000000000008</v>
      </c>
      <c r="D124" s="306">
        <f t="shared" ca="1" si="37"/>
        <v>9.4147056034172234</v>
      </c>
      <c r="E124" s="307">
        <f t="shared" ca="1" si="38"/>
        <v>83.005524459080505</v>
      </c>
      <c r="F124" s="304">
        <f t="shared" ca="1" si="39"/>
        <v>83.537738611516332</v>
      </c>
      <c r="G124" s="306">
        <f t="shared" ca="1" si="40"/>
        <v>10.277331905761585</v>
      </c>
      <c r="H124" s="307">
        <f t="shared" ca="1" si="41"/>
        <v>101.22168535017292</v>
      </c>
      <c r="I124" s="304">
        <f t="shared" ca="1" si="42"/>
        <v>101.7420912711676</v>
      </c>
      <c r="J124" s="306">
        <f t="shared" ca="1" si="43"/>
        <v>5.8209172936982476</v>
      </c>
      <c r="K124" s="307">
        <f t="shared" ca="1" si="44"/>
        <v>60.370682604889844</v>
      </c>
      <c r="L124" s="304">
        <f t="shared" ca="1" si="29"/>
        <v>60.650658663533278</v>
      </c>
      <c r="M124" s="306">
        <f t="shared" ca="1" si="45"/>
        <v>1.4696101766606642</v>
      </c>
      <c r="N124" s="304">
        <f t="shared" ca="1" si="46"/>
        <v>84.202460652131379</v>
      </c>
      <c r="P124" s="310">
        <f t="shared" ca="1" si="47"/>
        <v>6</v>
      </c>
      <c r="Q124" s="304">
        <f t="shared" ca="1" si="48"/>
        <v>1002.6649122807017</v>
      </c>
      <c r="R124" s="306">
        <f t="shared" ca="1" si="49"/>
        <v>0.50226720141388459</v>
      </c>
      <c r="S124" s="307">
        <f t="shared" ca="1" si="50"/>
        <v>10.396247694824678</v>
      </c>
      <c r="T124" s="304">
        <f t="shared" ca="1" si="30"/>
        <v>101.9871898862301</v>
      </c>
      <c r="U124" s="311">
        <f t="shared" ca="1" si="31"/>
        <v>0</v>
      </c>
      <c r="V124" s="306">
        <f t="shared" ca="1" si="32"/>
        <v>1.2176268474933898</v>
      </c>
      <c r="W124" s="304">
        <f t="shared" ca="1" si="33"/>
        <v>33.321952361025502</v>
      </c>
      <c r="Y124" s="314" t="str">
        <f t="shared" ca="1" si="51"/>
        <v/>
      </c>
      <c r="Z124" s="315" t="str">
        <f t="shared" ca="1" si="52"/>
        <v/>
      </c>
      <c r="AA124" s="316" t="str">
        <f t="shared" ca="1" si="53"/>
        <v/>
      </c>
      <c r="AC124" s="310" t="e">
        <f t="shared" ca="1" si="54"/>
        <v>#N/A</v>
      </c>
      <c r="AD124" s="323" t="e">
        <f t="shared" ca="1" si="55"/>
        <v>#N/A</v>
      </c>
      <c r="AE124" s="324">
        <f t="shared" ca="1" si="34"/>
        <v>60.370682604889844</v>
      </c>
      <c r="AG124" s="306">
        <f t="shared" ca="1" si="56"/>
        <v>83.531872272178788</v>
      </c>
      <c r="AH124" s="304">
        <f t="shared" ca="1" si="57"/>
        <v>93.291790969051434</v>
      </c>
    </row>
    <row r="125" spans="1:34" x14ac:dyDescent="0.2">
      <c r="A125" s="347">
        <f t="shared" ca="1" si="35"/>
        <v>0.01</v>
      </c>
      <c r="B125" s="304">
        <f t="shared" ca="1" si="36"/>
        <v>1.2100000000000009</v>
      </c>
      <c r="D125" s="306">
        <f t="shared" ca="1" si="37"/>
        <v>9.4181470901274178</v>
      </c>
      <c r="E125" s="307">
        <f t="shared" ca="1" si="38"/>
        <v>82.949553751891884</v>
      </c>
      <c r="F125" s="304">
        <f t="shared" ca="1" si="39"/>
        <v>83.482512912880608</v>
      </c>
      <c r="G125" s="306">
        <f t="shared" ca="1" si="40"/>
        <v>10.371513376662859</v>
      </c>
      <c r="H125" s="307">
        <f t="shared" ca="1" si="41"/>
        <v>102.05118088769184</v>
      </c>
      <c r="I125" s="304">
        <f t="shared" ca="1" si="42"/>
        <v>102.57685806406188</v>
      </c>
      <c r="J125" s="306">
        <f t="shared" ca="1" si="43"/>
        <v>5.9241615201103697</v>
      </c>
      <c r="K125" s="307">
        <f t="shared" ca="1" si="44"/>
        <v>61.387046936079166</v>
      </c>
      <c r="L125" s="304">
        <f t="shared" ca="1" si="29"/>
        <v>61.672240280767674</v>
      </c>
      <c r="M125" s="306">
        <f t="shared" ca="1" si="45"/>
        <v>1.4695135717200865</v>
      </c>
      <c r="N125" s="304">
        <f t="shared" ca="1" si="46"/>
        <v>84.196925596756159</v>
      </c>
      <c r="P125" s="310">
        <f t="shared" ca="1" si="47"/>
        <v>6</v>
      </c>
      <c r="Q125" s="304">
        <f t="shared" ca="1" si="48"/>
        <v>1002.1631578947367</v>
      </c>
      <c r="R125" s="306">
        <f t="shared" ca="1" si="49"/>
        <v>0.50201585645491664</v>
      </c>
      <c r="S125" s="307">
        <f t="shared" ca="1" si="50"/>
        <v>10.391227536260129</v>
      </c>
      <c r="T125" s="304">
        <f t="shared" ca="1" si="30"/>
        <v>101.93794213071186</v>
      </c>
      <c r="U125" s="311">
        <f t="shared" ca="1" si="31"/>
        <v>0</v>
      </c>
      <c r="V125" s="306">
        <f t="shared" ca="1" si="32"/>
        <v>1.2175030973859622</v>
      </c>
      <c r="W125" s="304">
        <f t="shared" ca="1" si="33"/>
        <v>33.867548642469387</v>
      </c>
      <c r="Y125" s="314" t="str">
        <f t="shared" ca="1" si="51"/>
        <v/>
      </c>
      <c r="Z125" s="315" t="str">
        <f t="shared" ca="1" si="52"/>
        <v/>
      </c>
      <c r="AA125" s="316" t="str">
        <f t="shared" ca="1" si="53"/>
        <v/>
      </c>
      <c r="AC125" s="310" t="e">
        <f t="shared" ca="1" si="54"/>
        <v>#N/A</v>
      </c>
      <c r="AD125" s="323" t="e">
        <f t="shared" ca="1" si="55"/>
        <v>#N/A</v>
      </c>
      <c r="AE125" s="324">
        <f t="shared" ca="1" si="34"/>
        <v>61.387046936079166</v>
      </c>
      <c r="AG125" s="306">
        <f t="shared" ca="1" si="56"/>
        <v>83.476631424428078</v>
      </c>
      <c r="AH125" s="304">
        <f t="shared" ca="1" si="57"/>
        <v>93.236453744559569</v>
      </c>
    </row>
    <row r="126" spans="1:34" x14ac:dyDescent="0.2">
      <c r="A126" s="347">
        <f t="shared" ca="1" si="35"/>
        <v>0.01</v>
      </c>
      <c r="B126" s="304">
        <f t="shared" ca="1" si="36"/>
        <v>1.2200000000000009</v>
      </c>
      <c r="D126" s="306">
        <f t="shared" ca="1" si="37"/>
        <v>9.4214664227375184</v>
      </c>
      <c r="E126" s="307">
        <f t="shared" ca="1" si="38"/>
        <v>82.893132051830321</v>
      </c>
      <c r="F126" s="304">
        <f t="shared" ca="1" si="39"/>
        <v>83.426826446395225</v>
      </c>
      <c r="G126" s="306">
        <f t="shared" ca="1" si="40"/>
        <v>10.465728040890234</v>
      </c>
      <c r="H126" s="307">
        <f t="shared" ca="1" si="41"/>
        <v>102.88011220821015</v>
      </c>
      <c r="I126" s="304">
        <f t="shared" ca="1" si="42"/>
        <v>103.41106783802103</v>
      </c>
      <c r="J126" s="306">
        <f t="shared" ca="1" si="43"/>
        <v>6.0283477271981347</v>
      </c>
      <c r="K126" s="307">
        <f t="shared" ca="1" si="44"/>
        <v>62.411703401558675</v>
      </c>
      <c r="L126" s="304">
        <f t="shared" ca="1" si="29"/>
        <v>62.702166611721999</v>
      </c>
      <c r="M126" s="306">
        <f t="shared" ca="1" si="45"/>
        <v>1.4694176549105091</v>
      </c>
      <c r="N126" s="304">
        <f t="shared" ca="1" si="46"/>
        <v>84.191429968383019</v>
      </c>
      <c r="P126" s="310">
        <f t="shared" ca="1" si="47"/>
        <v>6</v>
      </c>
      <c r="Q126" s="304">
        <f t="shared" ca="1" si="48"/>
        <v>1001.6614035087719</v>
      </c>
      <c r="R126" s="306">
        <f t="shared" ca="1" si="49"/>
        <v>0.5017645114959487</v>
      </c>
      <c r="S126" s="307">
        <f t="shared" ca="1" si="50"/>
        <v>10.386209891145169</v>
      </c>
      <c r="T126" s="304">
        <f t="shared" ca="1" si="30"/>
        <v>101.88871903213412</v>
      </c>
      <c r="U126" s="311">
        <f t="shared" ca="1" si="31"/>
        <v>0</v>
      </c>
      <c r="V126" s="306">
        <f t="shared" ca="1" si="32"/>
        <v>1.2173783503402091</v>
      </c>
      <c r="W126" s="304">
        <f t="shared" ca="1" si="33"/>
        <v>34.417119764973251</v>
      </c>
      <c r="Y126" s="314" t="str">
        <f t="shared" ca="1" si="51"/>
        <v/>
      </c>
      <c r="Z126" s="315" t="str">
        <f t="shared" ca="1" si="52"/>
        <v/>
      </c>
      <c r="AA126" s="316" t="str">
        <f t="shared" ca="1" si="53"/>
        <v/>
      </c>
      <c r="AC126" s="310" t="e">
        <f t="shared" ca="1" si="54"/>
        <v>#N/A</v>
      </c>
      <c r="AD126" s="323" t="e">
        <f t="shared" ca="1" si="55"/>
        <v>#N/A</v>
      </c>
      <c r="AE126" s="324">
        <f t="shared" ca="1" si="34"/>
        <v>62.411703401558675</v>
      </c>
      <c r="AG126" s="306">
        <f t="shared" ca="1" si="56"/>
        <v>83.420929826645335</v>
      </c>
      <c r="AH126" s="304">
        <f t="shared" ca="1" si="57"/>
        <v>93.180656371233297</v>
      </c>
    </row>
    <row r="127" spans="1:34" x14ac:dyDescent="0.2">
      <c r="A127" s="347">
        <f t="shared" ca="1" si="35"/>
        <v>0.01</v>
      </c>
      <c r="B127" s="304">
        <f t="shared" ca="1" si="36"/>
        <v>1.2300000000000009</v>
      </c>
      <c r="D127" s="306">
        <f t="shared" ca="1" si="37"/>
        <v>9.4246646980189386</v>
      </c>
      <c r="E127" s="307">
        <f t="shared" ca="1" si="38"/>
        <v>82.836260046947402</v>
      </c>
      <c r="F127" s="304">
        <f t="shared" ca="1" si="39"/>
        <v>83.37067999744022</v>
      </c>
      <c r="G127" s="306">
        <f t="shared" ca="1" si="40"/>
        <v>10.559974687870422</v>
      </c>
      <c r="H127" s="307">
        <f t="shared" ca="1" si="41"/>
        <v>103.70847480867963</v>
      </c>
      <c r="I127" s="304">
        <f t="shared" ca="1" si="42"/>
        <v>104.24471599343057</v>
      </c>
      <c r="J127" s="306">
        <f t="shared" ca="1" si="43"/>
        <v>6.1334762408419383</v>
      </c>
      <c r="K127" s="307">
        <f t="shared" ca="1" si="44"/>
        <v>63.444646336643125</v>
      </c>
      <c r="L127" s="304">
        <f t="shared" ca="1" si="29"/>
        <v>63.740432063006104</v>
      </c>
      <c r="M127" s="306">
        <f t="shared" ca="1" si="45"/>
        <v>1.4693224153505959</v>
      </c>
      <c r="N127" s="304">
        <f t="shared" ca="1" si="46"/>
        <v>84.185973143557305</v>
      </c>
      <c r="P127" s="310">
        <f t="shared" ca="1" si="47"/>
        <v>6</v>
      </c>
      <c r="Q127" s="304">
        <f t="shared" ca="1" si="48"/>
        <v>1001.159649122807</v>
      </c>
      <c r="R127" s="306">
        <f t="shared" ca="1" si="49"/>
        <v>0.50151316653698086</v>
      </c>
      <c r="S127" s="307">
        <f t="shared" ca="1" si="50"/>
        <v>10.381194759479799</v>
      </c>
      <c r="T127" s="304">
        <f t="shared" ca="1" si="30"/>
        <v>101.83952059049683</v>
      </c>
      <c r="U127" s="311">
        <f t="shared" ca="1" si="31"/>
        <v>0</v>
      </c>
      <c r="V127" s="306">
        <f t="shared" ca="1" si="32"/>
        <v>1.2172526073530869</v>
      </c>
      <c r="W127" s="304">
        <f t="shared" ca="1" si="33"/>
        <v>34.970651075490643</v>
      </c>
      <c r="Y127" s="314" t="str">
        <f t="shared" ca="1" si="51"/>
        <v/>
      </c>
      <c r="Z127" s="315" t="str">
        <f t="shared" ca="1" si="52"/>
        <v/>
      </c>
      <c r="AA127" s="316" t="str">
        <f t="shared" ca="1" si="53"/>
        <v/>
      </c>
      <c r="AC127" s="310" t="e">
        <f t="shared" ca="1" si="54"/>
        <v>#N/A</v>
      </c>
      <c r="AD127" s="323" t="e">
        <f t="shared" ca="1" si="55"/>
        <v>#N/A</v>
      </c>
      <c r="AE127" s="324">
        <f t="shared" ca="1" si="34"/>
        <v>63.444646336643125</v>
      </c>
      <c r="AG127" s="306">
        <f t="shared" ca="1" si="56"/>
        <v>83.364768262985237</v>
      </c>
      <c r="AH127" s="304">
        <f t="shared" ca="1" si="57"/>
        <v>93.124399624140864</v>
      </c>
    </row>
    <row r="128" spans="1:34" x14ac:dyDescent="0.2">
      <c r="A128" s="347">
        <f t="shared" ca="1" si="35"/>
        <v>0.01</v>
      </c>
      <c r="B128" s="304">
        <f t="shared" ca="1" si="36"/>
        <v>1.2400000000000009</v>
      </c>
      <c r="D128" s="306">
        <f t="shared" ca="1" si="37"/>
        <v>9.4277429891578599</v>
      </c>
      <c r="E128" s="307">
        <f t="shared" ca="1" si="38"/>
        <v>82.778938439109098</v>
      </c>
      <c r="F128" s="304">
        <f t="shared" ca="1" si="39"/>
        <v>83.314074363071626</v>
      </c>
      <c r="G128" s="306">
        <f t="shared" ca="1" si="40"/>
        <v>10.654252117762001</v>
      </c>
      <c r="H128" s="307">
        <f t="shared" ca="1" si="41"/>
        <v>104.53626419307072</v>
      </c>
      <c r="I128" s="304">
        <f t="shared" ca="1" si="42"/>
        <v>105.07779793863362</v>
      </c>
      <c r="J128" s="306">
        <f t="shared" ca="1" si="43"/>
        <v>6.2395473748701002</v>
      </c>
      <c r="K128" s="307">
        <f t="shared" ca="1" si="44"/>
        <v>64.485870031651871</v>
      </c>
      <c r="L128" s="304">
        <f t="shared" ca="1" si="29"/>
        <v>64.787030995272076</v>
      </c>
      <c r="M128" s="306">
        <f t="shared" ca="1" si="45"/>
        <v>1.4692278424145984</v>
      </c>
      <c r="N128" s="304">
        <f t="shared" ca="1" si="46"/>
        <v>84.180554513468493</v>
      </c>
      <c r="P128" s="310">
        <f t="shared" ca="1" si="47"/>
        <v>6</v>
      </c>
      <c r="Q128" s="304">
        <f t="shared" ca="1" si="48"/>
        <v>1000.6578947368421</v>
      </c>
      <c r="R128" s="306">
        <f t="shared" ca="1" si="49"/>
        <v>0.50126182157801302</v>
      </c>
      <c r="S128" s="307">
        <f t="shared" ca="1" si="50"/>
        <v>10.376182141264019</v>
      </c>
      <c r="T128" s="304">
        <f t="shared" ca="1" si="30"/>
        <v>101.79034680580003</v>
      </c>
      <c r="U128" s="311">
        <f t="shared" ca="1" si="31"/>
        <v>0</v>
      </c>
      <c r="V128" s="306">
        <f t="shared" ca="1" si="32"/>
        <v>1.2171258694291531</v>
      </c>
      <c r="W128" s="304">
        <f t="shared" ca="1" si="33"/>
        <v>35.52812782057137</v>
      </c>
      <c r="Y128" s="314" t="str">
        <f t="shared" ca="1" si="51"/>
        <v/>
      </c>
      <c r="Z128" s="315" t="str">
        <f t="shared" ca="1" si="52"/>
        <v/>
      </c>
      <c r="AA128" s="316" t="str">
        <f t="shared" ca="1" si="53"/>
        <v/>
      </c>
      <c r="AC128" s="310" t="e">
        <f t="shared" ca="1" si="54"/>
        <v>#N/A</v>
      </c>
      <c r="AD128" s="323" t="e">
        <f t="shared" ca="1" si="55"/>
        <v>#N/A</v>
      </c>
      <c r="AE128" s="324">
        <f t="shared" ca="1" si="34"/>
        <v>64.485870031651871</v>
      </c>
      <c r="AG128" s="306">
        <f t="shared" ca="1" si="56"/>
        <v>83.308147529301422</v>
      </c>
      <c r="AH128" s="304">
        <f t="shared" ca="1" si="57"/>
        <v>93.067684290255926</v>
      </c>
    </row>
    <row r="129" spans="1:34" x14ac:dyDescent="0.2">
      <c r="A129" s="347">
        <f t="shared" ca="1" si="35"/>
        <v>0.01</v>
      </c>
      <c r="B129" s="304">
        <f t="shared" ca="1" si="36"/>
        <v>1.2500000000000009</v>
      </c>
      <c r="D129" s="306">
        <f t="shared" ca="1" si="37"/>
        <v>9.4307023465509978</v>
      </c>
      <c r="E129" s="307">
        <f t="shared" ca="1" si="38"/>
        <v>82.721167943898152</v>
      </c>
      <c r="F129" s="304">
        <f t="shared" ca="1" si="39"/>
        <v>83.257010351992861</v>
      </c>
      <c r="G129" s="306">
        <f t="shared" ca="1" si="40"/>
        <v>10.74855914122751</v>
      </c>
      <c r="H129" s="307">
        <f t="shared" ca="1" si="41"/>
        <v>105.3634758725097</v>
      </c>
      <c r="I129" s="304">
        <f t="shared" ca="1" si="42"/>
        <v>105.91030909004751</v>
      </c>
      <c r="J129" s="306">
        <f t="shared" ca="1" si="43"/>
        <v>6.346561431165048</v>
      </c>
      <c r="K129" s="307">
        <f t="shared" ca="1" si="44"/>
        <v>65.535368731979773</v>
      </c>
      <c r="L129" s="304">
        <f t="shared" ca="1" si="29"/>
        <v>65.841957723294527</v>
      </c>
      <c r="M129" s="306">
        <f t="shared" ca="1" si="45"/>
        <v>1.4691339257243299</v>
      </c>
      <c r="N129" s="304">
        <f t="shared" ca="1" si="46"/>
        <v>84.175173483490269</v>
      </c>
      <c r="P129" s="310">
        <f t="shared" ca="1" si="47"/>
        <v>6</v>
      </c>
      <c r="Q129" s="304">
        <f t="shared" ca="1" si="48"/>
        <v>1000.1561403508771</v>
      </c>
      <c r="R129" s="306">
        <f t="shared" ca="1" si="49"/>
        <v>0.50101047661904508</v>
      </c>
      <c r="S129" s="307">
        <f t="shared" ca="1" si="50"/>
        <v>10.371172036497828</v>
      </c>
      <c r="T129" s="304">
        <f t="shared" ca="1" si="30"/>
        <v>101.7411976780437</v>
      </c>
      <c r="U129" s="311">
        <f t="shared" ca="1" si="31"/>
        <v>0</v>
      </c>
      <c r="V129" s="306">
        <f t="shared" ca="1" si="32"/>
        <v>1.2169981375805425</v>
      </c>
      <c r="W129" s="304">
        <f t="shared" ca="1" si="33"/>
        <v>36.089535147015972</v>
      </c>
      <c r="Y129" s="314" t="str">
        <f t="shared" ca="1" si="51"/>
        <v/>
      </c>
      <c r="Z129" s="315" t="str">
        <f t="shared" ca="1" si="52"/>
        <v/>
      </c>
      <c r="AA129" s="316" t="str">
        <f t="shared" ca="1" si="53"/>
        <v/>
      </c>
      <c r="AC129" s="310" t="e">
        <f t="shared" ca="1" si="54"/>
        <v>#N/A</v>
      </c>
      <c r="AD129" s="323" t="e">
        <f t="shared" ca="1" si="55"/>
        <v>#N/A</v>
      </c>
      <c r="AE129" s="324">
        <f t="shared" ca="1" si="34"/>
        <v>65.535368731979773</v>
      </c>
      <c r="AG129" s="306">
        <f t="shared" ca="1" si="56"/>
        <v>83.251068433117055</v>
      </c>
      <c r="AH129" s="304">
        <f t="shared" ca="1" si="57"/>
        <v>93.010511168421857</v>
      </c>
    </row>
    <row r="130" spans="1:34" x14ac:dyDescent="0.2">
      <c r="A130" s="347">
        <f t="shared" ca="1" si="35"/>
        <v>0.01</v>
      </c>
      <c r="B130" s="304">
        <f t="shared" ca="1" si="36"/>
        <v>1.2600000000000009</v>
      </c>
      <c r="D130" s="306">
        <f t="shared" ca="1" si="37"/>
        <v>9.4335437985697617</v>
      </c>
      <c r="E130" s="307">
        <f t="shared" ca="1" si="38"/>
        <v>82.662949290518213</v>
      </c>
      <c r="F130" s="304">
        <f t="shared" ca="1" si="39"/>
        <v>83.199488784525101</v>
      </c>
      <c r="G130" s="306">
        <f t="shared" ca="1" si="40"/>
        <v>10.842894579213208</v>
      </c>
      <c r="H130" s="307">
        <f t="shared" ca="1" si="41"/>
        <v>106.19010536541488</v>
      </c>
      <c r="I130" s="304">
        <f t="shared" ca="1" si="42"/>
        <v>106.74224487228028</v>
      </c>
      <c r="J130" s="306">
        <f t="shared" ca="1" si="43"/>
        <v>6.4545186997672515</v>
      </c>
      <c r="K130" s="307">
        <f t="shared" ca="1" si="44"/>
        <v>66.593136638169398</v>
      </c>
      <c r="L130" s="304">
        <f t="shared" ca="1" si="29"/>
        <v>66.905206516051834</v>
      </c>
      <c r="M130" s="306">
        <f t="shared" ca="1" si="45"/>
        <v>1.4690406551414554</v>
      </c>
      <c r="N130" s="304">
        <f t="shared" ca="1" si="46"/>
        <v>84.16982947273884</v>
      </c>
      <c r="P130" s="310">
        <f t="shared" ca="1" si="47"/>
        <v>6</v>
      </c>
      <c r="Q130" s="304">
        <f t="shared" ca="1" si="48"/>
        <v>999.65438596491219</v>
      </c>
      <c r="R130" s="306">
        <f t="shared" ca="1" si="49"/>
        <v>0.50075913166007713</v>
      </c>
      <c r="S130" s="307">
        <f t="shared" ca="1" si="50"/>
        <v>10.366164445181228</v>
      </c>
      <c r="T130" s="304">
        <f t="shared" ca="1" si="30"/>
        <v>101.69207320722785</v>
      </c>
      <c r="U130" s="311">
        <f t="shared" ca="1" si="31"/>
        <v>0</v>
      </c>
      <c r="V130" s="306">
        <f t="shared" ca="1" si="32"/>
        <v>1.2168694128269524</v>
      </c>
      <c r="W130" s="304">
        <f t="shared" ca="1" si="33"/>
        <v>36.654858102535869</v>
      </c>
      <c r="Y130" s="314" t="str">
        <f t="shared" ca="1" si="51"/>
        <v/>
      </c>
      <c r="Z130" s="315" t="str">
        <f t="shared" ca="1" si="52"/>
        <v/>
      </c>
      <c r="AA130" s="316" t="str">
        <f t="shared" ca="1" si="53"/>
        <v/>
      </c>
      <c r="AC130" s="310" t="e">
        <f t="shared" ca="1" si="54"/>
        <v>#N/A</v>
      </c>
      <c r="AD130" s="323" t="e">
        <f t="shared" ca="1" si="55"/>
        <v>#N/A</v>
      </c>
      <c r="AE130" s="324">
        <f t="shared" ca="1" si="34"/>
        <v>66.593136638169398</v>
      </c>
      <c r="AG130" s="306">
        <f t="shared" ca="1" si="56"/>
        <v>83.193531793594573</v>
      </c>
      <c r="AH130" s="304">
        <f t="shared" ca="1" si="57"/>
        <v>92.952881069315367</v>
      </c>
    </row>
    <row r="131" spans="1:34" x14ac:dyDescent="0.2">
      <c r="A131" s="347">
        <f t="shared" ca="1" si="35"/>
        <v>0.01</v>
      </c>
      <c r="B131" s="304">
        <f t="shared" ca="1" si="36"/>
        <v>1.2700000000000009</v>
      </c>
      <c r="D131" s="306">
        <f t="shared" ca="1" si="37"/>
        <v>9.436268352294114</v>
      </c>
      <c r="E131" s="307">
        <f t="shared" ca="1" si="38"/>
        <v>82.604283221699589</v>
      </c>
      <c r="F131" s="304">
        <f t="shared" ca="1" si="39"/>
        <v>83.141510492576856</v>
      </c>
      <c r="G131" s="306">
        <f t="shared" ca="1" si="40"/>
        <v>10.93725726273615</v>
      </c>
      <c r="H131" s="307">
        <f t="shared" ca="1" si="41"/>
        <v>107.01614819763188</v>
      </c>
      <c r="I131" s="304">
        <f t="shared" ca="1" si="42"/>
        <v>107.57360071824678</v>
      </c>
      <c r="J131" s="306">
        <f t="shared" ca="1" si="43"/>
        <v>6.5634194589769983</v>
      </c>
      <c r="K131" s="307">
        <f t="shared" ca="1" si="44"/>
        <v>67.659167905984631</v>
      </c>
      <c r="L131" s="304">
        <f t="shared" ca="1" si="29"/>
        <v>67.976771596808703</v>
      </c>
      <c r="M131" s="306">
        <f t="shared" ca="1" si="45"/>
        <v>1.4689480207600787</v>
      </c>
      <c r="N131" s="304">
        <f t="shared" ca="1" si="46"/>
        <v>84.164521913648144</v>
      </c>
      <c r="P131" s="310">
        <f t="shared" ca="1" si="47"/>
        <v>6</v>
      </c>
      <c r="Q131" s="304">
        <f t="shared" ca="1" si="48"/>
        <v>999.15263157894731</v>
      </c>
      <c r="R131" s="306">
        <f t="shared" ca="1" si="49"/>
        <v>0.50050778670110929</v>
      </c>
      <c r="S131" s="307">
        <f t="shared" ca="1" si="50"/>
        <v>10.361159367314217</v>
      </c>
      <c r="T131" s="304">
        <f t="shared" ca="1" si="30"/>
        <v>101.64297339335248</v>
      </c>
      <c r="U131" s="311">
        <f t="shared" ca="1" si="31"/>
        <v>0</v>
      </c>
      <c r="V131" s="306">
        <f t="shared" ca="1" si="32"/>
        <v>1.2167396961956196</v>
      </c>
      <c r="W131" s="304">
        <f t="shared" ca="1" si="33"/>
        <v>37.224081636418539</v>
      </c>
      <c r="Y131" s="314" t="str">
        <f t="shared" ca="1" si="51"/>
        <v/>
      </c>
      <c r="Z131" s="315" t="str">
        <f t="shared" ca="1" si="52"/>
        <v/>
      </c>
      <c r="AA131" s="316" t="str">
        <f t="shared" ca="1" si="53"/>
        <v/>
      </c>
      <c r="AC131" s="310" t="e">
        <f t="shared" ca="1" si="54"/>
        <v>#N/A</v>
      </c>
      <c r="AD131" s="323" t="e">
        <f t="shared" ca="1" si="55"/>
        <v>#N/A</v>
      </c>
      <c r="AE131" s="324">
        <f t="shared" ca="1" si="34"/>
        <v>67.659167905984631</v>
      </c>
      <c r="AG131" s="306">
        <f t="shared" ca="1" si="56"/>
        <v>83.135538441504508</v>
      </c>
      <c r="AH131" s="304">
        <f t="shared" ca="1" si="57"/>
        <v>92.894794815409412</v>
      </c>
    </row>
    <row r="132" spans="1:34" x14ac:dyDescent="0.2">
      <c r="A132" s="347">
        <f t="shared" ca="1" si="35"/>
        <v>0.01</v>
      </c>
      <c r="B132" s="304">
        <f t="shared" ca="1" si="36"/>
        <v>1.2800000000000009</v>
      </c>
      <c r="D132" s="306">
        <f t="shared" ca="1" si="37"/>
        <v>9.4388769942178286</v>
      </c>
      <c r="E132" s="307">
        <f t="shared" ca="1" si="38"/>
        <v>82.545170493606534</v>
      </c>
      <c r="F132" s="304">
        <f t="shared" ca="1" si="39"/>
        <v>83.083076319612445</v>
      </c>
      <c r="G132" s="306">
        <f t="shared" ca="1" si="40"/>
        <v>11.031646032678328</v>
      </c>
      <c r="H132" s="307">
        <f t="shared" ca="1" si="41"/>
        <v>107.84159990256795</v>
      </c>
      <c r="I132" s="304">
        <f t="shared" ca="1" si="42"/>
        <v>108.40437206928442</v>
      </c>
      <c r="J132" s="306">
        <f t="shared" ca="1" si="43"/>
        <v>6.6732639754540708</v>
      </c>
      <c r="K132" s="307">
        <f t="shared" ca="1" si="44"/>
        <v>68.733456646485635</v>
      </c>
      <c r="L132" s="304">
        <f t="shared" ref="L132:L195" ca="1" si="58">SQRT(pos_x^2+pos_z^2)</f>
        <v>69.056647143199854</v>
      </c>
      <c r="M132" s="306">
        <f t="shared" ca="1" si="45"/>
        <v>1.4688560128996164</v>
      </c>
      <c r="N132" s="304">
        <f t="shared" ca="1" si="46"/>
        <v>84.15925025156163</v>
      </c>
      <c r="P132" s="310">
        <f t="shared" ca="1" si="47"/>
        <v>6</v>
      </c>
      <c r="Q132" s="304">
        <f t="shared" ca="1" si="48"/>
        <v>998.65087719298242</v>
      </c>
      <c r="R132" s="306">
        <f t="shared" ca="1" si="49"/>
        <v>0.50025644174214146</v>
      </c>
      <c r="S132" s="307">
        <f t="shared" ca="1" si="50"/>
        <v>10.356156802896797</v>
      </c>
      <c r="T132" s="304">
        <f t="shared" ref="T132:T195" ca="1" si="59">m*g</f>
        <v>101.59389823641757</v>
      </c>
      <c r="U132" s="311">
        <f t="shared" ref="U132:U195" ca="1" si="60">IF(pos_xz&lt;L_rampe,Poids*COS(Beta),0)</f>
        <v>0</v>
      </c>
      <c r="V132" s="306">
        <f t="shared" ref="V132:V195" ca="1" si="61">Rho_moyen*(20000-Alt_rampe-pos_z)/(20000+Alt_rampe+pos_z)</f>
        <v>1.216608988721303</v>
      </c>
      <c r="W132" s="304">
        <f t="shared" ref="W132:W195" ca="1" si="62">1/2*Rho*Sref*Cx*vit_xz^2</f>
        <v>37.797190600198107</v>
      </c>
      <c r="Y132" s="314" t="str">
        <f t="shared" ca="1" si="51"/>
        <v/>
      </c>
      <c r="Z132" s="315" t="str">
        <f t="shared" ca="1" si="52"/>
        <v/>
      </c>
      <c r="AA132" s="316" t="str">
        <f t="shared" ca="1" si="53"/>
        <v/>
      </c>
      <c r="AC132" s="310" t="e">
        <f t="shared" ca="1" si="54"/>
        <v>#N/A</v>
      </c>
      <c r="AD132" s="323" t="e">
        <f t="shared" ca="1" si="55"/>
        <v>#N/A</v>
      </c>
      <c r="AE132" s="324">
        <f t="shared" ref="AE132:AE195" ca="1" si="63">IF(t&lt;T_para, pos_z, NA())</f>
        <v>68.733456646485635</v>
      </c>
      <c r="AG132" s="306">
        <f t="shared" ca="1" si="56"/>
        <v>83.07708921919334</v>
      </c>
      <c r="AH132" s="304">
        <f t="shared" ca="1" si="57"/>
        <v>92.836253240935491</v>
      </c>
    </row>
    <row r="133" spans="1:34" x14ac:dyDescent="0.2">
      <c r="A133" s="347">
        <f t="shared" ref="A133:A196" ca="1" si="64">IF(B132+0.01&lt;=T_ini+ROUNDUP(Temps_fin_propu,0), 0.01, IF(K132&gt;0, 0.1, 0.0001))</f>
        <v>0.01</v>
      </c>
      <c r="B133" s="304">
        <f t="shared" ref="B133:B196" ca="1" si="65">B132+pas</f>
        <v>1.2900000000000009</v>
      </c>
      <c r="D133" s="306">
        <f t="shared" ref="D133:D196" ca="1" si="66">IF(AND(L132&lt;L_rampe,Poussee&lt;Poids*SIN(M132)),0,(-W132+Poussee)/m*COS(M132)-U132/m*SIN(M132))</f>
        <v>9.4376430208830371</v>
      </c>
      <c r="E133" s="307">
        <f t="shared" ref="E133:E196" ca="1" si="67">IF(AND(L132&lt;L_rampe,Poussee&lt;Poids*SIN(M132)),0,(-W132+Poussee)/m*SIN(M132)+U132/m*COS(M132)-Poids/m)</f>
        <v>82.449171447892255</v>
      </c>
      <c r="F133" s="304">
        <f t="shared" ref="F133:F196" ca="1" si="68">SQRT(acc_x^2+acc_z^2)</f>
        <v>82.987559177466792</v>
      </c>
      <c r="G133" s="306">
        <f t="shared" ref="G133:G196" ca="1" si="69">G132+acc_x*pas</f>
        <v>11.126022462887159</v>
      </c>
      <c r="H133" s="307">
        <f t="shared" ref="H133:H196" ca="1" si="70">H132+acc_z*pas</f>
        <v>108.66609161704687</v>
      </c>
      <c r="I133" s="304">
        <f t="shared" ref="I133:I196" ca="1" si="71">SQRT(vit_x^2+vit_z^2)</f>
        <v>109.23418806934528</v>
      </c>
      <c r="J133" s="306">
        <f t="shared" ref="J133:J196" ca="1" si="72">J132+0.5*(vit_x+G132)*pas*(K132&gt;=0)</f>
        <v>6.7840523179318986</v>
      </c>
      <c r="K133" s="307">
        <f t="shared" ref="K133:K196" ca="1" si="73">K132+0.5*(vit_z+H132)*pas</f>
        <v>69.815995104083711</v>
      </c>
      <c r="L133" s="304">
        <f t="shared" ca="1" si="58"/>
        <v>70.144825455808771</v>
      </c>
      <c r="M133" s="306">
        <f t="shared" ref="M133:M196" ca="1" si="74">IF(AND(L132&gt;L_rampe,G133&gt;0),ATAN2(G133,H133),$M$4)</f>
        <v>1.4687646217914763</v>
      </c>
      <c r="N133" s="304">
        <f t="shared" ref="N133:N196" ca="1" si="75">DEGREES(Beta)</f>
        <v>84.154013926780166</v>
      </c>
      <c r="P133" s="310">
        <f t="shared" ref="P133:P196" ca="1" si="76">MATCH(t-pas/2-T_ini,CdP_t)</f>
        <v>7</v>
      </c>
      <c r="Q133" s="304">
        <f t="shared" ref="Q133:Q196" ca="1" si="77">(INDEX(CdP,2,i_P+1)-INDEX(CdP,2,i_P+0))/(INDEX(CdP,1,i_P+1)-INDEX(CdP,1,i_P+0))*(t-pas/2-T_ini-INDEX(CdP,1,i_P+0))+INDEX(CdP,2,i_P+0)</f>
        <v>997.77012987012972</v>
      </c>
      <c r="R133" s="306">
        <f t="shared" ref="R133:R196" ca="1" si="78">Poussee/(g*ISP)</f>
        <v>0.49981524699444074</v>
      </c>
      <c r="S133" s="307">
        <f t="shared" ref="S133:S196" ca="1" si="79">S132-Débit*pas</f>
        <v>10.351158650426852</v>
      </c>
      <c r="T133" s="304">
        <f t="shared" ca="1" si="59"/>
        <v>101.54486636068742</v>
      </c>
      <c r="U133" s="311">
        <f t="shared" ca="1" si="60"/>
        <v>0</v>
      </c>
      <c r="V133" s="306">
        <f t="shared" ca="1" si="61"/>
        <v>1.2164772916679092</v>
      </c>
      <c r="W133" s="304">
        <f t="shared" ca="1" si="62"/>
        <v>38.373912388737885</v>
      </c>
      <c r="Y133" s="314" t="str">
        <f t="shared" ref="Y133:Y196" ca="1" si="80">IF(AND(pos_z&lt;=0,K132&gt;0),"Impact balistique","") &amp; IF(AND(H134&lt;0,vit_z&gt;=0),"Apogée","") &amp; IF(AND(Poussee=0,Q132&gt;0),"Fin de propulsion","") &amp; IF(AND(L134&gt;L_rampe,pos_xz&lt;=L_rampe),"Sortie de rampe","")</f>
        <v/>
      </c>
      <c r="Z133" s="315" t="str">
        <f t="shared" ref="Z133:Z196" ca="1" si="81">IF(ABS(t-T_para)&lt;pas/2,"Para","")</f>
        <v/>
      </c>
      <c r="AA133" s="316" t="str">
        <f t="shared" ref="AA133:AA196" ca="1" si="82">IF(ABS(t-T_satellite)&lt;pas/2,"Satellite","")</f>
        <v/>
      </c>
      <c r="AC133" s="310" t="e">
        <f t="shared" ref="AC133:AC196" ca="1" si="83">IF(ABS(t-ROUND(t,0))&lt;0.001,t,NA())</f>
        <v>#N/A</v>
      </c>
      <c r="AD133" s="323" t="e">
        <f t="shared" ref="AD133:AD196" ca="1" si="84">IF(ABS(t-ROUND(t,0))&lt;0.001,pos_x,NA())</f>
        <v>#N/A</v>
      </c>
      <c r="AE133" s="324">
        <f t="shared" ca="1" si="63"/>
        <v>69.815995104083711</v>
      </c>
      <c r="AG133" s="306">
        <f t="shared" ref="AG133:AG196" ca="1" si="85">IF(AND(L132&lt;L_rampe,Poussee&lt;Poids*SIN(M132)),0,(-W132+Poussee)/m-Poids*SIN(M132)/m)</f>
        <v>82.981554388061539</v>
      </c>
      <c r="AH133" s="304">
        <f t="shared" ref="AH133:AH196" ca="1" si="86">IF(AND(L132&lt;L_rampe,Poussee&lt;Poids*SIN(M132)), g*SIN(M132), (-W132+Poussee)/m)</f>
        <v>92.740626599356119</v>
      </c>
    </row>
    <row r="134" spans="1:34" x14ac:dyDescent="0.2">
      <c r="A134" s="347">
        <f t="shared" ca="1" si="64"/>
        <v>0.01</v>
      </c>
      <c r="B134" s="304">
        <f t="shared" ca="1" si="65"/>
        <v>1.3000000000000009</v>
      </c>
      <c r="D134" s="306">
        <f t="shared" ca="1" si="66"/>
        <v>9.4325528205655012</v>
      </c>
      <c r="E134" s="307">
        <f t="shared" ca="1" si="67"/>
        <v>82.316242994859152</v>
      </c>
      <c r="F134" s="304">
        <f t="shared" ca="1" si="68"/>
        <v>82.854914842159218</v>
      </c>
      <c r="G134" s="306">
        <f t="shared" ca="1" si="69"/>
        <v>11.220347991092813</v>
      </c>
      <c r="H134" s="307">
        <f t="shared" ca="1" si="70"/>
        <v>109.48925404699547</v>
      </c>
      <c r="I134" s="304">
        <f t="shared" ca="1" si="71"/>
        <v>110.06267741977175</v>
      </c>
      <c r="J134" s="306">
        <f t="shared" ca="1" si="72"/>
        <v>6.8957841702017983</v>
      </c>
      <c r="K134" s="307">
        <f t="shared" ca="1" si="73"/>
        <v>70.906771832403919</v>
      </c>
      <c r="L134" s="304">
        <f t="shared" ca="1" si="58"/>
        <v>71.241295124489383</v>
      </c>
      <c r="M134" s="306">
        <f t="shared" ca="1" si="74"/>
        <v>1.4686738375891377</v>
      </c>
      <c r="N134" s="304">
        <f t="shared" ca="1" si="75"/>
        <v>84.148812375139713</v>
      </c>
      <c r="P134" s="310">
        <f t="shared" ca="1" si="76"/>
        <v>7</v>
      </c>
      <c r="Q134" s="304">
        <f t="shared" ca="1" si="77"/>
        <v>996.51038961038944</v>
      </c>
      <c r="R134" s="306">
        <f t="shared" ca="1" si="78"/>
        <v>0.49918420245800738</v>
      </c>
      <c r="S134" s="307">
        <f t="shared" ca="1" si="79"/>
        <v>10.346166808402272</v>
      </c>
      <c r="T134" s="304">
        <f t="shared" ca="1" si="59"/>
        <v>101.4958963904263</v>
      </c>
      <c r="U134" s="311">
        <f t="shared" ca="1" si="60"/>
        <v>0</v>
      </c>
      <c r="V134" s="306">
        <f t="shared" ca="1" si="61"/>
        <v>1.2163446067502446</v>
      </c>
      <c r="W134" s="304">
        <f t="shared" ca="1" si="62"/>
        <v>38.953966295662596</v>
      </c>
      <c r="Y134" s="314" t="str">
        <f t="shared" ca="1" si="80"/>
        <v/>
      </c>
      <c r="Z134" s="315" t="str">
        <f t="shared" ca="1" si="81"/>
        <v/>
      </c>
      <c r="AA134" s="316" t="str">
        <f t="shared" ca="1" si="82"/>
        <v/>
      </c>
      <c r="AC134" s="310" t="e">
        <f t="shared" ca="1" si="83"/>
        <v>#N/A</v>
      </c>
      <c r="AD134" s="323" t="e">
        <f t="shared" ca="1" si="84"/>
        <v>#N/A</v>
      </c>
      <c r="AE134" s="324">
        <f t="shared" ca="1" si="63"/>
        <v>70.906771832403919</v>
      </c>
      <c r="AG134" s="306">
        <f t="shared" ca="1" si="85"/>
        <v>82.848889687075427</v>
      </c>
      <c r="AH134" s="304">
        <f t="shared" ca="1" si="86"/>
        <v>92.607870621565382</v>
      </c>
    </row>
    <row r="135" spans="1:34" x14ac:dyDescent="0.2">
      <c r="A135" s="347">
        <f t="shared" ca="1" si="64"/>
        <v>0.01</v>
      </c>
      <c r="B135" s="304">
        <f t="shared" ca="1" si="65"/>
        <v>1.3100000000000009</v>
      </c>
      <c r="D135" s="306">
        <f t="shared" ca="1" si="66"/>
        <v>9.4273309036032309</v>
      </c>
      <c r="E135" s="307">
        <f t="shared" ca="1" si="67"/>
        <v>82.182817790419932</v>
      </c>
      <c r="F135" s="304">
        <f t="shared" ca="1" si="68"/>
        <v>82.721763206180484</v>
      </c>
      <c r="G135" s="306">
        <f t="shared" ca="1" si="69"/>
        <v>11.314621300128845</v>
      </c>
      <c r="H135" s="307">
        <f t="shared" ca="1" si="70"/>
        <v>110.31108222489966</v>
      </c>
      <c r="I135" s="304">
        <f t="shared" ca="1" si="71"/>
        <v>110.88983504719405</v>
      </c>
      <c r="J135" s="306">
        <f t="shared" ca="1" si="72"/>
        <v>7.0084590166579064</v>
      </c>
      <c r="K135" s="307">
        <f t="shared" ca="1" si="73"/>
        <v>72.005773513763401</v>
      </c>
      <c r="L135" s="304">
        <f t="shared" ca="1" si="58"/>
        <v>72.346042857253536</v>
      </c>
      <c r="M135" s="306">
        <f t="shared" ca="1" si="74"/>
        <v>1.4685836506757548</v>
      </c>
      <c r="N135" s="304">
        <f t="shared" ca="1" si="75"/>
        <v>84.143645045635566</v>
      </c>
      <c r="P135" s="310">
        <f t="shared" ca="1" si="76"/>
        <v>7</v>
      </c>
      <c r="Q135" s="304">
        <f t="shared" ca="1" si="77"/>
        <v>995.25064935064916</v>
      </c>
      <c r="R135" s="306">
        <f t="shared" ca="1" si="78"/>
        <v>0.49855315792157406</v>
      </c>
      <c r="S135" s="307">
        <f t="shared" ca="1" si="79"/>
        <v>10.341181276823056</v>
      </c>
      <c r="T135" s="304">
        <f t="shared" ca="1" si="59"/>
        <v>101.44698832563418</v>
      </c>
      <c r="U135" s="311">
        <f t="shared" ca="1" si="60"/>
        <v>0</v>
      </c>
      <c r="V135" s="306">
        <f t="shared" ca="1" si="61"/>
        <v>1.2162109359124682</v>
      </c>
      <c r="W135" s="304">
        <f t="shared" ca="1" si="62"/>
        <v>39.537324996929357</v>
      </c>
      <c r="Y135" s="314" t="str">
        <f t="shared" ca="1" si="80"/>
        <v/>
      </c>
      <c r="Z135" s="315" t="str">
        <f t="shared" ca="1" si="81"/>
        <v/>
      </c>
      <c r="AA135" s="316" t="str">
        <f t="shared" ca="1" si="82"/>
        <v/>
      </c>
      <c r="AC135" s="310" t="e">
        <f t="shared" ca="1" si="83"/>
        <v>#N/A</v>
      </c>
      <c r="AD135" s="323" t="e">
        <f t="shared" ca="1" si="84"/>
        <v>#N/A</v>
      </c>
      <c r="AE135" s="324">
        <f t="shared" ca="1" si="63"/>
        <v>72.005773513763401</v>
      </c>
      <c r="AG135" s="306">
        <f t="shared" ca="1" si="85"/>
        <v>82.715717645111596</v>
      </c>
      <c r="AH135" s="304">
        <f t="shared" ca="1" si="86"/>
        <v>92.474607828243506</v>
      </c>
    </row>
    <row r="136" spans="1:34" x14ac:dyDescent="0.2">
      <c r="A136" s="347">
        <f t="shared" ca="1" si="64"/>
        <v>0.01</v>
      </c>
      <c r="B136" s="304">
        <f t="shared" ca="1" si="65"/>
        <v>1.320000000000001</v>
      </c>
      <c r="D136" s="306">
        <f t="shared" ca="1" si="66"/>
        <v>9.421978479078863</v>
      </c>
      <c r="E136" s="307">
        <f t="shared" ca="1" si="67"/>
        <v>82.04889789480346</v>
      </c>
      <c r="F136" s="304">
        <f t="shared" ca="1" si="68"/>
        <v>82.588106433142713</v>
      </c>
      <c r="G136" s="306">
        <f t="shared" ca="1" si="69"/>
        <v>11.408841084919633</v>
      </c>
      <c r="H136" s="307">
        <f t="shared" ca="1" si="70"/>
        <v>111.1315712038477</v>
      </c>
      <c r="I136" s="304">
        <f t="shared" ca="1" si="71"/>
        <v>111.71565589986402</v>
      </c>
      <c r="J136" s="306">
        <f t="shared" ca="1" si="72"/>
        <v>7.122076328583149</v>
      </c>
      <c r="K136" s="307">
        <f t="shared" ca="1" si="73"/>
        <v>73.112986780907136</v>
      </c>
      <c r="L136" s="304">
        <f t="shared" ca="1" si="58"/>
        <v>73.459055311481279</v>
      </c>
      <c r="M136" s="306">
        <f t="shared" ca="1" si="74"/>
        <v>1.4684940516569887</v>
      </c>
      <c r="N136" s="304">
        <f t="shared" ca="1" si="75"/>
        <v>84.138511400011751</v>
      </c>
      <c r="P136" s="310">
        <f t="shared" ca="1" si="76"/>
        <v>7</v>
      </c>
      <c r="Q136" s="304">
        <f t="shared" ca="1" si="77"/>
        <v>993.99090909090899</v>
      </c>
      <c r="R136" s="306">
        <f t="shared" ca="1" si="78"/>
        <v>0.49792211338514075</v>
      </c>
      <c r="S136" s="307">
        <f t="shared" ca="1" si="79"/>
        <v>10.336202055689204</v>
      </c>
      <c r="T136" s="304">
        <f t="shared" ca="1" si="59"/>
        <v>101.3981421663111</v>
      </c>
      <c r="U136" s="311">
        <f t="shared" ca="1" si="60"/>
        <v>0</v>
      </c>
      <c r="V136" s="306">
        <f t="shared" ca="1" si="61"/>
        <v>1.2160762811064141</v>
      </c>
      <c r="W136" s="304">
        <f t="shared" ca="1" si="62"/>
        <v>40.123961108239548</v>
      </c>
      <c r="Y136" s="314" t="str">
        <f t="shared" ca="1" si="80"/>
        <v/>
      </c>
      <c r="Z136" s="315" t="str">
        <f t="shared" ca="1" si="81"/>
        <v/>
      </c>
      <c r="AA136" s="316" t="str">
        <f t="shared" ca="1" si="82"/>
        <v/>
      </c>
      <c r="AC136" s="310" t="e">
        <f t="shared" ca="1" si="83"/>
        <v>#N/A</v>
      </c>
      <c r="AD136" s="323" t="e">
        <f t="shared" ca="1" si="84"/>
        <v>#N/A</v>
      </c>
      <c r="AE136" s="324">
        <f t="shared" ca="1" si="63"/>
        <v>73.112986780907136</v>
      </c>
      <c r="AG136" s="306">
        <f t="shared" ca="1" si="85"/>
        <v>82.582040424421436</v>
      </c>
      <c r="AH136" s="304">
        <f t="shared" ca="1" si="86"/>
        <v>92.340840373629661</v>
      </c>
    </row>
    <row r="137" spans="1:34" x14ac:dyDescent="0.2">
      <c r="A137" s="347">
        <f t="shared" ca="1" si="64"/>
        <v>0.01</v>
      </c>
      <c r="B137" s="304">
        <f t="shared" ca="1" si="65"/>
        <v>1.330000000000001</v>
      </c>
      <c r="D137" s="306">
        <f t="shared" ca="1" si="66"/>
        <v>9.416496734294082</v>
      </c>
      <c r="E137" s="307">
        <f t="shared" ca="1" si="67"/>
        <v>81.91448538188871</v>
      </c>
      <c r="F137" s="304">
        <f t="shared" ca="1" si="68"/>
        <v>82.453946698303227</v>
      </c>
      <c r="G137" s="306">
        <f t="shared" ca="1" si="69"/>
        <v>11.503006052262574</v>
      </c>
      <c r="H137" s="307">
        <f t="shared" ca="1" si="70"/>
        <v>111.95071605766658</v>
      </c>
      <c r="I137" s="304">
        <f t="shared" ca="1" si="71"/>
        <v>112.54013494777175</v>
      </c>
      <c r="J137" s="306">
        <f t="shared" ca="1" si="72"/>
        <v>7.2366355642690596</v>
      </c>
      <c r="K137" s="307">
        <f t="shared" ca="1" si="73"/>
        <v>74.228398217214703</v>
      </c>
      <c r="L137" s="304">
        <f t="shared" ca="1" si="58"/>
        <v>74.580319094138005</v>
      </c>
      <c r="M137" s="306">
        <f t="shared" ca="1" si="74"/>
        <v>1.4684050313541186</v>
      </c>
      <c r="N137" s="304">
        <f t="shared" ca="1" si="75"/>
        <v>84.133410912366315</v>
      </c>
      <c r="P137" s="310">
        <f t="shared" ca="1" si="76"/>
        <v>7</v>
      </c>
      <c r="Q137" s="304">
        <f t="shared" ca="1" si="77"/>
        <v>992.7311688311687</v>
      </c>
      <c r="R137" s="306">
        <f t="shared" ca="1" si="78"/>
        <v>0.49729106884870744</v>
      </c>
      <c r="S137" s="307">
        <f t="shared" ca="1" si="79"/>
        <v>10.331229145000718</v>
      </c>
      <c r="T137" s="304">
        <f t="shared" ca="1" si="59"/>
        <v>101.34935791245705</v>
      </c>
      <c r="U137" s="311">
        <f t="shared" ca="1" si="60"/>
        <v>0</v>
      </c>
      <c r="V137" s="306">
        <f t="shared" ca="1" si="61"/>
        <v>1.215940644291547</v>
      </c>
      <c r="W137" s="304">
        <f t="shared" ca="1" si="62"/>
        <v>40.713847186437597</v>
      </c>
      <c r="Y137" s="314" t="str">
        <f t="shared" ca="1" si="80"/>
        <v/>
      </c>
      <c r="Z137" s="315" t="str">
        <f t="shared" ca="1" si="81"/>
        <v/>
      </c>
      <c r="AA137" s="316" t="str">
        <f t="shared" ca="1" si="82"/>
        <v/>
      </c>
      <c r="AC137" s="310" t="e">
        <f t="shared" ca="1" si="83"/>
        <v>#N/A</v>
      </c>
      <c r="AD137" s="323" t="e">
        <f t="shared" ca="1" si="84"/>
        <v>#N/A</v>
      </c>
      <c r="AE137" s="324">
        <f t="shared" ca="1" si="63"/>
        <v>74.228398217214703</v>
      </c>
      <c r="AG137" s="306">
        <f t="shared" ca="1" si="85"/>
        <v>82.44786019891545</v>
      </c>
      <c r="AH137" s="304">
        <f t="shared" ca="1" si="86"/>
        <v>92.206570423800528</v>
      </c>
    </row>
    <row r="138" spans="1:34" x14ac:dyDescent="0.2">
      <c r="A138" s="347">
        <f t="shared" ca="1" si="64"/>
        <v>0.01</v>
      </c>
      <c r="B138" s="304">
        <f t="shared" ca="1" si="65"/>
        <v>1.340000000000001</v>
      </c>
      <c r="D138" s="306">
        <f t="shared" ca="1" si="66"/>
        <v>9.4108868354833692</v>
      </c>
      <c r="E138" s="307">
        <f t="shared" ca="1" si="67"/>
        <v>81.779582339027201</v>
      </c>
      <c r="F138" s="304">
        <f t="shared" ca="1" si="68"/>
        <v>82.31928618845042</v>
      </c>
      <c r="G138" s="306">
        <f t="shared" ca="1" si="69"/>
        <v>11.597114920617408</v>
      </c>
      <c r="H138" s="307">
        <f t="shared" ca="1" si="70"/>
        <v>112.76851188105685</v>
      </c>
      <c r="I138" s="304">
        <f t="shared" ca="1" si="71"/>
        <v>113.36326718276104</v>
      </c>
      <c r="J138" s="306">
        <f t="shared" ca="1" si="72"/>
        <v>7.3521361691334599</v>
      </c>
      <c r="K138" s="307">
        <f t="shared" ca="1" si="73"/>
        <v>75.351994356908321</v>
      </c>
      <c r="L138" s="304">
        <f t="shared" ca="1" si="58"/>
        <v>75.709820761992461</v>
      </c>
      <c r="M138" s="306">
        <f t="shared" ca="1" si="74"/>
        <v>1.4683165807974188</v>
      </c>
      <c r="N138" s="304">
        <f t="shared" ca="1" si="75"/>
        <v>84.128343068771827</v>
      </c>
      <c r="P138" s="310">
        <f t="shared" ca="1" si="76"/>
        <v>7</v>
      </c>
      <c r="Q138" s="304">
        <f t="shared" ca="1" si="77"/>
        <v>991.47142857142842</v>
      </c>
      <c r="R138" s="306">
        <f t="shared" ca="1" si="78"/>
        <v>0.49666002431227407</v>
      </c>
      <c r="S138" s="307">
        <f t="shared" ca="1" si="79"/>
        <v>10.326262544757595</v>
      </c>
      <c r="T138" s="304">
        <f t="shared" ca="1" si="59"/>
        <v>101.30063556407201</v>
      </c>
      <c r="U138" s="311">
        <f t="shared" ca="1" si="60"/>
        <v>0</v>
      </c>
      <c r="V138" s="306">
        <f t="shared" ca="1" si="61"/>
        <v>1.2158040274349204</v>
      </c>
      <c r="W138" s="304">
        <f t="shared" ca="1" si="62"/>
        <v>41.306955730910609</v>
      </c>
      <c r="Y138" s="314" t="str">
        <f t="shared" ca="1" si="80"/>
        <v/>
      </c>
      <c r="Z138" s="315" t="str">
        <f t="shared" ca="1" si="81"/>
        <v/>
      </c>
      <c r="AA138" s="316" t="str">
        <f t="shared" ca="1" si="82"/>
        <v/>
      </c>
      <c r="AC138" s="310" t="e">
        <f t="shared" ca="1" si="83"/>
        <v>#N/A</v>
      </c>
      <c r="AD138" s="323" t="e">
        <f t="shared" ca="1" si="84"/>
        <v>#N/A</v>
      </c>
      <c r="AE138" s="324">
        <f t="shared" ca="1" si="63"/>
        <v>75.351994356908321</v>
      </c>
      <c r="AG138" s="306">
        <f t="shared" ca="1" si="85"/>
        <v>82.313179154048427</v>
      </c>
      <c r="AH138" s="304">
        <f t="shared" ca="1" si="86"/>
        <v>92.071800156550196</v>
      </c>
    </row>
    <row r="139" spans="1:34" x14ac:dyDescent="0.2">
      <c r="A139" s="347">
        <f t="shared" ca="1" si="64"/>
        <v>0.01</v>
      </c>
      <c r="B139" s="304">
        <f t="shared" ca="1" si="65"/>
        <v>1.350000000000001</v>
      </c>
      <c r="D139" s="306">
        <f t="shared" ca="1" si="66"/>
        <v>9.4051499284996769</v>
      </c>
      <c r="E139" s="307">
        <f t="shared" ca="1" si="67"/>
        <v>81.644190866867092</v>
      </c>
      <c r="F139" s="304">
        <f t="shared" ca="1" si="68"/>
        <v>82.184127101788832</v>
      </c>
      <c r="G139" s="306">
        <f t="shared" ca="1" si="69"/>
        <v>11.691166419902403</v>
      </c>
      <c r="H139" s="307">
        <f t="shared" ca="1" si="70"/>
        <v>113.58495378972552</v>
      </c>
      <c r="I139" s="304">
        <f t="shared" ca="1" si="71"/>
        <v>114.18504761864372</v>
      </c>
      <c r="J139" s="306">
        <f t="shared" ca="1" si="72"/>
        <v>7.4685775758360586</v>
      </c>
      <c r="K139" s="307">
        <f t="shared" ca="1" si="73"/>
        <v>76.483761685262238</v>
      </c>
      <c r="L139" s="304">
        <f t="shared" ca="1" si="58"/>
        <v>76.847546821835948</v>
      </c>
      <c r="M139" s="306">
        <f t="shared" ca="1" si="74"/>
        <v>1.4682286912197891</v>
      </c>
      <c r="N139" s="304">
        <f t="shared" ca="1" si="75"/>
        <v>84.123307366910467</v>
      </c>
      <c r="P139" s="310">
        <f t="shared" ca="1" si="76"/>
        <v>7</v>
      </c>
      <c r="Q139" s="304">
        <f t="shared" ca="1" si="77"/>
        <v>990.21168831168814</v>
      </c>
      <c r="R139" s="306">
        <f t="shared" ca="1" si="78"/>
        <v>0.49602897977584076</v>
      </c>
      <c r="S139" s="307">
        <f t="shared" ca="1" si="79"/>
        <v>10.321302254959837</v>
      </c>
      <c r="T139" s="304">
        <f t="shared" ca="1" si="59"/>
        <v>101.25197512115601</v>
      </c>
      <c r="U139" s="311">
        <f t="shared" ca="1" si="60"/>
        <v>0</v>
      </c>
      <c r="V139" s="306">
        <f t="shared" ca="1" si="61"/>
        <v>1.2156664325111297</v>
      </c>
      <c r="W139" s="304">
        <f t="shared" ca="1" si="62"/>
        <v>41.903259184989011</v>
      </c>
      <c r="Y139" s="314" t="str">
        <f t="shared" ca="1" si="80"/>
        <v/>
      </c>
      <c r="Z139" s="315" t="str">
        <f t="shared" ca="1" si="81"/>
        <v/>
      </c>
      <c r="AA139" s="316" t="str">
        <f t="shared" ca="1" si="82"/>
        <v/>
      </c>
      <c r="AC139" s="310" t="e">
        <f t="shared" ca="1" si="83"/>
        <v>#N/A</v>
      </c>
      <c r="AD139" s="323" t="e">
        <f t="shared" ca="1" si="84"/>
        <v>#N/A</v>
      </c>
      <c r="AE139" s="324">
        <f t="shared" ca="1" si="63"/>
        <v>76.483761685262238</v>
      </c>
      <c r="AG139" s="306">
        <f t="shared" ca="1" si="85"/>
        <v>82.177999486703982</v>
      </c>
      <c r="AH139" s="304">
        <f t="shared" ca="1" si="86"/>
        <v>91.936531761269492</v>
      </c>
    </row>
    <row r="140" spans="1:34" x14ac:dyDescent="0.2">
      <c r="A140" s="347">
        <f t="shared" ca="1" si="64"/>
        <v>0.01</v>
      </c>
      <c r="B140" s="304">
        <f t="shared" ca="1" si="65"/>
        <v>1.360000000000001</v>
      </c>
      <c r="D140" s="306">
        <f t="shared" ca="1" si="66"/>
        <v>9.399287139473234</v>
      </c>
      <c r="E140" s="307">
        <f t="shared" ca="1" si="67"/>
        <v>81.50831307917872</v>
      </c>
      <c r="F140" s="304">
        <f t="shared" ca="1" si="68"/>
        <v>82.048471647823419</v>
      </c>
      <c r="G140" s="306">
        <f t="shared" ca="1" si="69"/>
        <v>11.785159291297136</v>
      </c>
      <c r="H140" s="307">
        <f t="shared" ca="1" si="70"/>
        <v>114.40003692051731</v>
      </c>
      <c r="I140" s="304">
        <f t="shared" ca="1" si="71"/>
        <v>115.00547129131279</v>
      </c>
      <c r="J140" s="306">
        <f t="shared" ca="1" si="72"/>
        <v>7.5859592043920561</v>
      </c>
      <c r="K140" s="307">
        <f t="shared" ca="1" si="73"/>
        <v>77.623686638813453</v>
      </c>
      <c r="L140" s="304">
        <f t="shared" ca="1" si="58"/>
        <v>77.99348373070282</v>
      </c>
      <c r="M140" s="306">
        <f t="shared" ca="1" si="74"/>
        <v>1.4681413540506272</v>
      </c>
      <c r="N140" s="304">
        <f t="shared" ca="1" si="75"/>
        <v>84.118303315722869</v>
      </c>
      <c r="P140" s="310">
        <f t="shared" ca="1" si="76"/>
        <v>7</v>
      </c>
      <c r="Q140" s="304">
        <f t="shared" ca="1" si="77"/>
        <v>988.95194805194785</v>
      </c>
      <c r="R140" s="306">
        <f t="shared" ca="1" si="78"/>
        <v>0.49539793523940739</v>
      </c>
      <c r="S140" s="307">
        <f t="shared" ca="1" si="79"/>
        <v>10.316348275607444</v>
      </c>
      <c r="T140" s="304">
        <f t="shared" ca="1" si="59"/>
        <v>101.20337658370903</v>
      </c>
      <c r="U140" s="311">
        <f t="shared" ca="1" si="60"/>
        <v>0</v>
      </c>
      <c r="V140" s="306">
        <f t="shared" ca="1" si="61"/>
        <v>1.2155278615022729</v>
      </c>
      <c r="W140" s="304">
        <f t="shared" ca="1" si="62"/>
        <v>42.502729937348107</v>
      </c>
      <c r="Y140" s="314" t="str">
        <f t="shared" ca="1" si="80"/>
        <v/>
      </c>
      <c r="Z140" s="315" t="str">
        <f t="shared" ca="1" si="81"/>
        <v/>
      </c>
      <c r="AA140" s="316" t="str">
        <f t="shared" ca="1" si="82"/>
        <v/>
      </c>
      <c r="AC140" s="310" t="e">
        <f t="shared" ca="1" si="83"/>
        <v>#N/A</v>
      </c>
      <c r="AD140" s="323" t="e">
        <f t="shared" ca="1" si="84"/>
        <v>#N/A</v>
      </c>
      <c r="AE140" s="324">
        <f t="shared" ca="1" si="63"/>
        <v>77.623686638813453</v>
      </c>
      <c r="AG140" s="306">
        <f t="shared" ca="1" si="85"/>
        <v>82.042323405078221</v>
      </c>
      <c r="AH140" s="304">
        <f t="shared" ca="1" si="86"/>
        <v>91.800767438824664</v>
      </c>
    </row>
    <row r="141" spans="1:34" x14ac:dyDescent="0.2">
      <c r="A141" s="347">
        <f t="shared" ca="1" si="64"/>
        <v>0.01</v>
      </c>
      <c r="B141" s="304">
        <f t="shared" ca="1" si="65"/>
        <v>1.370000000000001</v>
      </c>
      <c r="D141" s="306">
        <f t="shared" ca="1" si="66"/>
        <v>9.3932995754448445</v>
      </c>
      <c r="E141" s="307">
        <f t="shared" ca="1" si="67"/>
        <v>81.371951102681678</v>
      </c>
      <c r="F141" s="304">
        <f t="shared" ca="1" si="68"/>
        <v>81.912322047243109</v>
      </c>
      <c r="G141" s="306">
        <f t="shared" ca="1" si="69"/>
        <v>11.879092287051584</v>
      </c>
      <c r="H141" s="307">
        <f t="shared" ca="1" si="70"/>
        <v>115.21375643154413</v>
      </c>
      <c r="I141" s="304">
        <f t="shared" ca="1" si="71"/>
        <v>115.82453325885437</v>
      </c>
      <c r="J141" s="306">
        <f t="shared" ca="1" si="72"/>
        <v>7.7042804622837995</v>
      </c>
      <c r="K141" s="307">
        <f t="shared" ca="1" si="73"/>
        <v>78.771755605573759</v>
      </c>
      <c r="L141" s="304">
        <f t="shared" ca="1" si="58"/>
        <v>79.147617896091916</v>
      </c>
      <c r="M141" s="306">
        <f t="shared" ca="1" si="74"/>
        <v>1.4680545609099325</v>
      </c>
      <c r="N141" s="304">
        <f t="shared" ca="1" si="75"/>
        <v>84.113330435070381</v>
      </c>
      <c r="P141" s="310">
        <f t="shared" ca="1" si="76"/>
        <v>7</v>
      </c>
      <c r="Q141" s="304">
        <f t="shared" ca="1" si="77"/>
        <v>987.69220779220768</v>
      </c>
      <c r="R141" s="306">
        <f t="shared" ca="1" si="78"/>
        <v>0.49476689070297414</v>
      </c>
      <c r="S141" s="307">
        <f t="shared" ca="1" si="79"/>
        <v>10.311400606700415</v>
      </c>
      <c r="T141" s="304">
        <f t="shared" ca="1" si="59"/>
        <v>101.15483995173108</v>
      </c>
      <c r="U141" s="311">
        <f t="shared" ca="1" si="60"/>
        <v>0</v>
      </c>
      <c r="V141" s="306">
        <f t="shared" ca="1" si="61"/>
        <v>1.2153883163979007</v>
      </c>
      <c r="W141" s="304">
        <f t="shared" ca="1" si="62"/>
        <v>43.105340323410147</v>
      </c>
      <c r="Y141" s="314" t="str">
        <f t="shared" ca="1" si="80"/>
        <v/>
      </c>
      <c r="Z141" s="315" t="str">
        <f t="shared" ca="1" si="81"/>
        <v/>
      </c>
      <c r="AA141" s="316" t="str">
        <f t="shared" ca="1" si="82"/>
        <v/>
      </c>
      <c r="AC141" s="310" t="e">
        <f t="shared" ca="1" si="83"/>
        <v>#N/A</v>
      </c>
      <c r="AD141" s="323" t="e">
        <f t="shared" ca="1" si="84"/>
        <v>#N/A</v>
      </c>
      <c r="AE141" s="324">
        <f t="shared" ca="1" si="63"/>
        <v>78.771755605573759</v>
      </c>
      <c r="AG141" s="306">
        <f t="shared" ca="1" si="85"/>
        <v>81.906153128562849</v>
      </c>
      <c r="AH141" s="304">
        <f t="shared" ca="1" si="86"/>
        <v>91.664509401435652</v>
      </c>
    </row>
    <row r="142" spans="1:34" x14ac:dyDescent="0.2">
      <c r="A142" s="347">
        <f t="shared" ca="1" si="64"/>
        <v>0.01</v>
      </c>
      <c r="B142" s="304">
        <f t="shared" ca="1" si="65"/>
        <v>1.380000000000001</v>
      </c>
      <c r="D142" s="306">
        <f t="shared" ca="1" si="66"/>
        <v>9.387188324974721</v>
      </c>
      <c r="E142" s="307">
        <f t="shared" ca="1" si="67"/>
        <v>81.235107076873291</v>
      </c>
      <c r="F142" s="304">
        <f t="shared" ca="1" si="68"/>
        <v>81.775680531803658</v>
      </c>
      <c r="G142" s="306">
        <f t="shared" ca="1" si="69"/>
        <v>11.972964170301331</v>
      </c>
      <c r="H142" s="307">
        <f t="shared" ca="1" si="70"/>
        <v>116.02610750231285</v>
      </c>
      <c r="I142" s="304">
        <f t="shared" ca="1" si="71"/>
        <v>116.64222860165859</v>
      </c>
      <c r="J142" s="306">
        <f t="shared" ca="1" si="72"/>
        <v>7.8235407445705638</v>
      </c>
      <c r="K142" s="307">
        <f t="shared" ca="1" si="73"/>
        <v>79.927954925243043</v>
      </c>
      <c r="L142" s="304">
        <f t="shared" ca="1" si="58"/>
        <v>80.309935676189156</v>
      </c>
      <c r="M142" s="306">
        <f t="shared" ca="1" si="74"/>
        <v>1.4679683036026305</v>
      </c>
      <c r="N142" s="304">
        <f t="shared" ca="1" si="75"/>
        <v>84.108388255409807</v>
      </c>
      <c r="P142" s="310">
        <f t="shared" ca="1" si="76"/>
        <v>7</v>
      </c>
      <c r="Q142" s="304">
        <f t="shared" ca="1" si="77"/>
        <v>986.4324675324674</v>
      </c>
      <c r="R142" s="306">
        <f t="shared" ca="1" si="78"/>
        <v>0.49413584616654077</v>
      </c>
      <c r="S142" s="307">
        <f t="shared" ca="1" si="79"/>
        <v>10.306459248238749</v>
      </c>
      <c r="T142" s="304">
        <f t="shared" ca="1" si="59"/>
        <v>101.10636522522213</v>
      </c>
      <c r="U142" s="311">
        <f t="shared" ca="1" si="60"/>
        <v>0</v>
      </c>
      <c r="V142" s="306">
        <f t="shared" ca="1" si="61"/>
        <v>1.2152477991949762</v>
      </c>
      <c r="W142" s="304">
        <f t="shared" ca="1" si="62"/>
        <v>43.711062626747129</v>
      </c>
      <c r="Y142" s="314" t="str">
        <f t="shared" ca="1" si="80"/>
        <v/>
      </c>
      <c r="Z142" s="315" t="str">
        <f t="shared" ca="1" si="81"/>
        <v/>
      </c>
      <c r="AA142" s="316" t="str">
        <f t="shared" ca="1" si="82"/>
        <v/>
      </c>
      <c r="AC142" s="310" t="e">
        <f t="shared" ca="1" si="83"/>
        <v>#N/A</v>
      </c>
      <c r="AD142" s="323" t="e">
        <f t="shared" ca="1" si="84"/>
        <v>#N/A</v>
      </c>
      <c r="AE142" s="324">
        <f t="shared" ca="1" si="63"/>
        <v>79.927954925243043</v>
      </c>
      <c r="AG142" s="306">
        <f t="shared" ca="1" si="85"/>
        <v>81.769490887627427</v>
      </c>
      <c r="AH142" s="304">
        <f t="shared" ca="1" si="86"/>
        <v>91.527759872553773</v>
      </c>
    </row>
    <row r="143" spans="1:34" x14ac:dyDescent="0.2">
      <c r="A143" s="347">
        <f t="shared" ca="1" si="64"/>
        <v>0.01</v>
      </c>
      <c r="B143" s="304">
        <f t="shared" ca="1" si="65"/>
        <v>1.390000000000001</v>
      </c>
      <c r="D143" s="306">
        <f t="shared" ca="1" si="66"/>
        <v>9.3809544587279383</v>
      </c>
      <c r="E143" s="307">
        <f t="shared" ca="1" si="67"/>
        <v>81.09778315385833</v>
      </c>
      <c r="F143" s="304">
        <f t="shared" ca="1" si="68"/>
        <v>81.638549344209665</v>
      </c>
      <c r="G143" s="306">
        <f t="shared" ca="1" si="69"/>
        <v>12.06677371488861</v>
      </c>
      <c r="H143" s="307">
        <f t="shared" ca="1" si="70"/>
        <v>116.83708533385143</v>
      </c>
      <c r="I143" s="304">
        <f t="shared" ca="1" si="71"/>
        <v>117.45855242252907</v>
      </c>
      <c r="J143" s="306">
        <f t="shared" ca="1" si="72"/>
        <v>7.9437394339965133</v>
      </c>
      <c r="K143" s="307">
        <f t="shared" ca="1" si="73"/>
        <v>81.092270889423858</v>
      </c>
      <c r="L143" s="304">
        <f t="shared" ca="1" si="58"/>
        <v>81.48042338009131</v>
      </c>
      <c r="M143" s="306">
        <f t="shared" ca="1" si="74"/>
        <v>1.4678825741131067</v>
      </c>
      <c r="N143" s="304">
        <f t="shared" ca="1" si="75"/>
        <v>84.103476317480286</v>
      </c>
      <c r="P143" s="310">
        <f t="shared" ca="1" si="76"/>
        <v>7</v>
      </c>
      <c r="Q143" s="304">
        <f t="shared" ca="1" si="77"/>
        <v>985.17272727272712</v>
      </c>
      <c r="R143" s="306">
        <f t="shared" ca="1" si="78"/>
        <v>0.49350480163010746</v>
      </c>
      <c r="S143" s="307">
        <f t="shared" ca="1" si="79"/>
        <v>10.301524200222447</v>
      </c>
      <c r="T143" s="304">
        <f t="shared" ca="1" si="59"/>
        <v>101.05795240418222</v>
      </c>
      <c r="U143" s="311">
        <f t="shared" ca="1" si="60"/>
        <v>0</v>
      </c>
      <c r="V143" s="306">
        <f t="shared" ca="1" si="61"/>
        <v>1.2151063118978294</v>
      </c>
      <c r="W143" s="304">
        <f t="shared" ca="1" si="62"/>
        <v>44.319869080484033</v>
      </c>
      <c r="Y143" s="314" t="str">
        <f t="shared" ca="1" si="80"/>
        <v/>
      </c>
      <c r="Z143" s="315" t="str">
        <f t="shared" ca="1" si="81"/>
        <v/>
      </c>
      <c r="AA143" s="316" t="str">
        <f t="shared" ca="1" si="82"/>
        <v/>
      </c>
      <c r="AC143" s="310" t="e">
        <f t="shared" ca="1" si="83"/>
        <v>#N/A</v>
      </c>
      <c r="AD143" s="323" t="e">
        <f t="shared" ca="1" si="84"/>
        <v>#N/A</v>
      </c>
      <c r="AE143" s="324">
        <f t="shared" ca="1" si="63"/>
        <v>81.092270889423858</v>
      </c>
      <c r="AG143" s="306">
        <f t="shared" ca="1" si="85"/>
        <v>81.632338923700985</v>
      </c>
      <c r="AH143" s="304">
        <f t="shared" ca="1" si="86"/>
        <v>91.390521086738843</v>
      </c>
    </row>
    <row r="144" spans="1:34" x14ac:dyDescent="0.2">
      <c r="A144" s="347">
        <f t="shared" ca="1" si="64"/>
        <v>0.01</v>
      </c>
      <c r="B144" s="304">
        <f t="shared" ca="1" si="65"/>
        <v>1.400000000000001</v>
      </c>
      <c r="D144" s="306">
        <f t="shared" ca="1" si="66"/>
        <v>9.3745990300377962</v>
      </c>
      <c r="E144" s="307">
        <f t="shared" ca="1" si="67"/>
        <v>80.959981498180156</v>
      </c>
      <c r="F144" s="304">
        <f t="shared" ca="1" si="68"/>
        <v>81.500930737996228</v>
      </c>
      <c r="G144" s="306">
        <f t="shared" ca="1" si="69"/>
        <v>12.160519705188989</v>
      </c>
      <c r="H144" s="307">
        <f t="shared" ca="1" si="70"/>
        <v>117.64668514883323</v>
      </c>
      <c r="I144" s="304">
        <f t="shared" ca="1" si="71"/>
        <v>118.27349984679148</v>
      </c>
      <c r="J144" s="306">
        <f t="shared" ca="1" si="72"/>
        <v>8.0648759010969009</v>
      </c>
      <c r="K144" s="307">
        <f t="shared" ca="1" si="73"/>
        <v>82.264689741837287</v>
      </c>
      <c r="L144" s="304">
        <f t="shared" ca="1" si="58"/>
        <v>82.65906726803081</v>
      </c>
      <c r="M144" s="306">
        <f t="shared" ca="1" si="74"/>
        <v>1.4677973645999443</v>
      </c>
      <c r="N144" s="304">
        <f t="shared" ca="1" si="75"/>
        <v>84.098594172001711</v>
      </c>
      <c r="P144" s="310">
        <f t="shared" ca="1" si="76"/>
        <v>7</v>
      </c>
      <c r="Q144" s="304">
        <f t="shared" ca="1" si="77"/>
        <v>983.91298701298683</v>
      </c>
      <c r="R144" s="306">
        <f t="shared" ca="1" si="78"/>
        <v>0.49287375709367409</v>
      </c>
      <c r="S144" s="307">
        <f t="shared" ca="1" si="79"/>
        <v>10.29659546265151</v>
      </c>
      <c r="T144" s="304">
        <f t="shared" ca="1" si="59"/>
        <v>101.00960148861132</v>
      </c>
      <c r="U144" s="311">
        <f t="shared" ca="1" si="60"/>
        <v>0</v>
      </c>
      <c r="V144" s="306">
        <f t="shared" ca="1" si="61"/>
        <v>1.214963856518112</v>
      </c>
      <c r="W144" s="304">
        <f t="shared" ca="1" si="62"/>
        <v>44.931731868702293</v>
      </c>
      <c r="Y144" s="314" t="str">
        <f t="shared" ca="1" si="80"/>
        <v/>
      </c>
      <c r="Z144" s="315" t="str">
        <f t="shared" ca="1" si="81"/>
        <v/>
      </c>
      <c r="AA144" s="316" t="str">
        <f t="shared" ca="1" si="82"/>
        <v/>
      </c>
      <c r="AC144" s="310" t="e">
        <f t="shared" ca="1" si="83"/>
        <v>#N/A</v>
      </c>
      <c r="AD144" s="323" t="e">
        <f t="shared" ca="1" si="84"/>
        <v>#N/A</v>
      </c>
      <c r="AE144" s="324">
        <f t="shared" ca="1" si="63"/>
        <v>82.264689741837287</v>
      </c>
      <c r="AG144" s="306">
        <f t="shared" ca="1" si="85"/>
        <v>81.494699489053033</v>
      </c>
      <c r="AH144" s="304">
        <f t="shared" ca="1" si="86"/>
        <v>91.252795289535939</v>
      </c>
    </row>
    <row r="145" spans="1:34" x14ac:dyDescent="0.2">
      <c r="A145" s="347">
        <f t="shared" ca="1" si="64"/>
        <v>0.01</v>
      </c>
      <c r="B145" s="304">
        <f t="shared" ca="1" si="65"/>
        <v>1.410000000000001</v>
      </c>
      <c r="D145" s="306">
        <f t="shared" ca="1" si="66"/>
        <v>9.3681230754476044</v>
      </c>
      <c r="E145" s="307">
        <f t="shared" ca="1" si="67"/>
        <v>80.821704286652832</v>
      </c>
      <c r="F145" s="304">
        <f t="shared" ca="1" si="68"/>
        <v>81.362826977409597</v>
      </c>
      <c r="G145" s="306">
        <f t="shared" ca="1" si="69"/>
        <v>12.254200935943464</v>
      </c>
      <c r="H145" s="307">
        <f t="shared" ca="1" si="70"/>
        <v>118.45490219169976</v>
      </c>
      <c r="I145" s="304">
        <f t="shared" ca="1" si="71"/>
        <v>119.08706602240075</v>
      </c>
      <c r="J145" s="306">
        <f t="shared" ca="1" si="72"/>
        <v>8.1869495043025626</v>
      </c>
      <c r="K145" s="307">
        <f t="shared" ca="1" si="73"/>
        <v>83.445197678539955</v>
      </c>
      <c r="L145" s="304">
        <f t="shared" ca="1" si="58"/>
        <v>83.845853551601522</v>
      </c>
      <c r="M145" s="306">
        <f t="shared" ca="1" si="74"/>
        <v>1.4677126673908514</v>
      </c>
      <c r="N145" s="304">
        <f t="shared" ca="1" si="75"/>
        <v>84.093741379384156</v>
      </c>
      <c r="P145" s="310">
        <f t="shared" ca="1" si="76"/>
        <v>7</v>
      </c>
      <c r="Q145" s="304">
        <f t="shared" ca="1" si="77"/>
        <v>982.65324675324655</v>
      </c>
      <c r="R145" s="306">
        <f t="shared" ca="1" si="78"/>
        <v>0.49224271255724078</v>
      </c>
      <c r="S145" s="307">
        <f t="shared" ca="1" si="79"/>
        <v>10.291673035525937</v>
      </c>
      <c r="T145" s="304">
        <f t="shared" ca="1" si="59"/>
        <v>100.96131247850946</v>
      </c>
      <c r="U145" s="311">
        <f t="shared" ca="1" si="60"/>
        <v>0</v>
      </c>
      <c r="V145" s="306">
        <f t="shared" ca="1" si="61"/>
        <v>1.2148204350747525</v>
      </c>
      <c r="W145" s="304">
        <f t="shared" ca="1" si="62"/>
        <v>45.546623127843539</v>
      </c>
      <c r="Y145" s="314" t="str">
        <f t="shared" ca="1" si="80"/>
        <v/>
      </c>
      <c r="Z145" s="315" t="str">
        <f t="shared" ca="1" si="81"/>
        <v/>
      </c>
      <c r="AA145" s="316" t="str">
        <f t="shared" ca="1" si="82"/>
        <v/>
      </c>
      <c r="AC145" s="310" t="e">
        <f t="shared" ca="1" si="83"/>
        <v>#N/A</v>
      </c>
      <c r="AD145" s="323" t="e">
        <f t="shared" ca="1" si="84"/>
        <v>#N/A</v>
      </c>
      <c r="AE145" s="324">
        <f t="shared" ca="1" si="63"/>
        <v>83.445197678539955</v>
      </c>
      <c r="AG145" s="306">
        <f t="shared" ca="1" si="85"/>
        <v>81.356574846673908</v>
      </c>
      <c r="AH145" s="304">
        <f t="shared" ca="1" si="86"/>
        <v>91.114584737351564</v>
      </c>
    </row>
    <row r="146" spans="1:34" x14ac:dyDescent="0.2">
      <c r="A146" s="347">
        <f t="shared" ca="1" si="64"/>
        <v>0.01</v>
      </c>
      <c r="B146" s="304">
        <f t="shared" ca="1" si="65"/>
        <v>1.420000000000001</v>
      </c>
      <c r="D146" s="306">
        <f t="shared" ca="1" si="66"/>
        <v>9.361527615232367</v>
      </c>
      <c r="E146" s="307">
        <f t="shared" ca="1" si="67"/>
        <v>80.682953708194574</v>
      </c>
      <c r="F146" s="304">
        <f t="shared" ca="1" si="68"/>
        <v>81.224240337287398</v>
      </c>
      <c r="G146" s="306">
        <f t="shared" ca="1" si="69"/>
        <v>12.347816212095788</v>
      </c>
      <c r="H146" s="307">
        <f t="shared" ca="1" si="70"/>
        <v>119.26173172878171</v>
      </c>
      <c r="I146" s="304">
        <f t="shared" ca="1" si="71"/>
        <v>119.89924612004695</v>
      </c>
      <c r="J146" s="306">
        <f t="shared" ca="1" si="72"/>
        <v>8.3099595900427587</v>
      </c>
      <c r="K146" s="307">
        <f t="shared" ca="1" si="73"/>
        <v>84.633780848142365</v>
      </c>
      <c r="L146" s="304">
        <f t="shared" ca="1" si="58"/>
        <v>85.0407683939858</v>
      </c>
      <c r="M146" s="306">
        <f t="shared" ca="1" si="74"/>
        <v>1.467628474977775</v>
      </c>
      <c r="N146" s="304">
        <f t="shared" ca="1" si="75"/>
        <v>84.088917509447853</v>
      </c>
      <c r="P146" s="310">
        <f t="shared" ca="1" si="76"/>
        <v>7</v>
      </c>
      <c r="Q146" s="304">
        <f t="shared" ca="1" si="77"/>
        <v>981.39350649350638</v>
      </c>
      <c r="R146" s="306">
        <f t="shared" ca="1" si="78"/>
        <v>0.49161166802080747</v>
      </c>
      <c r="S146" s="307">
        <f t="shared" ca="1" si="79"/>
        <v>10.286756918845729</v>
      </c>
      <c r="T146" s="304">
        <f t="shared" ca="1" si="59"/>
        <v>100.91308537387661</v>
      </c>
      <c r="U146" s="311">
        <f t="shared" ca="1" si="60"/>
        <v>0</v>
      </c>
      <c r="V146" s="306">
        <f t="shared" ca="1" si="61"/>
        <v>1.2146760495939102</v>
      </c>
      <c r="W146" s="304">
        <f t="shared" ca="1" si="62"/>
        <v>46.164514948113286</v>
      </c>
      <c r="Y146" s="314" t="str">
        <f t="shared" ca="1" si="80"/>
        <v/>
      </c>
      <c r="Z146" s="315" t="str">
        <f t="shared" ca="1" si="81"/>
        <v/>
      </c>
      <c r="AA146" s="316" t="str">
        <f t="shared" ca="1" si="82"/>
        <v/>
      </c>
      <c r="AC146" s="310" t="e">
        <f t="shared" ca="1" si="83"/>
        <v>#N/A</v>
      </c>
      <c r="AD146" s="323" t="e">
        <f t="shared" ca="1" si="84"/>
        <v>#N/A</v>
      </c>
      <c r="AE146" s="324">
        <f t="shared" ca="1" si="63"/>
        <v>84.633780848142365</v>
      </c>
      <c r="AG146" s="306">
        <f t="shared" ca="1" si="85"/>
        <v>81.217967270154489</v>
      </c>
      <c r="AH146" s="304">
        <f t="shared" ca="1" si="86"/>
        <v>90.975891697329388</v>
      </c>
    </row>
    <row r="147" spans="1:34" x14ac:dyDescent="0.2">
      <c r="A147" s="347">
        <f t="shared" ca="1" si="64"/>
        <v>0.01</v>
      </c>
      <c r="B147" s="304">
        <f t="shared" ca="1" si="65"/>
        <v>1.430000000000001</v>
      </c>
      <c r="D147" s="306">
        <f t="shared" ca="1" si="66"/>
        <v>9.354813653900818</v>
      </c>
      <c r="E147" s="307">
        <f t="shared" ca="1" si="67"/>
        <v>80.543731963662111</v>
      </c>
      <c r="F147" s="304">
        <f t="shared" ca="1" si="68"/>
        <v>81.085173102938214</v>
      </c>
      <c r="G147" s="306">
        <f t="shared" ca="1" si="69"/>
        <v>12.441364348634796</v>
      </c>
      <c r="H147" s="307">
        <f t="shared" ca="1" si="70"/>
        <v>120.06716904841834</v>
      </c>
      <c r="I147" s="304">
        <f t="shared" ca="1" si="71"/>
        <v>120.71003533326028</v>
      </c>
      <c r="J147" s="306">
        <f t="shared" ca="1" si="72"/>
        <v>8.4339054928464119</v>
      </c>
      <c r="K147" s="307">
        <f t="shared" ca="1" si="73"/>
        <v>85.830425352028371</v>
      </c>
      <c r="L147" s="304">
        <f t="shared" ca="1" si="58"/>
        <v>86.24379791018238</v>
      </c>
      <c r="M147" s="306">
        <f t="shared" ca="1" si="74"/>
        <v>1.4675447800121897</v>
      </c>
      <c r="N147" s="304">
        <f t="shared" ca="1" si="75"/>
        <v>84.084122141153316</v>
      </c>
      <c r="P147" s="310">
        <f t="shared" ca="1" si="76"/>
        <v>7</v>
      </c>
      <c r="Q147" s="304">
        <f t="shared" ca="1" si="77"/>
        <v>980.1337662337661</v>
      </c>
      <c r="R147" s="306">
        <f t="shared" ca="1" si="78"/>
        <v>0.4909806234843741</v>
      </c>
      <c r="S147" s="307">
        <f t="shared" ca="1" si="79"/>
        <v>10.281847112610885</v>
      </c>
      <c r="T147" s="304">
        <f t="shared" ca="1" si="59"/>
        <v>100.86492017471279</v>
      </c>
      <c r="U147" s="311">
        <f t="shared" ca="1" si="60"/>
        <v>0</v>
      </c>
      <c r="V147" s="306">
        <f t="shared" ca="1" si="61"/>
        <v>1.2145307021089329</v>
      </c>
      <c r="W147" s="304">
        <f t="shared" ca="1" si="62"/>
        <v>46.78537937488484</v>
      </c>
      <c r="Y147" s="314" t="str">
        <f t="shared" ca="1" si="80"/>
        <v/>
      </c>
      <c r="Z147" s="315" t="str">
        <f t="shared" ca="1" si="81"/>
        <v/>
      </c>
      <c r="AA147" s="316" t="str">
        <f t="shared" ca="1" si="82"/>
        <v/>
      </c>
      <c r="AC147" s="310" t="e">
        <f t="shared" ca="1" si="83"/>
        <v>#N/A</v>
      </c>
      <c r="AD147" s="323" t="e">
        <f t="shared" ca="1" si="84"/>
        <v>#N/A</v>
      </c>
      <c r="AE147" s="324">
        <f t="shared" ca="1" si="63"/>
        <v>85.830425352028371</v>
      </c>
      <c r="AG147" s="306">
        <f t="shared" ca="1" si="85"/>
        <v>81.078879043565223</v>
      </c>
      <c r="AH147" s="304">
        <f t="shared" ca="1" si="86"/>
        <v>90.836718447225437</v>
      </c>
    </row>
    <row r="148" spans="1:34" x14ac:dyDescent="0.2">
      <c r="A148" s="347">
        <f t="shared" ca="1" si="64"/>
        <v>0.01</v>
      </c>
      <c r="B148" s="304">
        <f t="shared" ca="1" si="65"/>
        <v>1.4400000000000011</v>
      </c>
      <c r="D148" s="306">
        <f t="shared" ca="1" si="66"/>
        <v>9.3479821806789012</v>
      </c>
      <c r="E148" s="307">
        <f t="shared" ca="1" si="67"/>
        <v>80.404041265686104</v>
      </c>
      <c r="F148" s="304">
        <f t="shared" ca="1" si="68"/>
        <v>80.945627570020378</v>
      </c>
      <c r="G148" s="306">
        <f t="shared" ca="1" si="69"/>
        <v>12.534844170441584</v>
      </c>
      <c r="H148" s="307">
        <f t="shared" ca="1" si="70"/>
        <v>120.8712094610752</v>
      </c>
      <c r="I148" s="304">
        <f t="shared" ca="1" si="71"/>
        <v>121.51942887851459</v>
      </c>
      <c r="J148" s="306">
        <f t="shared" ca="1" si="72"/>
        <v>8.5587865354417936</v>
      </c>
      <c r="K148" s="307">
        <f t="shared" ca="1" si="73"/>
        <v>87.035117244575844</v>
      </c>
      <c r="L148" s="304">
        <f t="shared" ca="1" si="58"/>
        <v>87.454928167235508</v>
      </c>
      <c r="M148" s="306">
        <f t="shared" ca="1" si="74"/>
        <v>1.4674615753005553</v>
      </c>
      <c r="N148" s="304">
        <f t="shared" ca="1" si="75"/>
        <v>84.079354862341063</v>
      </c>
      <c r="P148" s="310">
        <f t="shared" ca="1" si="76"/>
        <v>7</v>
      </c>
      <c r="Q148" s="304">
        <f t="shared" ca="1" si="77"/>
        <v>978.87402597402581</v>
      </c>
      <c r="R148" s="306">
        <f t="shared" ca="1" si="78"/>
        <v>0.49034957894794079</v>
      </c>
      <c r="S148" s="307">
        <f t="shared" ca="1" si="79"/>
        <v>10.276943616821406</v>
      </c>
      <c r="T148" s="304">
        <f t="shared" ca="1" si="59"/>
        <v>100.816816881018</v>
      </c>
      <c r="U148" s="311">
        <f t="shared" ca="1" si="60"/>
        <v>0</v>
      </c>
      <c r="V148" s="306">
        <f t="shared" ca="1" si="61"/>
        <v>1.2143843946603075</v>
      </c>
      <c r="W148" s="304">
        <f t="shared" ca="1" si="62"/>
        <v>47.409188410102736</v>
      </c>
      <c r="Y148" s="314" t="str">
        <f t="shared" ca="1" si="80"/>
        <v/>
      </c>
      <c r="Z148" s="315" t="str">
        <f t="shared" ca="1" si="81"/>
        <v/>
      </c>
      <c r="AA148" s="316" t="str">
        <f t="shared" ca="1" si="82"/>
        <v/>
      </c>
      <c r="AC148" s="310" t="e">
        <f t="shared" ca="1" si="83"/>
        <v>#N/A</v>
      </c>
      <c r="AD148" s="323" t="e">
        <f t="shared" ca="1" si="84"/>
        <v>#N/A</v>
      </c>
      <c r="AE148" s="324">
        <f t="shared" ca="1" si="63"/>
        <v>87.035117244575844</v>
      </c>
      <c r="AG148" s="306">
        <f t="shared" ca="1" si="85"/>
        <v>80.939312461334723</v>
      </c>
      <c r="AH148" s="304">
        <f t="shared" ca="1" si="86"/>
        <v>90.697067275282976</v>
      </c>
    </row>
    <row r="149" spans="1:34" x14ac:dyDescent="0.2">
      <c r="A149" s="347">
        <f t="shared" ca="1" si="64"/>
        <v>0.01</v>
      </c>
      <c r="B149" s="304">
        <f t="shared" ca="1" si="65"/>
        <v>1.4500000000000011</v>
      </c>
      <c r="D149" s="306">
        <f t="shared" ca="1" si="66"/>
        <v>9.3410341699753339</v>
      </c>
      <c r="E149" s="307">
        <f t="shared" ca="1" si="67"/>
        <v>80.263883838507624</v>
      </c>
      <c r="F149" s="304">
        <f t="shared" ca="1" si="68"/>
        <v>80.805606044420529</v>
      </c>
      <c r="G149" s="306">
        <f t="shared" ca="1" si="69"/>
        <v>12.628254512141337</v>
      </c>
      <c r="H149" s="307">
        <f t="shared" ca="1" si="70"/>
        <v>121.67384829946027</v>
      </c>
      <c r="I149" s="304">
        <f t="shared" ca="1" si="71"/>
        <v>122.32742199532977</v>
      </c>
      <c r="J149" s="306">
        <f t="shared" ca="1" si="72"/>
        <v>8.6846020288547088</v>
      </c>
      <c r="K149" s="307">
        <f t="shared" ca="1" si="73"/>
        <v>88.247842533378517</v>
      </c>
      <c r="L149" s="304">
        <f t="shared" ca="1" si="58"/>
        <v>88.674145184464891</v>
      </c>
      <c r="M149" s="306">
        <f t="shared" ca="1" si="74"/>
        <v>1.4673788537999353</v>
      </c>
      <c r="N149" s="304">
        <f t="shared" ca="1" si="75"/>
        <v>84.074615269480546</v>
      </c>
      <c r="P149" s="310">
        <f t="shared" ca="1" si="76"/>
        <v>7</v>
      </c>
      <c r="Q149" s="304">
        <f t="shared" ca="1" si="77"/>
        <v>977.61428571428553</v>
      </c>
      <c r="R149" s="306">
        <f t="shared" ca="1" si="78"/>
        <v>0.48971853441150742</v>
      </c>
      <c r="S149" s="307">
        <f t="shared" ca="1" si="79"/>
        <v>10.272046431477291</v>
      </c>
      <c r="T149" s="304">
        <f t="shared" ca="1" si="59"/>
        <v>100.76877549279223</v>
      </c>
      <c r="U149" s="311">
        <f t="shared" ca="1" si="60"/>
        <v>0</v>
      </c>
      <c r="V149" s="306">
        <f t="shared" ca="1" si="61"/>
        <v>1.2142371292956176</v>
      </c>
      <c r="W149" s="304">
        <f t="shared" ca="1" si="62"/>
        <v>48.035914013686074</v>
      </c>
      <c r="Y149" s="314" t="str">
        <f t="shared" ca="1" si="80"/>
        <v/>
      </c>
      <c r="Z149" s="315" t="str">
        <f t="shared" ca="1" si="81"/>
        <v/>
      </c>
      <c r="AA149" s="316" t="str">
        <f t="shared" ca="1" si="82"/>
        <v/>
      </c>
      <c r="AC149" s="310" t="e">
        <f t="shared" ca="1" si="83"/>
        <v>#N/A</v>
      </c>
      <c r="AD149" s="323" t="e">
        <f t="shared" ca="1" si="84"/>
        <v>#N/A</v>
      </c>
      <c r="AE149" s="324">
        <f t="shared" ca="1" si="63"/>
        <v>88.247842533378517</v>
      </c>
      <c r="AG149" s="306">
        <f t="shared" ca="1" si="85"/>
        <v>80.799269828127692</v>
      </c>
      <c r="AH149" s="304">
        <f t="shared" ca="1" si="86"/>
        <v>90.556940480106832</v>
      </c>
    </row>
    <row r="150" spans="1:34" x14ac:dyDescent="0.2">
      <c r="A150" s="347">
        <f t="shared" ca="1" si="64"/>
        <v>0.01</v>
      </c>
      <c r="B150" s="304">
        <f t="shared" ca="1" si="65"/>
        <v>1.4600000000000011</v>
      </c>
      <c r="D150" s="306">
        <f t="shared" ca="1" si="66"/>
        <v>9.3339705818302647</v>
      </c>
      <c r="E150" s="307">
        <f t="shared" ca="1" si="67"/>
        <v>80.123261917815412</v>
      </c>
      <c r="F150" s="304">
        <f t="shared" ca="1" si="68"/>
        <v>80.66511084213127</v>
      </c>
      <c r="G150" s="306">
        <f t="shared" ca="1" si="69"/>
        <v>12.721594217959639</v>
      </c>
      <c r="H150" s="307">
        <f t="shared" ca="1" si="70"/>
        <v>122.47508091863843</v>
      </c>
      <c r="I150" s="304">
        <f t="shared" ca="1" si="71"/>
        <v>123.13400994637288</v>
      </c>
      <c r="J150" s="306">
        <f t="shared" ca="1" si="72"/>
        <v>8.8113512725052132</v>
      </c>
      <c r="K150" s="307">
        <f t="shared" ca="1" si="73"/>
        <v>89.468587179469012</v>
      </c>
      <c r="L150" s="304">
        <f t="shared" ca="1" si="58"/>
        <v>89.901434933696834</v>
      </c>
      <c r="M150" s="306">
        <f t="shared" ca="1" si="74"/>
        <v>1.4672966086137702</v>
      </c>
      <c r="N150" s="304">
        <f t="shared" ca="1" si="75"/>
        <v>84.069902967428021</v>
      </c>
      <c r="P150" s="310">
        <f t="shared" ca="1" si="76"/>
        <v>7</v>
      </c>
      <c r="Q150" s="304">
        <f t="shared" ca="1" si="77"/>
        <v>976.35454545454525</v>
      </c>
      <c r="R150" s="306">
        <f t="shared" ca="1" si="78"/>
        <v>0.48908748987507411</v>
      </c>
      <c r="S150" s="307">
        <f t="shared" ca="1" si="79"/>
        <v>10.26715555657854</v>
      </c>
      <c r="T150" s="304">
        <f t="shared" ca="1" si="59"/>
        <v>100.72079601003549</v>
      </c>
      <c r="U150" s="311">
        <f t="shared" ca="1" si="60"/>
        <v>0</v>
      </c>
      <c r="V150" s="306">
        <f t="shared" ca="1" si="61"/>
        <v>1.2140889080694954</v>
      </c>
      <c r="W150" s="304">
        <f t="shared" ca="1" si="62"/>
        <v>48.665528104931326</v>
      </c>
      <c r="Y150" s="314" t="str">
        <f t="shared" ca="1" si="80"/>
        <v/>
      </c>
      <c r="Z150" s="315" t="str">
        <f t="shared" ca="1" si="81"/>
        <v/>
      </c>
      <c r="AA150" s="316" t="str">
        <f t="shared" ca="1" si="82"/>
        <v/>
      </c>
      <c r="AC150" s="310" t="e">
        <f t="shared" ca="1" si="83"/>
        <v>#N/A</v>
      </c>
      <c r="AD150" s="323" t="e">
        <f t="shared" ca="1" si="84"/>
        <v>#N/A</v>
      </c>
      <c r="AE150" s="324">
        <f t="shared" ca="1" si="63"/>
        <v>89.468587179469012</v>
      </c>
      <c r="AG150" s="306">
        <f t="shared" ca="1" si="85"/>
        <v>80.658753458722302</v>
      </c>
      <c r="AH150" s="304">
        <f t="shared" ca="1" si="86"/>
        <v>90.416340370537341</v>
      </c>
    </row>
    <row r="151" spans="1:34" x14ac:dyDescent="0.2">
      <c r="A151" s="347">
        <f t="shared" ca="1" si="64"/>
        <v>0.01</v>
      </c>
      <c r="B151" s="304">
        <f t="shared" ca="1" si="65"/>
        <v>1.4700000000000011</v>
      </c>
      <c r="D151" s="306">
        <f t="shared" ca="1" si="66"/>
        <v>9.3267923623474029</v>
      </c>
      <c r="E151" s="307">
        <f t="shared" ca="1" si="67"/>
        <v>79.982177750584185</v>
      </c>
      <c r="F151" s="304">
        <f t="shared" ca="1" si="68"/>
        <v>80.5241442891285</v>
      </c>
      <c r="G151" s="306">
        <f t="shared" ca="1" si="69"/>
        <v>12.814862141583113</v>
      </c>
      <c r="H151" s="307">
        <f t="shared" ca="1" si="70"/>
        <v>123.27490269614427</v>
      </c>
      <c r="I151" s="304">
        <f t="shared" ca="1" si="71"/>
        <v>123.9391880175581</v>
      </c>
      <c r="J151" s="306">
        <f t="shared" ca="1" si="72"/>
        <v>8.9390335543029273</v>
      </c>
      <c r="K151" s="307">
        <f t="shared" ca="1" si="73"/>
        <v>90.697337097542928</v>
      </c>
      <c r="L151" s="304">
        <f t="shared" ca="1" si="58"/>
        <v>91.136783339496304</v>
      </c>
      <c r="M151" s="306">
        <f t="shared" ca="1" si="74"/>
        <v>1.4672148329877999</v>
      </c>
      <c r="N151" s="304">
        <f t="shared" ca="1" si="75"/>
        <v>84.065217569192882</v>
      </c>
      <c r="P151" s="310">
        <f t="shared" ca="1" si="76"/>
        <v>7</v>
      </c>
      <c r="Q151" s="304">
        <f t="shared" ca="1" si="77"/>
        <v>975.09480519480508</v>
      </c>
      <c r="R151" s="306">
        <f t="shared" ca="1" si="78"/>
        <v>0.4884564453386408</v>
      </c>
      <c r="S151" s="307">
        <f t="shared" ca="1" si="79"/>
        <v>10.262270992125154</v>
      </c>
      <c r="T151" s="304">
        <f t="shared" ca="1" si="59"/>
        <v>100.67287843274777</v>
      </c>
      <c r="U151" s="311">
        <f t="shared" ca="1" si="60"/>
        <v>0</v>
      </c>
      <c r="V151" s="306">
        <f t="shared" ca="1" si="61"/>
        <v>1.2139397330435779</v>
      </c>
      <c r="W151" s="304">
        <f t="shared" ca="1" si="62"/>
        <v>49.2980025639147</v>
      </c>
      <c r="Y151" s="314" t="str">
        <f t="shared" ca="1" si="80"/>
        <v/>
      </c>
      <c r="Z151" s="315" t="str">
        <f t="shared" ca="1" si="81"/>
        <v/>
      </c>
      <c r="AA151" s="316" t="str">
        <f t="shared" ca="1" si="82"/>
        <v/>
      </c>
      <c r="AC151" s="310" t="e">
        <f t="shared" ca="1" si="83"/>
        <v>#N/A</v>
      </c>
      <c r="AD151" s="323" t="e">
        <f t="shared" ca="1" si="84"/>
        <v>#N/A</v>
      </c>
      <c r="AE151" s="324">
        <f t="shared" ca="1" si="63"/>
        <v>90.697337097542928</v>
      </c>
      <c r="AG151" s="306">
        <f t="shared" ca="1" si="85"/>
        <v>80.517765677887098</v>
      </c>
      <c r="AH151" s="304">
        <f t="shared" ca="1" si="86"/>
        <v>90.275269265523931</v>
      </c>
    </row>
    <row r="152" spans="1:34" x14ac:dyDescent="0.2">
      <c r="A152" s="347">
        <f t="shared" ca="1" si="64"/>
        <v>0.01</v>
      </c>
      <c r="B152" s="304">
        <f t="shared" ca="1" si="65"/>
        <v>1.4800000000000011</v>
      </c>
      <c r="D152" s="306">
        <f t="shared" ca="1" si="66"/>
        <v>9.319500444110508</v>
      </c>
      <c r="E152" s="307">
        <f t="shared" ca="1" si="67"/>
        <v>79.840633594913555</v>
      </c>
      <c r="F152" s="304">
        <f t="shared" ca="1" si="68"/>
        <v>80.382708721248093</v>
      </c>
      <c r="G152" s="306">
        <f t="shared" ca="1" si="69"/>
        <v>12.908057146024218</v>
      </c>
      <c r="H152" s="307">
        <f t="shared" ca="1" si="70"/>
        <v>124.07330903209341</v>
      </c>
      <c r="I152" s="304">
        <f t="shared" ca="1" si="71"/>
        <v>124.74295151814542</v>
      </c>
      <c r="J152" s="306">
        <f t="shared" ca="1" si="72"/>
        <v>9.0676481507409648</v>
      </c>
      <c r="K152" s="307">
        <f t="shared" ca="1" si="73"/>
        <v>91.934078156184114</v>
      </c>
      <c r="L152" s="304">
        <f t="shared" ca="1" si="58"/>
        <v>92.380176279399933</v>
      </c>
      <c r="M152" s="306">
        <f t="shared" ca="1" si="74"/>
        <v>1.4671335203061244</v>
      </c>
      <c r="N152" s="304">
        <f t="shared" ca="1" si="75"/>
        <v>84.06055869571199</v>
      </c>
      <c r="P152" s="310">
        <f t="shared" ca="1" si="76"/>
        <v>7</v>
      </c>
      <c r="Q152" s="304">
        <f t="shared" ca="1" si="77"/>
        <v>973.83506493506479</v>
      </c>
      <c r="R152" s="306">
        <f t="shared" ca="1" si="78"/>
        <v>0.48782540080220749</v>
      </c>
      <c r="S152" s="307">
        <f t="shared" ca="1" si="79"/>
        <v>10.257392738117133</v>
      </c>
      <c r="T152" s="304">
        <f t="shared" ca="1" si="59"/>
        <v>100.62502276092908</v>
      </c>
      <c r="U152" s="311">
        <f t="shared" ca="1" si="60"/>
        <v>0</v>
      </c>
      <c r="V152" s="306">
        <f t="shared" ca="1" si="61"/>
        <v>1.2137896062864586</v>
      </c>
      <c r="W152" s="304">
        <f t="shared" ca="1" si="62"/>
        <v>49.933309232893777</v>
      </c>
      <c r="Y152" s="314" t="str">
        <f t="shared" ca="1" si="80"/>
        <v/>
      </c>
      <c r="Z152" s="315" t="str">
        <f t="shared" ca="1" si="81"/>
        <v/>
      </c>
      <c r="AA152" s="316" t="str">
        <f t="shared" ca="1" si="82"/>
        <v/>
      </c>
      <c r="AC152" s="310" t="e">
        <f t="shared" ca="1" si="83"/>
        <v>#N/A</v>
      </c>
      <c r="AD152" s="323" t="e">
        <f t="shared" ca="1" si="84"/>
        <v>#N/A</v>
      </c>
      <c r="AE152" s="324">
        <f t="shared" ca="1" si="63"/>
        <v>91.934078156184114</v>
      </c>
      <c r="AG152" s="306">
        <f t="shared" ca="1" si="85"/>
        <v>80.376308820257236</v>
      </c>
      <c r="AH152" s="304">
        <f t="shared" ca="1" si="86"/>
        <v>90.133729493998089</v>
      </c>
    </row>
    <row r="153" spans="1:34" x14ac:dyDescent="0.2">
      <c r="A153" s="347">
        <f t="shared" ca="1" si="64"/>
        <v>0.01</v>
      </c>
      <c r="B153" s="304">
        <f t="shared" ca="1" si="65"/>
        <v>1.4900000000000011</v>
      </c>
      <c r="D153" s="306">
        <f t="shared" ca="1" si="66"/>
        <v>9.3120957465850722</v>
      </c>
      <c r="E153" s="307">
        <f t="shared" ca="1" si="67"/>
        <v>79.698631719867976</v>
      </c>
      <c r="F153" s="304">
        <f t="shared" ca="1" si="68"/>
        <v>80.240806484062176</v>
      </c>
      <c r="G153" s="306">
        <f t="shared" ca="1" si="69"/>
        <v>13.001178103490069</v>
      </c>
      <c r="H153" s="307">
        <f t="shared" ca="1" si="70"/>
        <v>124.87029534929208</v>
      </c>
      <c r="I153" s="304">
        <f t="shared" ca="1" si="71"/>
        <v>125.54529578083802</v>
      </c>
      <c r="J153" s="306">
        <f t="shared" ca="1" si="72"/>
        <v>9.1971943269885355</v>
      </c>
      <c r="K153" s="307">
        <f t="shared" ca="1" si="73"/>
        <v>93.178796178091048</v>
      </c>
      <c r="L153" s="304">
        <f t="shared" ca="1" si="58"/>
        <v>93.631599584150138</v>
      </c>
      <c r="M153" s="306">
        <f t="shared" ca="1" si="74"/>
        <v>1.4670526640874055</v>
      </c>
      <c r="N153" s="304">
        <f t="shared" ca="1" si="75"/>
        <v>84.055925975632007</v>
      </c>
      <c r="P153" s="310">
        <f t="shared" ca="1" si="76"/>
        <v>7</v>
      </c>
      <c r="Q153" s="304">
        <f t="shared" ca="1" si="77"/>
        <v>972.57532467532451</v>
      </c>
      <c r="R153" s="306">
        <f t="shared" ca="1" si="78"/>
        <v>0.48719435626577412</v>
      </c>
      <c r="S153" s="307">
        <f t="shared" ca="1" si="79"/>
        <v>10.252520794554476</v>
      </c>
      <c r="T153" s="304">
        <f t="shared" ca="1" si="59"/>
        <v>100.57722899457941</v>
      </c>
      <c r="U153" s="311">
        <f t="shared" ca="1" si="60"/>
        <v>0</v>
      </c>
      <c r="V153" s="306">
        <f t="shared" ca="1" si="61"/>
        <v>1.2136385298736434</v>
      </c>
      <c r="W153" s="304">
        <f t="shared" ca="1" si="62"/>
        <v>50.571419917708369</v>
      </c>
      <c r="Y153" s="314" t="str">
        <f t="shared" ca="1" si="80"/>
        <v/>
      </c>
      <c r="Z153" s="315" t="str">
        <f t="shared" ca="1" si="81"/>
        <v/>
      </c>
      <c r="AA153" s="316" t="str">
        <f t="shared" ca="1" si="82"/>
        <v/>
      </c>
      <c r="AC153" s="310" t="e">
        <f t="shared" ca="1" si="83"/>
        <v>#N/A</v>
      </c>
      <c r="AD153" s="323" t="e">
        <f t="shared" ca="1" si="84"/>
        <v>#N/A</v>
      </c>
      <c r="AE153" s="324">
        <f t="shared" ca="1" si="63"/>
        <v>93.178796178091048</v>
      </c>
      <c r="AG153" s="306">
        <f t="shared" ca="1" si="85"/>
        <v>80.234385230210492</v>
      </c>
      <c r="AH153" s="304">
        <f t="shared" ca="1" si="86"/>
        <v>89.991723394746273</v>
      </c>
    </row>
    <row r="154" spans="1:34" x14ac:dyDescent="0.2">
      <c r="A154" s="347">
        <f t="shared" ca="1" si="64"/>
        <v>0.01</v>
      </c>
      <c r="B154" s="304">
        <f t="shared" ca="1" si="65"/>
        <v>1.5000000000000011</v>
      </c>
      <c r="D154" s="306">
        <f t="shared" ca="1" si="66"/>
        <v>9.3045791765052659</v>
      </c>
      <c r="E154" s="307">
        <f t="shared" ca="1" si="67"/>
        <v>79.556174405317293</v>
      </c>
      <c r="F154" s="304">
        <f t="shared" ca="1" si="68"/>
        <v>80.098439932754729</v>
      </c>
      <c r="G154" s="306">
        <f t="shared" ca="1" si="69"/>
        <v>13.094223895255121</v>
      </c>
      <c r="H154" s="307">
        <f t="shared" ca="1" si="70"/>
        <v>125.66585709334525</v>
      </c>
      <c r="I154" s="304">
        <f t="shared" ca="1" si="71"/>
        <v>126.34621616187854</v>
      </c>
      <c r="J154" s="306">
        <f t="shared" ca="1" si="72"/>
        <v>9.3276713369822613</v>
      </c>
      <c r="K154" s="307">
        <f t="shared" ca="1" si="73"/>
        <v>94.431476940304236</v>
      </c>
      <c r="L154" s="304">
        <f t="shared" ca="1" si="58"/>
        <v>94.891039037930085</v>
      </c>
      <c r="M154" s="306">
        <f t="shared" ca="1" si="74"/>
        <v>1.4669722579811937</v>
      </c>
      <c r="N154" s="304">
        <f t="shared" ca="1" si="75"/>
        <v>84.051319045098992</v>
      </c>
      <c r="P154" s="310">
        <f t="shared" ca="1" si="76"/>
        <v>7</v>
      </c>
      <c r="Q154" s="304">
        <f t="shared" ca="1" si="77"/>
        <v>971.31558441558423</v>
      </c>
      <c r="R154" s="306">
        <f t="shared" ca="1" si="78"/>
        <v>0.48656331172934081</v>
      </c>
      <c r="S154" s="307">
        <f t="shared" ca="1" si="79"/>
        <v>10.247655161437182</v>
      </c>
      <c r="T154" s="304">
        <f t="shared" ca="1" si="59"/>
        <v>100.52949713369875</v>
      </c>
      <c r="U154" s="311">
        <f t="shared" ca="1" si="60"/>
        <v>0</v>
      </c>
      <c r="V154" s="306">
        <f t="shared" ca="1" si="61"/>
        <v>1.2134865058875024</v>
      </c>
      <c r="W154" s="304">
        <f t="shared" ca="1" si="62"/>
        <v>51.212306389180497</v>
      </c>
      <c r="Y154" s="314" t="str">
        <f t="shared" ca="1" si="80"/>
        <v/>
      </c>
      <c r="Z154" s="315" t="str">
        <f t="shared" ca="1" si="81"/>
        <v/>
      </c>
      <c r="AA154" s="316" t="str">
        <f t="shared" ca="1" si="82"/>
        <v/>
      </c>
      <c r="AC154" s="310" t="e">
        <f t="shared" ca="1" si="83"/>
        <v>#N/A</v>
      </c>
      <c r="AD154" s="323" t="e">
        <f t="shared" ca="1" si="84"/>
        <v>#N/A</v>
      </c>
      <c r="AE154" s="324">
        <f t="shared" ca="1" si="63"/>
        <v>94.431476940304236</v>
      </c>
      <c r="AG154" s="306">
        <f t="shared" ca="1" si="85"/>
        <v>80.091997261742506</v>
      </c>
      <c r="AH154" s="304">
        <f t="shared" ca="1" si="86"/>
        <v>89.849253316282173</v>
      </c>
    </row>
    <row r="155" spans="1:34" x14ac:dyDescent="0.2">
      <c r="A155" s="347">
        <f t="shared" ca="1" si="64"/>
        <v>0.01</v>
      </c>
      <c r="B155" s="304">
        <f t="shared" ca="1" si="65"/>
        <v>1.5100000000000011</v>
      </c>
      <c r="D155" s="306">
        <f t="shared" ca="1" si="66"/>
        <v>9.2969516282474327</v>
      </c>
      <c r="E155" s="307">
        <f t="shared" ca="1" si="67"/>
        <v>79.413263941778069</v>
      </c>
      <c r="F155" s="304">
        <f t="shared" ca="1" si="68"/>
        <v>79.955611431996957</v>
      </c>
      <c r="G155" s="306">
        <f t="shared" ca="1" si="69"/>
        <v>13.187193411537596</v>
      </c>
      <c r="H155" s="307">
        <f t="shared" ca="1" si="70"/>
        <v>126.45998973276303</v>
      </c>
      <c r="I155" s="304">
        <f t="shared" ca="1" si="71"/>
        <v>127.145708041144</v>
      </c>
      <c r="J155" s="306">
        <f t="shared" ca="1" si="72"/>
        <v>9.4590784235162246</v>
      </c>
      <c r="K155" s="307">
        <f t="shared" ca="1" si="73"/>
        <v>95.692106174434784</v>
      </c>
      <c r="L155" s="304">
        <f t="shared" ca="1" si="58"/>
        <v>96.158480378599634</v>
      </c>
      <c r="M155" s="306">
        <f t="shared" ca="1" si="74"/>
        <v>1.4668922957643835</v>
      </c>
      <c r="N155" s="304">
        <f t="shared" ca="1" si="75"/>
        <v>84.046737547555267</v>
      </c>
      <c r="P155" s="310">
        <f t="shared" ca="1" si="76"/>
        <v>7</v>
      </c>
      <c r="Q155" s="304">
        <f t="shared" ca="1" si="77"/>
        <v>970.05584415584394</v>
      </c>
      <c r="R155" s="306">
        <f t="shared" ca="1" si="78"/>
        <v>0.48593226719290744</v>
      </c>
      <c r="S155" s="307">
        <f t="shared" ca="1" si="79"/>
        <v>10.242795838765252</v>
      </c>
      <c r="T155" s="304">
        <f t="shared" ca="1" si="59"/>
        <v>100.48182717828713</v>
      </c>
      <c r="U155" s="311">
        <f t="shared" ca="1" si="60"/>
        <v>0</v>
      </c>
      <c r="V155" s="306">
        <f t="shared" ca="1" si="61"/>
        <v>1.213333536417224</v>
      </c>
      <c r="W155" s="304">
        <f t="shared" ca="1" si="62"/>
        <v>51.855940384513339</v>
      </c>
      <c r="Y155" s="314" t="str">
        <f t="shared" ca="1" si="80"/>
        <v/>
      </c>
      <c r="Z155" s="315" t="str">
        <f t="shared" ca="1" si="81"/>
        <v/>
      </c>
      <c r="AA155" s="316" t="str">
        <f t="shared" ca="1" si="82"/>
        <v/>
      </c>
      <c r="AC155" s="310" t="e">
        <f t="shared" ca="1" si="83"/>
        <v>#N/A</v>
      </c>
      <c r="AD155" s="323" t="e">
        <f t="shared" ca="1" si="84"/>
        <v>#N/A</v>
      </c>
      <c r="AE155" s="324">
        <f t="shared" ca="1" si="63"/>
        <v>95.692106174434784</v>
      </c>
      <c r="AG155" s="306">
        <f t="shared" ca="1" si="85"/>
        <v>79.949147278341655</v>
      </c>
      <c r="AH155" s="304">
        <f t="shared" ca="1" si="86"/>
        <v>89.706321616718668</v>
      </c>
    </row>
    <row r="156" spans="1:34" x14ac:dyDescent="0.2">
      <c r="A156" s="347">
        <f t="shared" ca="1" si="64"/>
        <v>0.01</v>
      </c>
      <c r="B156" s="304">
        <f t="shared" ca="1" si="65"/>
        <v>1.5200000000000011</v>
      </c>
      <c r="D156" s="306">
        <f t="shared" ca="1" si="66"/>
        <v>9.2892139841900896</v>
      </c>
      <c r="E156" s="307">
        <f t="shared" ca="1" si="67"/>
        <v>79.269902630255672</v>
      </c>
      <c r="F156" s="304">
        <f t="shared" ca="1" si="68"/>
        <v>79.812323355821988</v>
      </c>
      <c r="G156" s="306">
        <f t="shared" ca="1" si="69"/>
        <v>13.280085551379496</v>
      </c>
      <c r="H156" s="307">
        <f t="shared" ca="1" si="70"/>
        <v>127.25268875906559</v>
      </c>
      <c r="I156" s="304">
        <f t="shared" ca="1" si="71"/>
        <v>127.94376682223944</v>
      </c>
      <c r="J156" s="306">
        <f t="shared" ca="1" si="72"/>
        <v>9.5914148183308097</v>
      </c>
      <c r="K156" s="307">
        <f t="shared" ca="1" si="73"/>
        <v>96.960669566893927</v>
      </c>
      <c r="L156" s="304">
        <f t="shared" ca="1" si="58"/>
        <v>97.433909297932246</v>
      </c>
      <c r="M156" s="306">
        <f t="shared" ca="1" si="74"/>
        <v>1.4668127713377868</v>
      </c>
      <c r="N156" s="304">
        <f t="shared" ca="1" si="75"/>
        <v>84.042181133543068</v>
      </c>
      <c r="P156" s="310">
        <f t="shared" ca="1" si="76"/>
        <v>7</v>
      </c>
      <c r="Q156" s="304">
        <f t="shared" ca="1" si="77"/>
        <v>968.79610389610366</v>
      </c>
      <c r="R156" s="306">
        <f t="shared" ca="1" si="78"/>
        <v>0.48530122265647413</v>
      </c>
      <c r="S156" s="307">
        <f t="shared" ca="1" si="79"/>
        <v>10.237942826538687</v>
      </c>
      <c r="T156" s="304">
        <f t="shared" ca="1" si="59"/>
        <v>100.43421912834452</v>
      </c>
      <c r="U156" s="311">
        <f t="shared" ca="1" si="60"/>
        <v>0</v>
      </c>
      <c r="V156" s="306">
        <f t="shared" ca="1" si="61"/>
        <v>1.2131796235587691</v>
      </c>
      <c r="W156" s="304">
        <f t="shared" ca="1" si="62"/>
        <v>52.502293608689008</v>
      </c>
      <c r="Y156" s="314" t="str">
        <f t="shared" ca="1" si="80"/>
        <v/>
      </c>
      <c r="Z156" s="315" t="str">
        <f t="shared" ca="1" si="81"/>
        <v/>
      </c>
      <c r="AA156" s="316" t="str">
        <f t="shared" ca="1" si="82"/>
        <v/>
      </c>
      <c r="AC156" s="310" t="e">
        <f t="shared" ca="1" si="83"/>
        <v>#N/A</v>
      </c>
      <c r="AD156" s="323" t="e">
        <f t="shared" ca="1" si="84"/>
        <v>#N/A</v>
      </c>
      <c r="AE156" s="324">
        <f t="shared" ca="1" si="63"/>
        <v>96.960669566893927</v>
      </c>
      <c r="AG156" s="306">
        <f t="shared" ca="1" si="85"/>
        <v>79.805837652863602</v>
      </c>
      <c r="AH156" s="304">
        <f t="shared" ca="1" si="86"/>
        <v>89.562930663639548</v>
      </c>
    </row>
    <row r="157" spans="1:34" x14ac:dyDescent="0.2">
      <c r="A157" s="347">
        <f t="shared" ca="1" si="64"/>
        <v>0.01</v>
      </c>
      <c r="B157" s="304">
        <f t="shared" ca="1" si="65"/>
        <v>1.5300000000000011</v>
      </c>
      <c r="D157" s="306">
        <f t="shared" ca="1" si="66"/>
        <v>9.2813671150614354</v>
      </c>
      <c r="E157" s="307">
        <f t="shared" ca="1" si="67"/>
        <v>79.126092782086928</v>
      </c>
      <c r="F157" s="304">
        <f t="shared" ca="1" si="68"/>
        <v>79.668578087499299</v>
      </c>
      <c r="G157" s="306">
        <f t="shared" ca="1" si="69"/>
        <v>13.37289922253011</v>
      </c>
      <c r="H157" s="307">
        <f t="shared" ca="1" si="70"/>
        <v>128.04394968688646</v>
      </c>
      <c r="I157" s="304">
        <f t="shared" ca="1" si="71"/>
        <v>128.74038793259035</v>
      </c>
      <c r="J157" s="306">
        <f t="shared" ca="1" si="72"/>
        <v>9.7246797422003581</v>
      </c>
      <c r="K157" s="307">
        <f t="shared" ca="1" si="73"/>
        <v>98.237152759123688</v>
      </c>
      <c r="L157" s="304">
        <f t="shared" ca="1" si="58"/>
        <v>98.717311441852814</v>
      </c>
      <c r="M157" s="306">
        <f t="shared" ca="1" si="74"/>
        <v>1.4667336787228222</v>
      </c>
      <c r="N157" s="304">
        <f t="shared" ca="1" si="75"/>
        <v>84.037649460514942</v>
      </c>
      <c r="P157" s="310">
        <f t="shared" ca="1" si="76"/>
        <v>7</v>
      </c>
      <c r="Q157" s="304">
        <f t="shared" ca="1" si="77"/>
        <v>967.53636363636349</v>
      </c>
      <c r="R157" s="306">
        <f t="shared" ca="1" si="78"/>
        <v>0.48467017812004082</v>
      </c>
      <c r="S157" s="307">
        <f t="shared" ca="1" si="79"/>
        <v>10.233096124757486</v>
      </c>
      <c r="T157" s="304">
        <f t="shared" ca="1" si="59"/>
        <v>100.38667298387094</v>
      </c>
      <c r="U157" s="311">
        <f t="shared" ca="1" si="60"/>
        <v>0</v>
      </c>
      <c r="V157" s="306">
        <f t="shared" ca="1" si="61"/>
        <v>1.2130247694148235</v>
      </c>
      <c r="W157" s="304">
        <f t="shared" ca="1" si="62"/>
        <v>53.151337735865106</v>
      </c>
      <c r="Y157" s="314" t="str">
        <f t="shared" ca="1" si="80"/>
        <v/>
      </c>
      <c r="Z157" s="315" t="str">
        <f t="shared" ca="1" si="81"/>
        <v/>
      </c>
      <c r="AA157" s="316" t="str">
        <f t="shared" ca="1" si="82"/>
        <v/>
      </c>
      <c r="AC157" s="310" t="e">
        <f t="shared" ca="1" si="83"/>
        <v>#N/A</v>
      </c>
      <c r="AD157" s="323" t="e">
        <f t="shared" ca="1" si="84"/>
        <v>#N/A</v>
      </c>
      <c r="AE157" s="324">
        <f t="shared" ca="1" si="63"/>
        <v>98.237152759123688</v>
      </c>
      <c r="AG157" s="306">
        <f t="shared" ca="1" si="85"/>
        <v>79.662070767405226</v>
      </c>
      <c r="AH157" s="304">
        <f t="shared" ca="1" si="86"/>
        <v>89.419082833970734</v>
      </c>
    </row>
    <row r="158" spans="1:34" x14ac:dyDescent="0.2">
      <c r="A158" s="347">
        <f t="shared" ca="1" si="64"/>
        <v>0.01</v>
      </c>
      <c r="B158" s="304">
        <f t="shared" ca="1" si="65"/>
        <v>1.5400000000000011</v>
      </c>
      <c r="D158" s="306">
        <f t="shared" ca="1" si="66"/>
        <v>9.2734118802744714</v>
      </c>
      <c r="E158" s="307">
        <f t="shared" ca="1" si="67"/>
        <v>78.981836718783399</v>
      </c>
      <c r="F158" s="304">
        <f t="shared" ca="1" si="68"/>
        <v>79.524378019408474</v>
      </c>
      <c r="G158" s="306">
        <f t="shared" ca="1" si="69"/>
        <v>13.465633341332856</v>
      </c>
      <c r="H158" s="307">
        <f t="shared" ca="1" si="70"/>
        <v>128.83376805407428</v>
      </c>
      <c r="I158" s="304">
        <f t="shared" ca="1" si="71"/>
        <v>129.53556682353394</v>
      </c>
      <c r="J158" s="306">
        <f t="shared" ca="1" si="72"/>
        <v>9.8588724050196728</v>
      </c>
      <c r="K158" s="307">
        <f t="shared" ca="1" si="73"/>
        <v>99.521541347828489</v>
      </c>
      <c r="L158" s="304">
        <f t="shared" ca="1" si="58"/>
        <v>100.00867241067643</v>
      </c>
      <c r="M158" s="306">
        <f t="shared" ca="1" si="74"/>
        <v>1.4666550120583144</v>
      </c>
      <c r="N158" s="304">
        <f t="shared" ca="1" si="75"/>
        <v>84.033142192650274</v>
      </c>
      <c r="P158" s="310">
        <f t="shared" ca="1" si="76"/>
        <v>7</v>
      </c>
      <c r="Q158" s="304">
        <f t="shared" ca="1" si="77"/>
        <v>966.27662337662321</v>
      </c>
      <c r="R158" s="306">
        <f t="shared" ca="1" si="78"/>
        <v>0.48403913358360751</v>
      </c>
      <c r="S158" s="307">
        <f t="shared" ca="1" si="79"/>
        <v>10.22825573342165</v>
      </c>
      <c r="T158" s="304">
        <f t="shared" ca="1" si="59"/>
        <v>100.33918874486639</v>
      </c>
      <c r="U158" s="311">
        <f t="shared" ca="1" si="60"/>
        <v>0</v>
      </c>
      <c r="V158" s="306">
        <f t="shared" ca="1" si="61"/>
        <v>1.21286897609475</v>
      </c>
      <c r="W158" s="304">
        <f t="shared" ca="1" si="62"/>
        <v>53.803044410769886</v>
      </c>
      <c r="Y158" s="314" t="str">
        <f t="shared" ca="1" si="80"/>
        <v/>
      </c>
      <c r="Z158" s="315" t="str">
        <f t="shared" ca="1" si="81"/>
        <v/>
      </c>
      <c r="AA158" s="316" t="str">
        <f t="shared" ca="1" si="82"/>
        <v/>
      </c>
      <c r="AC158" s="310" t="e">
        <f t="shared" ca="1" si="83"/>
        <v>#N/A</v>
      </c>
      <c r="AD158" s="323" t="e">
        <f t="shared" ca="1" si="84"/>
        <v>#N/A</v>
      </c>
      <c r="AE158" s="324">
        <f t="shared" ca="1" si="63"/>
        <v>99.521541347828489</v>
      </c>
      <c r="AG158" s="306">
        <f t="shared" ca="1" si="85"/>
        <v>79.517849013178193</v>
      </c>
      <c r="AH158" s="304">
        <f t="shared" ca="1" si="86"/>
        <v>89.274780513851212</v>
      </c>
    </row>
    <row r="159" spans="1:34" x14ac:dyDescent="0.2">
      <c r="A159" s="347">
        <f t="shared" ca="1" si="64"/>
        <v>0.01</v>
      </c>
      <c r="B159" s="304">
        <f t="shared" ca="1" si="65"/>
        <v>1.5500000000000012</v>
      </c>
      <c r="D159" s="306">
        <f t="shared" ca="1" si="66"/>
        <v>9.265349128250616</v>
      </c>
      <c r="E159" s="307">
        <f t="shared" ca="1" si="67"/>
        <v>78.837136771875493</v>
      </c>
      <c r="F159" s="304">
        <f t="shared" ca="1" si="68"/>
        <v>79.379725552912916</v>
      </c>
      <c r="G159" s="306">
        <f t="shared" ca="1" si="69"/>
        <v>13.558286832615362</v>
      </c>
      <c r="H159" s="307">
        <f t="shared" ca="1" si="70"/>
        <v>129.62213942179304</v>
      </c>
      <c r="I159" s="304">
        <f t="shared" ca="1" si="71"/>
        <v>130.32929897040887</v>
      </c>
      <c r="J159" s="306">
        <f t="shared" ca="1" si="72"/>
        <v>9.9939920058894138</v>
      </c>
      <c r="K159" s="307">
        <f t="shared" ca="1" si="73"/>
        <v>100.81382088520783</v>
      </c>
      <c r="L159" s="304">
        <f t="shared" ca="1" si="58"/>
        <v>101.30797775934801</v>
      </c>
      <c r="M159" s="306">
        <f t="shared" ca="1" si="74"/>
        <v>1.4665767655973985</v>
      </c>
      <c r="N159" s="304">
        <f t="shared" ca="1" si="75"/>
        <v>84.028659000677962</v>
      </c>
      <c r="P159" s="310">
        <f t="shared" ca="1" si="76"/>
        <v>7</v>
      </c>
      <c r="Q159" s="304">
        <f t="shared" ca="1" si="77"/>
        <v>965.01688311688292</v>
      </c>
      <c r="R159" s="306">
        <f t="shared" ca="1" si="78"/>
        <v>0.48340808904717414</v>
      </c>
      <c r="S159" s="307">
        <f t="shared" ca="1" si="79"/>
        <v>10.223421652531178</v>
      </c>
      <c r="T159" s="304">
        <f t="shared" ca="1" si="59"/>
        <v>100.29176641133085</v>
      </c>
      <c r="U159" s="311">
        <f t="shared" ca="1" si="60"/>
        <v>0</v>
      </c>
      <c r="V159" s="306">
        <f t="shared" ca="1" si="61"/>
        <v>1.2127122457145429</v>
      </c>
      <c r="W159" s="304">
        <f t="shared" ca="1" si="62"/>
        <v>54.457385250095832</v>
      </c>
      <c r="Y159" s="314" t="str">
        <f t="shared" ca="1" si="80"/>
        <v/>
      </c>
      <c r="Z159" s="315" t="str">
        <f t="shared" ca="1" si="81"/>
        <v/>
      </c>
      <c r="AA159" s="316" t="str">
        <f t="shared" ca="1" si="82"/>
        <v/>
      </c>
      <c r="AC159" s="310" t="e">
        <f t="shared" ca="1" si="83"/>
        <v>#N/A</v>
      </c>
      <c r="AD159" s="323" t="e">
        <f t="shared" ca="1" si="84"/>
        <v>#N/A</v>
      </c>
      <c r="AE159" s="324">
        <f t="shared" ca="1" si="63"/>
        <v>100.81382088520783</v>
      </c>
      <c r="AG159" s="306">
        <f t="shared" ca="1" si="85"/>
        <v>79.373174790382251</v>
      </c>
      <c r="AH159" s="304">
        <f t="shared" ca="1" si="86"/>
        <v>89.130026098503834</v>
      </c>
    </row>
    <row r="160" spans="1:34" x14ac:dyDescent="0.2">
      <c r="A160" s="347">
        <f t="shared" ca="1" si="64"/>
        <v>0.01</v>
      </c>
      <c r="B160" s="304">
        <f t="shared" ca="1" si="65"/>
        <v>1.5600000000000012</v>
      </c>
      <c r="D160" s="306">
        <f t="shared" ca="1" si="66"/>
        <v>9.2571796967320026</v>
      </c>
      <c r="E160" s="307">
        <f t="shared" ca="1" si="67"/>
        <v>78.691995282756793</v>
      </c>
      <c r="F160" s="304">
        <f t="shared" ca="1" si="68"/>
        <v>79.234623098232788</v>
      </c>
      <c r="G160" s="306">
        <f t="shared" ca="1" si="69"/>
        <v>13.650858629582682</v>
      </c>
      <c r="H160" s="307">
        <f t="shared" ca="1" si="70"/>
        <v>130.4090593746206</v>
      </c>
      <c r="I160" s="304">
        <f t="shared" ca="1" si="71"/>
        <v>131.12157987264405</v>
      </c>
      <c r="J160" s="306">
        <f t="shared" ca="1" si="72"/>
        <v>10.130037733200403</v>
      </c>
      <c r="K160" s="307">
        <f t="shared" ca="1" si="73"/>
        <v>102.11397687918991</v>
      </c>
      <c r="L160" s="304">
        <f t="shared" ca="1" si="58"/>
        <v>102.61521299768273</v>
      </c>
      <c r="M160" s="306">
        <f t="shared" ca="1" si="74"/>
        <v>1.4664989337045282</v>
      </c>
      <c r="N160" s="304">
        <f t="shared" ca="1" si="75"/>
        <v>84.024199561704975</v>
      </c>
      <c r="P160" s="310">
        <f t="shared" ca="1" si="76"/>
        <v>7</v>
      </c>
      <c r="Q160" s="304">
        <f t="shared" ca="1" si="77"/>
        <v>963.75714285714264</v>
      </c>
      <c r="R160" s="306">
        <f t="shared" ca="1" si="78"/>
        <v>0.48277704451074083</v>
      </c>
      <c r="S160" s="307">
        <f t="shared" ca="1" si="79"/>
        <v>10.21859388208607</v>
      </c>
      <c r="T160" s="304">
        <f t="shared" ca="1" si="59"/>
        <v>100.24440598326436</v>
      </c>
      <c r="U160" s="311">
        <f t="shared" ca="1" si="60"/>
        <v>0</v>
      </c>
      <c r="V160" s="306">
        <f t="shared" ca="1" si="61"/>
        <v>1.2125545803967799</v>
      </c>
      <c r="W160" s="304">
        <f t="shared" ca="1" si="62"/>
        <v>55.11433184389184</v>
      </c>
      <c r="Y160" s="314" t="str">
        <f t="shared" ca="1" si="80"/>
        <v/>
      </c>
      <c r="Z160" s="315" t="str">
        <f t="shared" ca="1" si="81"/>
        <v/>
      </c>
      <c r="AA160" s="316" t="str">
        <f t="shared" ca="1" si="82"/>
        <v/>
      </c>
      <c r="AC160" s="310" t="e">
        <f t="shared" ca="1" si="83"/>
        <v>#N/A</v>
      </c>
      <c r="AD160" s="323" t="e">
        <f t="shared" ca="1" si="84"/>
        <v>#N/A</v>
      </c>
      <c r="AE160" s="324">
        <f t="shared" ca="1" si="63"/>
        <v>102.11397687918991</v>
      </c>
      <c r="AG160" s="306">
        <f t="shared" ca="1" si="85"/>
        <v>79.228050508077871</v>
      </c>
      <c r="AH160" s="304">
        <f t="shared" ca="1" si="86"/>
        <v>88.984821992105452</v>
      </c>
    </row>
    <row r="161" spans="1:34" x14ac:dyDescent="0.2">
      <c r="A161" s="347">
        <f t="shared" ca="1" si="64"/>
        <v>0.01</v>
      </c>
      <c r="B161" s="304">
        <f t="shared" ca="1" si="65"/>
        <v>1.5700000000000012</v>
      </c>
      <c r="D161" s="306">
        <f t="shared" ca="1" si="66"/>
        <v>9.2489044130829434</v>
      </c>
      <c r="E161" s="307">
        <f t="shared" ca="1" si="67"/>
        <v>78.546414602529367</v>
      </c>
      <c r="F161" s="304">
        <f t="shared" ca="1" si="68"/>
        <v>79.089073074317824</v>
      </c>
      <c r="G161" s="306">
        <f t="shared" ca="1" si="69"/>
        <v>13.743347673713512</v>
      </c>
      <c r="H161" s="307">
        <f t="shared" ca="1" si="70"/>
        <v>131.1945235206459</v>
      </c>
      <c r="I161" s="304">
        <f t="shared" ca="1" si="71"/>
        <v>131.91240505384576</v>
      </c>
      <c r="J161" s="306">
        <f t="shared" ca="1" si="72"/>
        <v>10.267008764716884</v>
      </c>
      <c r="K161" s="307">
        <f t="shared" ca="1" si="73"/>
        <v>103.42199479366624</v>
      </c>
      <c r="L161" s="304">
        <f t="shared" ca="1" si="58"/>
        <v>103.93036359060763</v>
      </c>
      <c r="M161" s="306">
        <f t="shared" ca="1" si="74"/>
        <v>1.4664215108525809</v>
      </c>
      <c r="N161" s="304">
        <f t="shared" ca="1" si="75"/>
        <v>84.019763559050531</v>
      </c>
      <c r="P161" s="310">
        <f t="shared" ca="1" si="76"/>
        <v>7</v>
      </c>
      <c r="Q161" s="304">
        <f t="shared" ca="1" si="77"/>
        <v>962.49740259740236</v>
      </c>
      <c r="R161" s="306">
        <f t="shared" ca="1" si="78"/>
        <v>0.48214599997430746</v>
      </c>
      <c r="S161" s="307">
        <f t="shared" ca="1" si="79"/>
        <v>10.213772422086327</v>
      </c>
      <c r="T161" s="304">
        <f t="shared" ca="1" si="59"/>
        <v>100.19710746066687</v>
      </c>
      <c r="U161" s="311">
        <f t="shared" ca="1" si="60"/>
        <v>0</v>
      </c>
      <c r="V161" s="306">
        <f t="shared" ca="1" si="61"/>
        <v>1.2123959822705757</v>
      </c>
      <c r="W161" s="304">
        <f t="shared" ca="1" si="62"/>
        <v>55.773855756953338</v>
      </c>
      <c r="Y161" s="314" t="str">
        <f t="shared" ca="1" si="80"/>
        <v/>
      </c>
      <c r="Z161" s="315" t="str">
        <f t="shared" ca="1" si="81"/>
        <v/>
      </c>
      <c r="AA161" s="316" t="str">
        <f t="shared" ca="1" si="82"/>
        <v/>
      </c>
      <c r="AC161" s="310" t="e">
        <f t="shared" ca="1" si="83"/>
        <v>#N/A</v>
      </c>
      <c r="AD161" s="323" t="e">
        <f t="shared" ca="1" si="84"/>
        <v>#N/A</v>
      </c>
      <c r="AE161" s="324">
        <f t="shared" ca="1" si="63"/>
        <v>103.42199479366624</v>
      </c>
      <c r="AG161" s="306">
        <f t="shared" ca="1" si="85"/>
        <v>79.082478584058862</v>
      </c>
      <c r="AH161" s="304">
        <f t="shared" ca="1" si="86"/>
        <v>88.839170607657124</v>
      </c>
    </row>
    <row r="162" spans="1:34" x14ac:dyDescent="0.2">
      <c r="A162" s="347">
        <f t="shared" ca="1" si="64"/>
        <v>0.01</v>
      </c>
      <c r="B162" s="304">
        <f t="shared" ca="1" si="65"/>
        <v>1.5800000000000012</v>
      </c>
      <c r="D162" s="306">
        <f t="shared" ca="1" si="66"/>
        <v>9.2405240945810672</v>
      </c>
      <c r="E162" s="307">
        <f t="shared" ca="1" si="67"/>
        <v>78.400397091849214</v>
      </c>
      <c r="F162" s="304">
        <f t="shared" ca="1" si="68"/>
        <v>78.943077908719602</v>
      </c>
      <c r="G162" s="306">
        <f t="shared" ca="1" si="69"/>
        <v>13.835752914659322</v>
      </c>
      <c r="H162" s="307">
        <f t="shared" ca="1" si="70"/>
        <v>131.97852749156439</v>
      </c>
      <c r="I162" s="304">
        <f t="shared" ca="1" si="71"/>
        <v>132.70177006188396</v>
      </c>
      <c r="J162" s="306">
        <f t="shared" ca="1" si="72"/>
        <v>10.404904267658749</v>
      </c>
      <c r="K162" s="307">
        <f t="shared" ca="1" si="73"/>
        <v>104.7378600487273</v>
      </c>
      <c r="L162" s="304">
        <f t="shared" ca="1" si="58"/>
        <v>105.25341495840374</v>
      </c>
      <c r="M162" s="306">
        <f t="shared" ca="1" si="74"/>
        <v>1.4663444916200548</v>
      </c>
      <c r="N162" s="304">
        <f t="shared" ca="1" si="75"/>
        <v>84.01535068208544</v>
      </c>
      <c r="P162" s="310">
        <f t="shared" ca="1" si="76"/>
        <v>7</v>
      </c>
      <c r="Q162" s="304">
        <f t="shared" ca="1" si="77"/>
        <v>961.23766233766219</v>
      </c>
      <c r="R162" s="306">
        <f t="shared" ca="1" si="78"/>
        <v>0.4815149554378742</v>
      </c>
      <c r="S162" s="307">
        <f t="shared" ca="1" si="79"/>
        <v>10.208957272531949</v>
      </c>
      <c r="T162" s="304">
        <f t="shared" ca="1" si="59"/>
        <v>100.14987084353842</v>
      </c>
      <c r="U162" s="311">
        <f t="shared" ca="1" si="60"/>
        <v>0</v>
      </c>
      <c r="V162" s="306">
        <f t="shared" ca="1" si="61"/>
        <v>1.212236453471532</v>
      </c>
      <c r="W162" s="304">
        <f t="shared" ca="1" si="62"/>
        <v>56.435928530210823</v>
      </c>
      <c r="Y162" s="314" t="str">
        <f t="shared" ca="1" si="80"/>
        <v/>
      </c>
      <c r="Z162" s="315" t="str">
        <f t="shared" ca="1" si="81"/>
        <v/>
      </c>
      <c r="AA162" s="316" t="str">
        <f t="shared" ca="1" si="82"/>
        <v/>
      </c>
      <c r="AC162" s="310" t="e">
        <f t="shared" ca="1" si="83"/>
        <v>#N/A</v>
      </c>
      <c r="AD162" s="323" t="e">
        <f t="shared" ca="1" si="84"/>
        <v>#N/A</v>
      </c>
      <c r="AE162" s="324">
        <f t="shared" ca="1" si="63"/>
        <v>104.7378600487273</v>
      </c>
      <c r="AG162" s="306">
        <f t="shared" ca="1" si="85"/>
        <v>78.936461444724245</v>
      </c>
      <c r="AH162" s="304">
        <f t="shared" ca="1" si="86"/>
        <v>88.693074366853779</v>
      </c>
    </row>
    <row r="163" spans="1:34" x14ac:dyDescent="0.2">
      <c r="A163" s="347">
        <f t="shared" ca="1" si="64"/>
        <v>0.01</v>
      </c>
      <c r="B163" s="304">
        <f t="shared" ca="1" si="65"/>
        <v>1.5900000000000012</v>
      </c>
      <c r="D163" s="306">
        <f t="shared" ca="1" si="66"/>
        <v>9.2320395486986069</v>
      </c>
      <c r="E163" s="307">
        <f t="shared" ca="1" si="67"/>
        <v>78.253945120772599</v>
      </c>
      <c r="F163" s="304">
        <f t="shared" ca="1" si="68"/>
        <v>78.796640037463689</v>
      </c>
      <c r="G163" s="306">
        <f t="shared" ca="1" si="69"/>
        <v>13.928073310146308</v>
      </c>
      <c r="H163" s="307">
        <f t="shared" ca="1" si="70"/>
        <v>132.76106694277212</v>
      </c>
      <c r="I163" s="304">
        <f t="shared" ca="1" si="71"/>
        <v>133.48967046897684</v>
      </c>
      <c r="J163" s="306">
        <f t="shared" ca="1" si="72"/>
        <v>10.543723398782777</v>
      </c>
      <c r="K163" s="307">
        <f t="shared" ca="1" si="73"/>
        <v>106.06155802089899</v>
      </c>
      <c r="L163" s="304">
        <f t="shared" ca="1" si="58"/>
        <v>106.58435247694926</v>
      </c>
      <c r="M163" s="306">
        <f t="shared" ca="1" si="74"/>
        <v>1.4662678706883598</v>
      </c>
      <c r="N163" s="304">
        <f t="shared" ca="1" si="75"/>
        <v>84.010960626076965</v>
      </c>
      <c r="P163" s="310">
        <f t="shared" ca="1" si="76"/>
        <v>7</v>
      </c>
      <c r="Q163" s="304">
        <f t="shared" ca="1" si="77"/>
        <v>959.9779220779219</v>
      </c>
      <c r="R163" s="306">
        <f t="shared" ca="1" si="78"/>
        <v>0.48088391090144084</v>
      </c>
      <c r="S163" s="307">
        <f t="shared" ca="1" si="79"/>
        <v>10.204148433422935</v>
      </c>
      <c r="T163" s="304">
        <f t="shared" ca="1" si="59"/>
        <v>100.102696131879</v>
      </c>
      <c r="U163" s="311">
        <f t="shared" ca="1" si="60"/>
        <v>0</v>
      </c>
      <c r="V163" s="306">
        <f t="shared" ca="1" si="61"/>
        <v>1.2120759961416943</v>
      </c>
      <c r="W163" s="304">
        <f t="shared" ca="1" si="62"/>
        <v>57.100521682116366</v>
      </c>
      <c r="Y163" s="314" t="str">
        <f t="shared" ca="1" si="80"/>
        <v/>
      </c>
      <c r="Z163" s="315" t="str">
        <f t="shared" ca="1" si="81"/>
        <v/>
      </c>
      <c r="AA163" s="316" t="str">
        <f t="shared" ca="1" si="82"/>
        <v/>
      </c>
      <c r="AC163" s="310" t="e">
        <f t="shared" ca="1" si="83"/>
        <v>#N/A</v>
      </c>
      <c r="AD163" s="323" t="e">
        <f t="shared" ca="1" si="84"/>
        <v>#N/A</v>
      </c>
      <c r="AE163" s="324">
        <f t="shared" ca="1" si="63"/>
        <v>106.06155802089899</v>
      </c>
      <c r="AG163" s="306">
        <f t="shared" ca="1" si="85"/>
        <v>78.7900015249501</v>
      </c>
      <c r="AH163" s="304">
        <f t="shared" ca="1" si="86"/>
        <v>88.546535699953751</v>
      </c>
    </row>
    <row r="164" spans="1:34" x14ac:dyDescent="0.2">
      <c r="A164" s="347">
        <f t="shared" ca="1" si="64"/>
        <v>0.01</v>
      </c>
      <c r="B164" s="304">
        <f t="shared" ca="1" si="65"/>
        <v>1.6000000000000012</v>
      </c>
      <c r="D164" s="306">
        <f t="shared" ca="1" si="66"/>
        <v>9.223451573373886</v>
      </c>
      <c r="E164" s="307">
        <f t="shared" ca="1" si="67"/>
        <v>78.107061068602661</v>
      </c>
      <c r="F164" s="304">
        <f t="shared" ca="1" si="68"/>
        <v>78.649761904921235</v>
      </c>
      <c r="G164" s="306">
        <f t="shared" ca="1" si="69"/>
        <v>14.020307825880048</v>
      </c>
      <c r="H164" s="307">
        <f t="shared" ca="1" si="70"/>
        <v>133.54213755345813</v>
      </c>
      <c r="I164" s="304">
        <f t="shared" ca="1" si="71"/>
        <v>134.2761018717745</v>
      </c>
      <c r="J164" s="306">
        <f t="shared" ca="1" si="72"/>
        <v>10.68346530446291</v>
      </c>
      <c r="K164" s="307">
        <f t="shared" ca="1" si="73"/>
        <v>107.39307404338014</v>
      </c>
      <c r="L164" s="304">
        <f t="shared" ca="1" si="58"/>
        <v>107.92316147796353</v>
      </c>
      <c r="M164" s="306">
        <f t="shared" ca="1" si="74"/>
        <v>1.4661916428391926</v>
      </c>
      <c r="N164" s="304">
        <f t="shared" ca="1" si="75"/>
        <v>84.006593092038329</v>
      </c>
      <c r="P164" s="310">
        <f t="shared" ca="1" si="76"/>
        <v>7</v>
      </c>
      <c r="Q164" s="304">
        <f t="shared" ca="1" si="77"/>
        <v>958.71818181818162</v>
      </c>
      <c r="R164" s="306">
        <f t="shared" ca="1" si="78"/>
        <v>0.48025286636500752</v>
      </c>
      <c r="S164" s="307">
        <f t="shared" ca="1" si="79"/>
        <v>10.199345904759285</v>
      </c>
      <c r="T164" s="304">
        <f t="shared" ca="1" si="59"/>
        <v>100.05558332568859</v>
      </c>
      <c r="U164" s="311">
        <f t="shared" ca="1" si="60"/>
        <v>0</v>
      </c>
      <c r="V164" s="306">
        <f t="shared" ca="1" si="61"/>
        <v>1.2119146124294984</v>
      </c>
      <c r="W164" s="304">
        <f t="shared" ca="1" si="62"/>
        <v>57.767606710027842</v>
      </c>
      <c r="Y164" s="314" t="str">
        <f t="shared" ca="1" si="80"/>
        <v/>
      </c>
      <c r="Z164" s="315" t="str">
        <f t="shared" ca="1" si="81"/>
        <v/>
      </c>
      <c r="AA164" s="316" t="str">
        <f t="shared" ca="1" si="82"/>
        <v/>
      </c>
      <c r="AC164" s="310" t="e">
        <f t="shared" ca="1" si="83"/>
        <v>#N/A</v>
      </c>
      <c r="AD164" s="323" t="e">
        <f t="shared" ca="1" si="84"/>
        <v>#N/A</v>
      </c>
      <c r="AE164" s="324">
        <f t="shared" ca="1" si="63"/>
        <v>107.39307404338014</v>
      </c>
      <c r="AG164" s="306">
        <f t="shared" ca="1" si="85"/>
        <v>78.643101267960972</v>
      </c>
      <c r="AH164" s="304">
        <f t="shared" ca="1" si="86"/>
        <v>88.399557045648052</v>
      </c>
    </row>
    <row r="165" spans="1:34" x14ac:dyDescent="0.2">
      <c r="A165" s="347">
        <f t="shared" ca="1" si="64"/>
        <v>0.01</v>
      </c>
      <c r="B165" s="304">
        <f t="shared" ca="1" si="65"/>
        <v>1.6100000000000012</v>
      </c>
      <c r="D165" s="306">
        <f t="shared" ca="1" si="66"/>
        <v>9.2147609572738336</v>
      </c>
      <c r="E165" s="307">
        <f t="shared" ca="1" si="67"/>
        <v>77.959747323736579</v>
      </c>
      <c r="F165" s="304">
        <f t="shared" ca="1" si="68"/>
        <v>78.50244596368033</v>
      </c>
      <c r="G165" s="306">
        <f t="shared" ca="1" si="69"/>
        <v>14.112455435452786</v>
      </c>
      <c r="H165" s="307">
        <f t="shared" ca="1" si="70"/>
        <v>134.32173502669551</v>
      </c>
      <c r="I165" s="304">
        <f t="shared" ca="1" si="71"/>
        <v>135.06105989144109</v>
      </c>
      <c r="J165" s="306">
        <f t="shared" ca="1" si="72"/>
        <v>10.824129120769575</v>
      </c>
      <c r="K165" s="307">
        <f t="shared" ca="1" si="73"/>
        <v>108.73239340628091</v>
      </c>
      <c r="L165" s="304">
        <f t="shared" ca="1" si="58"/>
        <v>109.2698272492518</v>
      </c>
      <c r="M165" s="306">
        <f t="shared" ca="1" si="74"/>
        <v>1.4661158029519961</v>
      </c>
      <c r="N165" s="304">
        <f t="shared" ca="1" si="75"/>
        <v>84.002247786583212</v>
      </c>
      <c r="P165" s="310">
        <f t="shared" ca="1" si="76"/>
        <v>7</v>
      </c>
      <c r="Q165" s="304">
        <f t="shared" ca="1" si="77"/>
        <v>957.45844155844134</v>
      </c>
      <c r="R165" s="306">
        <f t="shared" ca="1" si="78"/>
        <v>0.47962182182857416</v>
      </c>
      <c r="S165" s="307">
        <f t="shared" ca="1" si="79"/>
        <v>10.194549686541</v>
      </c>
      <c r="T165" s="304">
        <f t="shared" ca="1" si="59"/>
        <v>100.00853242496721</v>
      </c>
      <c r="U165" s="311">
        <f t="shared" ca="1" si="60"/>
        <v>0</v>
      </c>
      <c r="V165" s="306">
        <f t="shared" ca="1" si="61"/>
        <v>1.211752304489728</v>
      </c>
      <c r="W165" s="304">
        <f t="shared" ca="1" si="62"/>
        <v>58.43715509159135</v>
      </c>
      <c r="Y165" s="314" t="str">
        <f t="shared" ca="1" si="80"/>
        <v/>
      </c>
      <c r="Z165" s="315" t="str">
        <f t="shared" ca="1" si="81"/>
        <v/>
      </c>
      <c r="AA165" s="316" t="str">
        <f t="shared" ca="1" si="82"/>
        <v/>
      </c>
      <c r="AC165" s="310" t="e">
        <f t="shared" ca="1" si="83"/>
        <v>#N/A</v>
      </c>
      <c r="AD165" s="323" t="e">
        <f t="shared" ca="1" si="84"/>
        <v>#N/A</v>
      </c>
      <c r="AE165" s="324">
        <f t="shared" ca="1" si="63"/>
        <v>108.73239340628091</v>
      </c>
      <c r="AG165" s="306">
        <f t="shared" ca="1" si="85"/>
        <v>78.495763125200853</v>
      </c>
      <c r="AH165" s="304">
        <f t="shared" ca="1" si="86"/>
        <v>88.252140850929294</v>
      </c>
    </row>
    <row r="166" spans="1:34" x14ac:dyDescent="0.2">
      <c r="A166" s="347">
        <f t="shared" ca="1" si="64"/>
        <v>0.01</v>
      </c>
      <c r="B166" s="304">
        <f t="shared" ca="1" si="65"/>
        <v>1.6200000000000012</v>
      </c>
      <c r="D166" s="306">
        <f t="shared" ca="1" si="66"/>
        <v>9.2059684800474511</v>
      </c>
      <c r="E166" s="307">
        <f t="shared" ca="1" si="67"/>
        <v>77.812006283513284</v>
      </c>
      <c r="F166" s="304">
        <f t="shared" ca="1" si="68"/>
        <v>78.354694674417175</v>
      </c>
      <c r="G166" s="306">
        <f t="shared" ca="1" si="69"/>
        <v>14.20451512025326</v>
      </c>
      <c r="H166" s="307">
        <f t="shared" ca="1" si="70"/>
        <v>135.09985508953065</v>
      </c>
      <c r="I166" s="304">
        <f t="shared" ca="1" si="71"/>
        <v>135.84454017373565</v>
      </c>
      <c r="J166" s="306">
        <f t="shared" ca="1" si="72"/>
        <v>10.965713973548105</v>
      </c>
      <c r="K166" s="307">
        <f t="shared" ca="1" si="73"/>
        <v>110.07950135686204</v>
      </c>
      <c r="L166" s="304">
        <f t="shared" ca="1" si="58"/>
        <v>110.62433503495087</v>
      </c>
      <c r="M166" s="306">
        <f t="shared" ca="1" si="74"/>
        <v>1.4660403460014995</v>
      </c>
      <c r="N166" s="304">
        <f t="shared" ca="1" si="75"/>
        <v>83.99792442178483</v>
      </c>
      <c r="P166" s="310">
        <f t="shared" ca="1" si="76"/>
        <v>7</v>
      </c>
      <c r="Q166" s="304">
        <f t="shared" ca="1" si="77"/>
        <v>956.19870129870105</v>
      </c>
      <c r="R166" s="306">
        <f t="shared" ca="1" si="78"/>
        <v>0.47899077729214079</v>
      </c>
      <c r="S166" s="307">
        <f t="shared" ca="1" si="79"/>
        <v>10.18975977876808</v>
      </c>
      <c r="T166" s="304">
        <f t="shared" ca="1" si="59"/>
        <v>99.961543429714865</v>
      </c>
      <c r="U166" s="311">
        <f t="shared" ca="1" si="60"/>
        <v>0</v>
      </c>
      <c r="V166" s="306">
        <f t="shared" ca="1" si="61"/>
        <v>1.2115890744834645</v>
      </c>
      <c r="W166" s="304">
        <f t="shared" ca="1" si="62"/>
        <v>59.109138286120931</v>
      </c>
      <c r="Y166" s="314" t="str">
        <f t="shared" ca="1" si="80"/>
        <v/>
      </c>
      <c r="Z166" s="315" t="str">
        <f t="shared" ca="1" si="81"/>
        <v/>
      </c>
      <c r="AA166" s="316" t="str">
        <f t="shared" ca="1" si="82"/>
        <v/>
      </c>
      <c r="AC166" s="310" t="e">
        <f t="shared" ca="1" si="83"/>
        <v>#N/A</v>
      </c>
      <c r="AD166" s="323" t="e">
        <f t="shared" ca="1" si="84"/>
        <v>#N/A</v>
      </c>
      <c r="AE166" s="324">
        <f t="shared" ca="1" si="63"/>
        <v>110.07950135686204</v>
      </c>
      <c r="AG166" s="306">
        <f t="shared" ca="1" si="85"/>
        <v>78.347989556204141</v>
      </c>
      <c r="AH166" s="304">
        <f t="shared" ca="1" si="86"/>
        <v>88.104289570960546</v>
      </c>
    </row>
    <row r="167" spans="1:34" x14ac:dyDescent="0.2">
      <c r="A167" s="347">
        <f t="shared" ca="1" si="64"/>
        <v>0.01</v>
      </c>
      <c r="B167" s="304">
        <f t="shared" ca="1" si="65"/>
        <v>1.6300000000000012</v>
      </c>
      <c r="D167" s="306">
        <f t="shared" ca="1" si="66"/>
        <v>9.1970749125708995</v>
      </c>
      <c r="E167" s="307">
        <f t="shared" ca="1" si="67"/>
        <v>77.663840354061449</v>
      </c>
      <c r="F167" s="304">
        <f t="shared" ca="1" si="68"/>
        <v>78.206510505766616</v>
      </c>
      <c r="G167" s="306">
        <f t="shared" ca="1" si="69"/>
        <v>14.296485869378969</v>
      </c>
      <c r="H167" s="307">
        <f t="shared" ca="1" si="70"/>
        <v>135.87649349307125</v>
      </c>
      <c r="I167" s="304">
        <f t="shared" ca="1" si="71"/>
        <v>136.62653838909185</v>
      </c>
      <c r="J167" s="306">
        <f t="shared" ca="1" si="72"/>
        <v>11.108218978496266</v>
      </c>
      <c r="K167" s="307">
        <f t="shared" ca="1" si="73"/>
        <v>111.43438309977505</v>
      </c>
      <c r="L167" s="304">
        <f t="shared" ca="1" si="58"/>
        <v>111.98667003577549</v>
      </c>
      <c r="M167" s="306">
        <f t="shared" ca="1" si="74"/>
        <v>1.4659652670553354</v>
      </c>
      <c r="N167" s="304">
        <f t="shared" ca="1" si="75"/>
        <v>83.993622715039336</v>
      </c>
      <c r="P167" s="310">
        <f t="shared" ca="1" si="76"/>
        <v>7</v>
      </c>
      <c r="Q167" s="304">
        <f t="shared" ca="1" si="77"/>
        <v>954.93896103896088</v>
      </c>
      <c r="R167" s="306">
        <f t="shared" ca="1" si="78"/>
        <v>0.47835973275570753</v>
      </c>
      <c r="S167" s="307">
        <f t="shared" ca="1" si="79"/>
        <v>10.184976181440522</v>
      </c>
      <c r="T167" s="304">
        <f t="shared" ca="1" si="59"/>
        <v>99.914616339931527</v>
      </c>
      <c r="U167" s="311">
        <f t="shared" ca="1" si="60"/>
        <v>0</v>
      </c>
      <c r="V167" s="306">
        <f t="shared" ca="1" si="61"/>
        <v>1.2114249245780366</v>
      </c>
      <c r="W167" s="304">
        <f t="shared" ca="1" si="62"/>
        <v>59.783527735975909</v>
      </c>
      <c r="Y167" s="314" t="str">
        <f t="shared" ca="1" si="80"/>
        <v/>
      </c>
      <c r="Z167" s="315" t="str">
        <f t="shared" ca="1" si="81"/>
        <v/>
      </c>
      <c r="AA167" s="316" t="str">
        <f t="shared" ca="1" si="82"/>
        <v/>
      </c>
      <c r="AC167" s="310" t="e">
        <f t="shared" ca="1" si="83"/>
        <v>#N/A</v>
      </c>
      <c r="AD167" s="323" t="e">
        <f t="shared" ca="1" si="84"/>
        <v>#N/A</v>
      </c>
      <c r="AE167" s="324">
        <f t="shared" ca="1" si="63"/>
        <v>111.43438309977505</v>
      </c>
      <c r="AG167" s="306">
        <f t="shared" ca="1" si="85"/>
        <v>78.199783028465987</v>
      </c>
      <c r="AH167" s="304">
        <f t="shared" ca="1" si="86"/>
        <v>87.956005668943789</v>
      </c>
    </row>
    <row r="168" spans="1:34" x14ac:dyDescent="0.2">
      <c r="A168" s="347">
        <f t="shared" ca="1" si="64"/>
        <v>0.01</v>
      </c>
      <c r="B168" s="304">
        <f t="shared" ca="1" si="65"/>
        <v>1.6400000000000012</v>
      </c>
      <c r="D168" s="306">
        <f t="shared" ca="1" si="66"/>
        <v>9.1880810171842846</v>
      </c>
      <c r="E168" s="307">
        <f t="shared" ca="1" si="67"/>
        <v>77.515251950148198</v>
      </c>
      <c r="F168" s="304">
        <f t="shared" ca="1" si="68"/>
        <v>78.057895934192956</v>
      </c>
      <c r="G168" s="306">
        <f t="shared" ca="1" si="69"/>
        <v>14.388366679550812</v>
      </c>
      <c r="H168" s="307">
        <f t="shared" ca="1" si="70"/>
        <v>136.65164601257274</v>
      </c>
      <c r="I168" s="304">
        <f t="shared" ca="1" si="71"/>
        <v>137.40705023269621</v>
      </c>
      <c r="J168" s="306">
        <f t="shared" ca="1" si="72"/>
        <v>11.251643241240915</v>
      </c>
      <c r="K168" s="307">
        <f t="shared" ca="1" si="73"/>
        <v>112.79702379730327</v>
      </c>
      <c r="L168" s="304">
        <f t="shared" ca="1" si="58"/>
        <v>113.35681740926552</v>
      </c>
      <c r="M168" s="306">
        <f t="shared" ca="1" si="74"/>
        <v>1.4658905612717306</v>
      </c>
      <c r="N168" s="304">
        <f t="shared" ca="1" si="75"/>
        <v>83.989342388933565</v>
      </c>
      <c r="P168" s="310">
        <f t="shared" ca="1" si="76"/>
        <v>7</v>
      </c>
      <c r="Q168" s="304">
        <f t="shared" ca="1" si="77"/>
        <v>953.6792207792206</v>
      </c>
      <c r="R168" s="306">
        <f t="shared" ca="1" si="78"/>
        <v>0.47772868821927417</v>
      </c>
      <c r="S168" s="307">
        <f t="shared" ca="1" si="79"/>
        <v>10.180198894558329</v>
      </c>
      <c r="T168" s="304">
        <f t="shared" ca="1" si="59"/>
        <v>99.867751155617213</v>
      </c>
      <c r="U168" s="311">
        <f t="shared" ca="1" si="60"/>
        <v>0</v>
      </c>
      <c r="V168" s="306">
        <f t="shared" ca="1" si="61"/>
        <v>1.2112598569469772</v>
      </c>
      <c r="W168" s="304">
        <f t="shared" ca="1" si="62"/>
        <v>60.460294867936113</v>
      </c>
      <c r="Y168" s="314" t="str">
        <f t="shared" ca="1" si="80"/>
        <v/>
      </c>
      <c r="Z168" s="315" t="str">
        <f t="shared" ca="1" si="81"/>
        <v/>
      </c>
      <c r="AA168" s="316" t="str">
        <f t="shared" ca="1" si="82"/>
        <v/>
      </c>
      <c r="AC168" s="310" t="e">
        <f t="shared" ca="1" si="83"/>
        <v>#N/A</v>
      </c>
      <c r="AD168" s="323" t="e">
        <f t="shared" ca="1" si="84"/>
        <v>#N/A</v>
      </c>
      <c r="AE168" s="324">
        <f t="shared" ca="1" si="63"/>
        <v>112.79702379730327</v>
      </c>
      <c r="AG168" s="306">
        <f t="shared" ca="1" si="85"/>
        <v>78.051146017312618</v>
      </c>
      <c r="AH168" s="304">
        <f t="shared" ca="1" si="86"/>
        <v>87.807291615988277</v>
      </c>
    </row>
    <row r="169" spans="1:34" x14ac:dyDescent="0.2">
      <c r="A169" s="347">
        <f t="shared" ca="1" si="64"/>
        <v>0.01</v>
      </c>
      <c r="B169" s="304">
        <f t="shared" ca="1" si="65"/>
        <v>1.6500000000000012</v>
      </c>
      <c r="D169" s="306">
        <f t="shared" ca="1" si="66"/>
        <v>9.1789875479206842</v>
      </c>
      <c r="E169" s="307">
        <f t="shared" ca="1" si="67"/>
        <v>77.366243495028016</v>
      </c>
      <c r="F169" s="304">
        <f t="shared" ca="1" si="68"/>
        <v>77.90885344385994</v>
      </c>
      <c r="G169" s="306">
        <f t="shared" ca="1" si="69"/>
        <v>14.480156555030019</v>
      </c>
      <c r="H169" s="307">
        <f t="shared" ca="1" si="70"/>
        <v>137.42530844752301</v>
      </c>
      <c r="I169" s="304">
        <f t="shared" ca="1" si="71"/>
        <v>138.18607142456514</v>
      </c>
      <c r="J169" s="306">
        <f t="shared" ca="1" si="72"/>
        <v>11.39598585741382</v>
      </c>
      <c r="K169" s="307">
        <f t="shared" ca="1" si="73"/>
        <v>114.16740856960375</v>
      </c>
      <c r="L169" s="304">
        <f t="shared" ca="1" si="58"/>
        <v>114.73476227003395</v>
      </c>
      <c r="M169" s="306">
        <f t="shared" ca="1" si="74"/>
        <v>1.4658162238972701</v>
      </c>
      <c r="N169" s="304">
        <f t="shared" ca="1" si="75"/>
        <v>83.985083171116898</v>
      </c>
      <c r="P169" s="310">
        <f t="shared" ca="1" si="76"/>
        <v>7</v>
      </c>
      <c r="Q169" s="304">
        <f t="shared" ca="1" si="77"/>
        <v>952.41948051948032</v>
      </c>
      <c r="R169" s="306">
        <f t="shared" ca="1" si="78"/>
        <v>0.47709764368284086</v>
      </c>
      <c r="S169" s="307">
        <f t="shared" ca="1" si="79"/>
        <v>10.1754279181215</v>
      </c>
      <c r="T169" s="304">
        <f t="shared" ca="1" si="59"/>
        <v>99.820947876771911</v>
      </c>
      <c r="U169" s="311">
        <f t="shared" ca="1" si="60"/>
        <v>0</v>
      </c>
      <c r="V169" s="306">
        <f t="shared" ca="1" si="61"/>
        <v>1.2110938737699699</v>
      </c>
      <c r="W169" s="304">
        <f t="shared" ca="1" si="62"/>
        <v>61.139411094573688</v>
      </c>
      <c r="Y169" s="314" t="str">
        <f t="shared" ca="1" si="80"/>
        <v/>
      </c>
      <c r="Z169" s="315" t="str">
        <f t="shared" ca="1" si="81"/>
        <v/>
      </c>
      <c r="AA169" s="316" t="str">
        <f t="shared" ca="1" si="82"/>
        <v/>
      </c>
      <c r="AC169" s="310" t="e">
        <f t="shared" ca="1" si="83"/>
        <v>#N/A</v>
      </c>
      <c r="AD169" s="323" t="e">
        <f t="shared" ca="1" si="84"/>
        <v>#N/A</v>
      </c>
      <c r="AE169" s="324">
        <f t="shared" ca="1" si="63"/>
        <v>114.16740856960375</v>
      </c>
      <c r="AG169" s="306">
        <f t="shared" ca="1" si="85"/>
        <v>77.902081005771336</v>
      </c>
      <c r="AH169" s="304">
        <f t="shared" ca="1" si="86"/>
        <v>87.658149890978748</v>
      </c>
    </row>
    <row r="170" spans="1:34" x14ac:dyDescent="0.2">
      <c r="A170" s="347">
        <f t="shared" ca="1" si="64"/>
        <v>0.01</v>
      </c>
      <c r="B170" s="304">
        <f t="shared" ca="1" si="65"/>
        <v>1.6600000000000013</v>
      </c>
      <c r="D170" s="306">
        <f t="shared" ca="1" si="66"/>
        <v>9.1697952507273968</v>
      </c>
      <c r="E170" s="307">
        <f t="shared" ca="1" si="67"/>
        <v>77.216817420292145</v>
      </c>
      <c r="F170" s="304">
        <f t="shared" ca="1" si="68"/>
        <v>77.759385526500878</v>
      </c>
      <c r="G170" s="306">
        <f t="shared" ca="1" si="69"/>
        <v>14.571854507537294</v>
      </c>
      <c r="H170" s="307">
        <f t="shared" ca="1" si="70"/>
        <v>138.19747662172594</v>
      </c>
      <c r="I170" s="304">
        <f t="shared" ca="1" si="71"/>
        <v>138.96359770962079</v>
      </c>
      <c r="J170" s="306">
        <f t="shared" ca="1" si="72"/>
        <v>11.541245912726657</v>
      </c>
      <c r="K170" s="307">
        <f t="shared" ca="1" si="73"/>
        <v>115.54552249494999</v>
      </c>
      <c r="L170" s="304">
        <f t="shared" ca="1" si="58"/>
        <v>116.12048969001562</v>
      </c>
      <c r="M170" s="306">
        <f t="shared" ca="1" si="74"/>
        <v>1.4657422502647279</v>
      </c>
      <c r="N170" s="304">
        <f t="shared" ca="1" si="75"/>
        <v>83.980844794176988</v>
      </c>
      <c r="P170" s="310">
        <f t="shared" ca="1" si="76"/>
        <v>7</v>
      </c>
      <c r="Q170" s="304">
        <f t="shared" ca="1" si="77"/>
        <v>951.15974025974003</v>
      </c>
      <c r="R170" s="306">
        <f t="shared" ca="1" si="78"/>
        <v>0.47646659914640749</v>
      </c>
      <c r="S170" s="307">
        <f t="shared" ca="1" si="79"/>
        <v>10.170663252130035</v>
      </c>
      <c r="T170" s="304">
        <f t="shared" ca="1" si="59"/>
        <v>99.774206503395646</v>
      </c>
      <c r="U170" s="311">
        <f t="shared" ca="1" si="60"/>
        <v>0</v>
      </c>
      <c r="V170" s="306">
        <f t="shared" ca="1" si="61"/>
        <v>1.2109269772328046</v>
      </c>
      <c r="W170" s="304">
        <f t="shared" ca="1" si="62"/>
        <v>61.820847815623033</v>
      </c>
      <c r="Y170" s="314" t="str">
        <f t="shared" ca="1" si="80"/>
        <v/>
      </c>
      <c r="Z170" s="315" t="str">
        <f t="shared" ca="1" si="81"/>
        <v/>
      </c>
      <c r="AA170" s="316" t="str">
        <f t="shared" ca="1" si="82"/>
        <v/>
      </c>
      <c r="AC170" s="310" t="e">
        <f t="shared" ca="1" si="83"/>
        <v>#N/A</v>
      </c>
      <c r="AD170" s="323" t="e">
        <f t="shared" ca="1" si="84"/>
        <v>#N/A</v>
      </c>
      <c r="AE170" s="324">
        <f t="shared" ca="1" si="63"/>
        <v>115.54552249494999</v>
      </c>
      <c r="AG170" s="306">
        <f t="shared" ca="1" si="85"/>
        <v>77.752590484440219</v>
      </c>
      <c r="AH170" s="304">
        <f t="shared" ca="1" si="86"/>
        <v>87.508582980443279</v>
      </c>
    </row>
    <row r="171" spans="1:34" x14ac:dyDescent="0.2">
      <c r="A171" s="347">
        <f t="shared" ca="1" si="64"/>
        <v>0.01</v>
      </c>
      <c r="B171" s="304">
        <f t="shared" ca="1" si="65"/>
        <v>1.6700000000000013</v>
      </c>
      <c r="D171" s="306">
        <f t="shared" ca="1" si="66"/>
        <v>9.1605048636800852</v>
      </c>
      <c r="E171" s="307">
        <f t="shared" ca="1" si="67"/>
        <v>77.066976165718529</v>
      </c>
      <c r="F171" s="304">
        <f t="shared" ca="1" si="68"/>
        <v>77.60949468128841</v>
      </c>
      <c r="G171" s="306">
        <f t="shared" ca="1" si="69"/>
        <v>14.663459556174095</v>
      </c>
      <c r="H171" s="307">
        <f t="shared" ca="1" si="70"/>
        <v>138.96814638338313</v>
      </c>
      <c r="I171" s="304">
        <f t="shared" ca="1" si="71"/>
        <v>139.73962485776522</v>
      </c>
      <c r="J171" s="306">
        <f t="shared" ca="1" si="72"/>
        <v>11.687422483045214</v>
      </c>
      <c r="K171" s="307">
        <f t="shared" ca="1" si="73"/>
        <v>116.93135060997554</v>
      </c>
      <c r="L171" s="304">
        <f t="shared" ca="1" si="58"/>
        <v>117.51398469871668</v>
      </c>
      <c r="M171" s="306">
        <f t="shared" ca="1" si="74"/>
        <v>1.4656686357909665</v>
      </c>
      <c r="N171" s="304">
        <f t="shared" ca="1" si="75"/>
        <v>83.976626995519382</v>
      </c>
      <c r="P171" s="310">
        <f t="shared" ca="1" si="76"/>
        <v>7</v>
      </c>
      <c r="Q171" s="304">
        <f t="shared" ca="1" si="77"/>
        <v>949.89999999999975</v>
      </c>
      <c r="R171" s="306">
        <f t="shared" ca="1" si="78"/>
        <v>0.47583555460997418</v>
      </c>
      <c r="S171" s="307">
        <f t="shared" ca="1" si="79"/>
        <v>10.165904896583935</v>
      </c>
      <c r="T171" s="304">
        <f t="shared" ca="1" si="59"/>
        <v>99.727527035488407</v>
      </c>
      <c r="U171" s="311">
        <f t="shared" ca="1" si="60"/>
        <v>0</v>
      </c>
      <c r="V171" s="306">
        <f t="shared" ca="1" si="61"/>
        <v>1.210759169527327</v>
      </c>
      <c r="W171" s="304">
        <f t="shared" ca="1" si="62"/>
        <v>62.504576419347067</v>
      </c>
      <c r="Y171" s="314" t="str">
        <f t="shared" ca="1" si="80"/>
        <v/>
      </c>
      <c r="Z171" s="315" t="str">
        <f t="shared" ca="1" si="81"/>
        <v/>
      </c>
      <c r="AA171" s="316" t="str">
        <f t="shared" ca="1" si="82"/>
        <v/>
      </c>
      <c r="AC171" s="310" t="e">
        <f t="shared" ca="1" si="83"/>
        <v>#N/A</v>
      </c>
      <c r="AD171" s="323" t="e">
        <f t="shared" ca="1" si="84"/>
        <v>#N/A</v>
      </c>
      <c r="AE171" s="324">
        <f t="shared" ca="1" si="63"/>
        <v>116.93135060997554</v>
      </c>
      <c r="AG171" s="306">
        <f t="shared" ca="1" si="85"/>
        <v>77.602676951357694</v>
      </c>
      <c r="AH171" s="304">
        <f t="shared" ca="1" si="86"/>
        <v>87.358593378421176</v>
      </c>
    </row>
    <row r="172" spans="1:34" x14ac:dyDescent="0.2">
      <c r="A172" s="347">
        <f t="shared" ca="1" si="64"/>
        <v>0.01</v>
      </c>
      <c r="B172" s="304">
        <f t="shared" ca="1" si="65"/>
        <v>1.6800000000000013</v>
      </c>
      <c r="D172" s="306">
        <f t="shared" ca="1" si="66"/>
        <v>9.1511171171896937</v>
      </c>
      <c r="E172" s="307">
        <f t="shared" ca="1" si="67"/>
        <v>76.916722179121948</v>
      </c>
      <c r="F172" s="304">
        <f t="shared" ca="1" si="68"/>
        <v>77.459183414703972</v>
      </c>
      <c r="G172" s="306">
        <f t="shared" ca="1" si="69"/>
        <v>14.754970727345992</v>
      </c>
      <c r="H172" s="307">
        <f t="shared" ca="1" si="70"/>
        <v>139.73731360517434</v>
      </c>
      <c r="I172" s="304">
        <f t="shared" ca="1" si="71"/>
        <v>140.51414866395368</v>
      </c>
      <c r="J172" s="306">
        <f t="shared" ca="1" si="72"/>
        <v>11.834514634462815</v>
      </c>
      <c r="K172" s="307">
        <f t="shared" ca="1" si="73"/>
        <v>118.32487790991833</v>
      </c>
      <c r="L172" s="304">
        <f t="shared" ca="1" si="58"/>
        <v>118.91523228346482</v>
      </c>
      <c r="M172" s="306">
        <f t="shared" ca="1" si="74"/>
        <v>1.4655953759748981</v>
      </c>
      <c r="N172" s="304">
        <f t="shared" ca="1" si="75"/>
        <v>83.972429517250745</v>
      </c>
      <c r="P172" s="310">
        <f t="shared" ca="1" si="76"/>
        <v>7</v>
      </c>
      <c r="Q172" s="304">
        <f t="shared" ca="1" si="77"/>
        <v>948.64025974025958</v>
      </c>
      <c r="R172" s="306">
        <f t="shared" ca="1" si="78"/>
        <v>0.47520451007354086</v>
      </c>
      <c r="S172" s="307">
        <f t="shared" ca="1" si="79"/>
        <v>10.1611528514832</v>
      </c>
      <c r="T172" s="304">
        <f t="shared" ca="1" si="59"/>
        <v>99.680909473050193</v>
      </c>
      <c r="U172" s="311">
        <f t="shared" ca="1" si="60"/>
        <v>0</v>
      </c>
      <c r="V172" s="306">
        <f t="shared" ca="1" si="61"/>
        <v>1.2105904528513898</v>
      </c>
      <c r="W172" s="304">
        <f t="shared" ca="1" si="62"/>
        <v>63.19056828390088</v>
      </c>
      <c r="Y172" s="314" t="str">
        <f t="shared" ca="1" si="80"/>
        <v/>
      </c>
      <c r="Z172" s="315" t="str">
        <f t="shared" ca="1" si="81"/>
        <v/>
      </c>
      <c r="AA172" s="316" t="str">
        <f t="shared" ca="1" si="82"/>
        <v/>
      </c>
      <c r="AC172" s="310" t="e">
        <f t="shared" ca="1" si="83"/>
        <v>#N/A</v>
      </c>
      <c r="AD172" s="323" t="e">
        <f t="shared" ca="1" si="84"/>
        <v>#N/A</v>
      </c>
      <c r="AE172" s="324">
        <f t="shared" ca="1" si="63"/>
        <v>118.32487790991833</v>
      </c>
      <c r="AG172" s="306">
        <f t="shared" ca="1" si="85"/>
        <v>77.452342911871781</v>
      </c>
      <c r="AH172" s="304">
        <f t="shared" ca="1" si="86"/>
        <v>87.208183586330506</v>
      </c>
    </row>
    <row r="173" spans="1:34" x14ac:dyDescent="0.2">
      <c r="A173" s="347">
        <f t="shared" ca="1" si="64"/>
        <v>0.01</v>
      </c>
      <c r="B173" s="304">
        <f t="shared" ca="1" si="65"/>
        <v>1.6900000000000013</v>
      </c>
      <c r="D173" s="306">
        <f t="shared" ca="1" si="66"/>
        <v>9.1416327342027177</v>
      </c>
      <c r="E173" s="307">
        <f t="shared" ca="1" si="67"/>
        <v>76.766057916204701</v>
      </c>
      <c r="F173" s="304">
        <f t="shared" ca="1" si="68"/>
        <v>77.308454240407244</v>
      </c>
      <c r="G173" s="306">
        <f t="shared" ca="1" si="69"/>
        <v>14.846387054688019</v>
      </c>
      <c r="H173" s="307">
        <f t="shared" ca="1" si="70"/>
        <v>140.50497418433639</v>
      </c>
      <c r="I173" s="304">
        <f t="shared" ca="1" si="71"/>
        <v>141.28716494826642</v>
      </c>
      <c r="J173" s="306">
        <f t="shared" ca="1" si="72"/>
        <v>11.982521423372985</v>
      </c>
      <c r="K173" s="307">
        <f t="shared" ca="1" si="73"/>
        <v>119.72608934886588</v>
      </c>
      <c r="L173" s="304">
        <f t="shared" ca="1" si="58"/>
        <v>120.32421738966021</v>
      </c>
      <c r="M173" s="306">
        <f t="shared" ca="1" si="74"/>
        <v>1.46552246639551</v>
      </c>
      <c r="N173" s="304">
        <f t="shared" ca="1" si="75"/>
        <v>83.968252106065734</v>
      </c>
      <c r="P173" s="310">
        <f t="shared" ca="1" si="76"/>
        <v>7</v>
      </c>
      <c r="Q173" s="304">
        <f t="shared" ca="1" si="77"/>
        <v>947.3805194805193</v>
      </c>
      <c r="R173" s="306">
        <f t="shared" ca="1" si="78"/>
        <v>0.47457346553710755</v>
      </c>
      <c r="S173" s="307">
        <f t="shared" ca="1" si="79"/>
        <v>10.156407116827829</v>
      </c>
      <c r="T173" s="304">
        <f t="shared" ca="1" si="59"/>
        <v>99.634353816081003</v>
      </c>
      <c r="U173" s="311">
        <f t="shared" ca="1" si="60"/>
        <v>0</v>
      </c>
      <c r="V173" s="306">
        <f t="shared" ca="1" si="61"/>
        <v>1.2104208294088055</v>
      </c>
      <c r="W173" s="304">
        <f t="shared" ca="1" si="62"/>
        <v>63.878794778692473</v>
      </c>
      <c r="Y173" s="314" t="str">
        <f t="shared" ca="1" si="80"/>
        <v/>
      </c>
      <c r="Z173" s="315" t="str">
        <f t="shared" ca="1" si="81"/>
        <v/>
      </c>
      <c r="AA173" s="316" t="str">
        <f t="shared" ca="1" si="82"/>
        <v/>
      </c>
      <c r="AC173" s="310" t="e">
        <f t="shared" ca="1" si="83"/>
        <v>#N/A</v>
      </c>
      <c r="AD173" s="323" t="e">
        <f t="shared" ca="1" si="84"/>
        <v>#N/A</v>
      </c>
      <c r="AE173" s="324">
        <f t="shared" ca="1" si="63"/>
        <v>119.72608934886588</v>
      </c>
      <c r="AG173" s="306">
        <f t="shared" ca="1" si="85"/>
        <v>77.301590878509302</v>
      </c>
      <c r="AH173" s="304">
        <f t="shared" ca="1" si="86"/>
        <v>87.05735611283562</v>
      </c>
    </row>
    <row r="174" spans="1:34" x14ac:dyDescent="0.2">
      <c r="A174" s="347">
        <f t="shared" ca="1" si="64"/>
        <v>0.01</v>
      </c>
      <c r="B174" s="304">
        <f t="shared" ca="1" si="65"/>
        <v>1.7000000000000013</v>
      </c>
      <c r="D174" s="306">
        <f t="shared" ca="1" si="66"/>
        <v>9.1320524303947721</v>
      </c>
      <c r="E174" s="307">
        <f t="shared" ca="1" si="67"/>
        <v>76.614985840407698</v>
      </c>
      <c r="F174" s="304">
        <f t="shared" ca="1" si="68"/>
        <v>77.157309679105268</v>
      </c>
      <c r="G174" s="306">
        <f t="shared" ca="1" si="69"/>
        <v>14.937707578991967</v>
      </c>
      <c r="H174" s="307">
        <f t="shared" ca="1" si="70"/>
        <v>141.27112404274047</v>
      </c>
      <c r="I174" s="304">
        <f t="shared" ca="1" si="71"/>
        <v>142.05866955597901</v>
      </c>
      <c r="J174" s="306">
        <f t="shared" ca="1" si="72"/>
        <v>12.131441896541384</v>
      </c>
      <c r="K174" s="307">
        <f t="shared" ca="1" si="73"/>
        <v>121.13496984000126</v>
      </c>
      <c r="L174" s="304">
        <f t="shared" ca="1" si="58"/>
        <v>121.74092492102717</v>
      </c>
      <c r="M174" s="306">
        <f t="shared" ca="1" si="74"/>
        <v>1.4654499027099461</v>
      </c>
      <c r="N174" s="304">
        <f t="shared" ca="1" si="75"/>
        <v>83.964094513137013</v>
      </c>
      <c r="P174" s="310">
        <f t="shared" ca="1" si="76"/>
        <v>7</v>
      </c>
      <c r="Q174" s="304">
        <f t="shared" ca="1" si="77"/>
        <v>946.12077922077901</v>
      </c>
      <c r="R174" s="306">
        <f t="shared" ca="1" si="78"/>
        <v>0.47394242100067419</v>
      </c>
      <c r="S174" s="307">
        <f t="shared" ca="1" si="79"/>
        <v>10.151667692617822</v>
      </c>
      <c r="T174" s="304">
        <f t="shared" ca="1" si="59"/>
        <v>99.587860064580838</v>
      </c>
      <c r="U174" s="311">
        <f t="shared" ca="1" si="60"/>
        <v>0</v>
      </c>
      <c r="V174" s="306">
        <f t="shared" ca="1" si="61"/>
        <v>1.2102503014092967</v>
      </c>
      <c r="W174" s="304">
        <f t="shared" ca="1" si="62"/>
        <v>64.569227265739769</v>
      </c>
      <c r="Y174" s="314" t="str">
        <f t="shared" ca="1" si="80"/>
        <v/>
      </c>
      <c r="Z174" s="315" t="str">
        <f t="shared" ca="1" si="81"/>
        <v/>
      </c>
      <c r="AA174" s="316" t="str">
        <f t="shared" ca="1" si="82"/>
        <v/>
      </c>
      <c r="AC174" s="310" t="e">
        <f t="shared" ca="1" si="83"/>
        <v>#N/A</v>
      </c>
      <c r="AD174" s="323" t="e">
        <f t="shared" ca="1" si="84"/>
        <v>#N/A</v>
      </c>
      <c r="AE174" s="324">
        <f t="shared" ca="1" si="63"/>
        <v>121.13496984000126</v>
      </c>
      <c r="AG174" s="306">
        <f t="shared" ca="1" si="85"/>
        <v>77.15042337084472</v>
      </c>
      <c r="AH174" s="304">
        <f t="shared" ca="1" si="86"/>
        <v>86.906113473714555</v>
      </c>
    </row>
    <row r="175" spans="1:34" x14ac:dyDescent="0.2">
      <c r="A175" s="347">
        <f t="shared" ca="1" si="64"/>
        <v>0.01</v>
      </c>
      <c r="B175" s="304">
        <f t="shared" ca="1" si="65"/>
        <v>1.7100000000000013</v>
      </c>
      <c r="D175" s="306">
        <f t="shared" ca="1" si="66"/>
        <v>9.1223769143581137</v>
      </c>
      <c r="E175" s="307">
        <f t="shared" ca="1" si="67"/>
        <v>76.463508422761805</v>
      </c>
      <c r="F175" s="304">
        <f t="shared" ca="1" si="68"/>
        <v>77.005752258421452</v>
      </c>
      <c r="G175" s="306">
        <f t="shared" ca="1" si="69"/>
        <v>15.028931348135549</v>
      </c>
      <c r="H175" s="307">
        <f t="shared" ca="1" si="70"/>
        <v>142.03575912696809</v>
      </c>
      <c r="I175" s="304">
        <f t="shared" ca="1" si="71"/>
        <v>142.82865835763167</v>
      </c>
      <c r="J175" s="306">
        <f t="shared" ca="1" si="72"/>
        <v>12.281275091177022</v>
      </c>
      <c r="K175" s="307">
        <f t="shared" ca="1" si="73"/>
        <v>122.55150425584981</v>
      </c>
      <c r="L175" s="304">
        <f t="shared" ca="1" si="58"/>
        <v>123.1653397398665</v>
      </c>
      <c r="M175" s="306">
        <f t="shared" ca="1" si="74"/>
        <v>1.4653776806516496</v>
      </c>
      <c r="N175" s="304">
        <f t="shared" ca="1" si="75"/>
        <v>83.959956494008878</v>
      </c>
      <c r="P175" s="310">
        <f t="shared" ca="1" si="76"/>
        <v>7</v>
      </c>
      <c r="Q175" s="304">
        <f t="shared" ca="1" si="77"/>
        <v>944.86103896103873</v>
      </c>
      <c r="R175" s="306">
        <f t="shared" ca="1" si="78"/>
        <v>0.47331137646424087</v>
      </c>
      <c r="S175" s="307">
        <f t="shared" ca="1" si="79"/>
        <v>10.14693457885318</v>
      </c>
      <c r="T175" s="304">
        <f t="shared" ca="1" si="59"/>
        <v>99.541428218549711</v>
      </c>
      <c r="U175" s="311">
        <f t="shared" ca="1" si="60"/>
        <v>0</v>
      </c>
      <c r="V175" s="306">
        <f t="shared" ca="1" si="61"/>
        <v>1.2100788710684462</v>
      </c>
      <c r="W175" s="304">
        <f t="shared" ca="1" si="62"/>
        <v>65.261837101024724</v>
      </c>
      <c r="Y175" s="314" t="str">
        <f t="shared" ca="1" si="80"/>
        <v/>
      </c>
      <c r="Z175" s="315" t="str">
        <f t="shared" ca="1" si="81"/>
        <v/>
      </c>
      <c r="AA175" s="316" t="str">
        <f t="shared" ca="1" si="82"/>
        <v/>
      </c>
      <c r="AC175" s="310" t="e">
        <f t="shared" ca="1" si="83"/>
        <v>#N/A</v>
      </c>
      <c r="AD175" s="323" t="e">
        <f t="shared" ca="1" si="84"/>
        <v>#N/A</v>
      </c>
      <c r="AE175" s="324">
        <f t="shared" ca="1" si="63"/>
        <v>122.55150425584981</v>
      </c>
      <c r="AG175" s="306">
        <f t="shared" ca="1" si="85"/>
        <v>76.998842915369011</v>
      </c>
      <c r="AH175" s="304">
        <f t="shared" ca="1" si="86"/>
        <v>86.754458191726187</v>
      </c>
    </row>
    <row r="176" spans="1:34" x14ac:dyDescent="0.2">
      <c r="A176" s="347">
        <f t="shared" ca="1" si="64"/>
        <v>0.01</v>
      </c>
      <c r="B176" s="304">
        <f t="shared" ca="1" si="65"/>
        <v>1.7200000000000013</v>
      </c>
      <c r="D176" s="306">
        <f t="shared" ca="1" si="66"/>
        <v>9.112606887782766</v>
      </c>
      <c r="E176" s="307">
        <f t="shared" ca="1" si="67"/>
        <v>76.311628141739646</v>
      </c>
      <c r="F176" s="304">
        <f t="shared" ca="1" si="68"/>
        <v>76.853784512764349</v>
      </c>
      <c r="G176" s="306">
        <f t="shared" ca="1" si="69"/>
        <v>15.120057417013376</v>
      </c>
      <c r="H176" s="307">
        <f t="shared" ca="1" si="70"/>
        <v>142.7988754083855</v>
      </c>
      <c r="I176" s="304">
        <f t="shared" ca="1" si="71"/>
        <v>143.5971272490971</v>
      </c>
      <c r="J176" s="306">
        <f t="shared" ca="1" si="72"/>
        <v>12.432020035002767</v>
      </c>
      <c r="K176" s="307">
        <f t="shared" ca="1" si="73"/>
        <v>123.97567742852658</v>
      </c>
      <c r="L176" s="304">
        <f t="shared" ca="1" si="58"/>
        <v>124.5974466673085</v>
      </c>
      <c r="M176" s="306">
        <f t="shared" ca="1" si="74"/>
        <v>1.4653057960285569</v>
      </c>
      <c r="N176" s="304">
        <f t="shared" ca="1" si="75"/>
        <v>83.955837808493783</v>
      </c>
      <c r="P176" s="310">
        <f t="shared" ca="1" si="76"/>
        <v>7</v>
      </c>
      <c r="Q176" s="304">
        <f t="shared" ca="1" si="77"/>
        <v>943.60129870129845</v>
      </c>
      <c r="R176" s="306">
        <f t="shared" ca="1" si="78"/>
        <v>0.47268033192780751</v>
      </c>
      <c r="S176" s="307">
        <f t="shared" ca="1" si="79"/>
        <v>10.142207775533903</v>
      </c>
      <c r="T176" s="304">
        <f t="shared" ca="1" si="59"/>
        <v>99.495058277987596</v>
      </c>
      <c r="U176" s="311">
        <f t="shared" ca="1" si="60"/>
        <v>0</v>
      </c>
      <c r="V176" s="306">
        <f t="shared" ca="1" si="61"/>
        <v>1.2099065406076508</v>
      </c>
      <c r="W176" s="304">
        <f t="shared" ca="1" si="62"/>
        <v>65.95659563584401</v>
      </c>
      <c r="Y176" s="314" t="str">
        <f t="shared" ca="1" si="80"/>
        <v/>
      </c>
      <c r="Z176" s="315" t="str">
        <f t="shared" ca="1" si="81"/>
        <v/>
      </c>
      <c r="AA176" s="316" t="str">
        <f t="shared" ca="1" si="82"/>
        <v/>
      </c>
      <c r="AC176" s="310" t="e">
        <f t="shared" ca="1" si="83"/>
        <v>#N/A</v>
      </c>
      <c r="AD176" s="323" t="e">
        <f t="shared" ca="1" si="84"/>
        <v>#N/A</v>
      </c>
      <c r="AE176" s="324">
        <f t="shared" ca="1" si="63"/>
        <v>123.97567742852658</v>
      </c>
      <c r="AG176" s="306">
        <f t="shared" ca="1" si="85"/>
        <v>76.846852045358133</v>
      </c>
      <c r="AH176" s="304">
        <f t="shared" ca="1" si="86"/>
        <v>86.602392796477332</v>
      </c>
    </row>
    <row r="177" spans="1:34" x14ac:dyDescent="0.2">
      <c r="A177" s="347">
        <f t="shared" ca="1" si="64"/>
        <v>0.01</v>
      </c>
      <c r="B177" s="304">
        <f t="shared" ca="1" si="65"/>
        <v>1.7300000000000013</v>
      </c>
      <c r="D177" s="306">
        <f t="shared" ca="1" si="66"/>
        <v>9.1027430456320939</v>
      </c>
      <c r="E177" s="307">
        <f t="shared" ca="1" si="67"/>
        <v>76.159347483107851</v>
      </c>
      <c r="F177" s="304">
        <f t="shared" ca="1" si="68"/>
        <v>76.701408983196458</v>
      </c>
      <c r="G177" s="306">
        <f t="shared" ca="1" si="69"/>
        <v>15.211084847469698</v>
      </c>
      <c r="H177" s="307">
        <f t="shared" ca="1" si="70"/>
        <v>143.56046888321657</v>
      </c>
      <c r="I177" s="304">
        <f t="shared" ca="1" si="71"/>
        <v>144.36407215164692</v>
      </c>
      <c r="J177" s="306">
        <f t="shared" ca="1" si="72"/>
        <v>12.583675746325182</v>
      </c>
      <c r="K177" s="307">
        <f t="shared" ca="1" si="73"/>
        <v>125.40747414998459</v>
      </c>
      <c r="L177" s="304">
        <f t="shared" ca="1" si="58"/>
        <v>126.03723048356667</v>
      </c>
      <c r="M177" s="306">
        <f t="shared" ca="1" si="74"/>
        <v>1.465234244721348</v>
      </c>
      <c r="N177" s="304">
        <f t="shared" ca="1" si="75"/>
        <v>83.951738220572068</v>
      </c>
      <c r="P177" s="310">
        <f t="shared" ca="1" si="76"/>
        <v>7</v>
      </c>
      <c r="Q177" s="304">
        <f t="shared" ca="1" si="77"/>
        <v>942.34155844155828</v>
      </c>
      <c r="R177" s="306">
        <f t="shared" ca="1" si="78"/>
        <v>0.47204928739137425</v>
      </c>
      <c r="S177" s="307">
        <f t="shared" ca="1" si="79"/>
        <v>10.13748728265999</v>
      </c>
      <c r="T177" s="304">
        <f t="shared" ca="1" si="59"/>
        <v>99.448750242894505</v>
      </c>
      <c r="U177" s="311">
        <f t="shared" ca="1" si="60"/>
        <v>0</v>
      </c>
      <c r="V177" s="306">
        <f t="shared" ca="1" si="61"/>
        <v>1.2097333122540694</v>
      </c>
      <c r="W177" s="304">
        <f t="shared" ca="1" si="62"/>
        <v>66.653474218155822</v>
      </c>
      <c r="Y177" s="314" t="str">
        <f t="shared" ca="1" si="80"/>
        <v/>
      </c>
      <c r="Z177" s="315" t="str">
        <f t="shared" ca="1" si="81"/>
        <v/>
      </c>
      <c r="AA177" s="316" t="str">
        <f t="shared" ca="1" si="82"/>
        <v/>
      </c>
      <c r="AC177" s="310" t="e">
        <f t="shared" ca="1" si="83"/>
        <v>#N/A</v>
      </c>
      <c r="AD177" s="323" t="e">
        <f t="shared" ca="1" si="84"/>
        <v>#N/A</v>
      </c>
      <c r="AE177" s="324">
        <f t="shared" ca="1" si="63"/>
        <v>125.40747414998459</v>
      </c>
      <c r="AG177" s="306">
        <f t="shared" ca="1" si="85"/>
        <v>76.694453300741642</v>
      </c>
      <c r="AH177" s="304">
        <f t="shared" ca="1" si="86"/>
        <v>86.449919824289864</v>
      </c>
    </row>
    <row r="178" spans="1:34" x14ac:dyDescent="0.2">
      <c r="A178" s="347">
        <f t="shared" ca="1" si="64"/>
        <v>0.01</v>
      </c>
      <c r="B178" s="304">
        <f t="shared" ca="1" si="65"/>
        <v>1.7400000000000013</v>
      </c>
      <c r="D178" s="306">
        <f t="shared" ca="1" si="66"/>
        <v>9.0927860763124855</v>
      </c>
      <c r="E178" s="307">
        <f t="shared" ca="1" si="67"/>
        <v>76.006668939779459</v>
      </c>
      <c r="F178" s="304">
        <f t="shared" ca="1" si="68"/>
        <v>76.548628217302607</v>
      </c>
      <c r="G178" s="306">
        <f t="shared" ca="1" si="69"/>
        <v>15.302012708232823</v>
      </c>
      <c r="H178" s="307">
        <f t="shared" ca="1" si="70"/>
        <v>144.32053557261438</v>
      </c>
      <c r="I178" s="304">
        <f t="shared" ca="1" si="71"/>
        <v>145.12948901201702</v>
      </c>
      <c r="J178" s="306">
        <f t="shared" ca="1" si="72"/>
        <v>12.736241234103694</v>
      </c>
      <c r="K178" s="307">
        <f t="shared" ca="1" si="73"/>
        <v>126.84687917226375</v>
      </c>
      <c r="L178" s="304">
        <f t="shared" ca="1" si="58"/>
        <v>127.4846759281921</v>
      </c>
      <c r="M178" s="306">
        <f t="shared" ca="1" si="74"/>
        <v>1.4651630226817467</v>
      </c>
      <c r="N178" s="304">
        <f t="shared" ca="1" si="75"/>
        <v>83.947657498294589</v>
      </c>
      <c r="P178" s="310">
        <f t="shared" ca="1" si="76"/>
        <v>7</v>
      </c>
      <c r="Q178" s="304">
        <f t="shared" ca="1" si="77"/>
        <v>941.08181818181799</v>
      </c>
      <c r="R178" s="306">
        <f t="shared" ca="1" si="78"/>
        <v>0.47141824285494088</v>
      </c>
      <c r="S178" s="307">
        <f t="shared" ca="1" si="79"/>
        <v>10.132773100231441</v>
      </c>
      <c r="T178" s="304">
        <f t="shared" ca="1" si="59"/>
        <v>99.402504113270439</v>
      </c>
      <c r="U178" s="311">
        <f t="shared" ca="1" si="60"/>
        <v>0</v>
      </c>
      <c r="V178" s="306">
        <f t="shared" ca="1" si="61"/>
        <v>1.2095591882405763</v>
      </c>
      <c r="W178" s="304">
        <f t="shared" ca="1" si="62"/>
        <v>67.352444193923461</v>
      </c>
      <c r="Y178" s="314" t="str">
        <f t="shared" ca="1" si="80"/>
        <v/>
      </c>
      <c r="Z178" s="315" t="str">
        <f t="shared" ca="1" si="81"/>
        <v/>
      </c>
      <c r="AA178" s="316" t="str">
        <f t="shared" ca="1" si="82"/>
        <v/>
      </c>
      <c r="AC178" s="310" t="e">
        <f t="shared" ca="1" si="83"/>
        <v>#N/A</v>
      </c>
      <c r="AD178" s="323" t="e">
        <f t="shared" ca="1" si="84"/>
        <v>#N/A</v>
      </c>
      <c r="AE178" s="324">
        <f t="shared" ca="1" si="63"/>
        <v>126.84687917226375</v>
      </c>
      <c r="AG178" s="306">
        <f t="shared" ca="1" si="85"/>
        <v>76.541649227970851</v>
      </c>
      <c r="AH178" s="304">
        <f t="shared" ca="1" si="86"/>
        <v>86.297041818067498</v>
      </c>
    </row>
    <row r="179" spans="1:34" x14ac:dyDescent="0.2">
      <c r="A179" s="347">
        <f t="shared" ca="1" si="64"/>
        <v>0.01</v>
      </c>
      <c r="B179" s="304">
        <f t="shared" ca="1" si="65"/>
        <v>1.7500000000000013</v>
      </c>
      <c r="D179" s="306">
        <f t="shared" ca="1" si="66"/>
        <v>9.0827366618377088</v>
      </c>
      <c r="E179" s="307">
        <f t="shared" ca="1" si="67"/>
        <v>75.853595011666982</v>
      </c>
      <c r="F179" s="304">
        <f t="shared" ca="1" si="68"/>
        <v>76.395444769058585</v>
      </c>
      <c r="G179" s="306">
        <f t="shared" ca="1" si="69"/>
        <v>15.3928400748512</v>
      </c>
      <c r="H179" s="307">
        <f t="shared" ca="1" si="70"/>
        <v>145.07907152273106</v>
      </c>
      <c r="I179" s="304">
        <f t="shared" ca="1" si="71"/>
        <v>145.89337380247144</v>
      </c>
      <c r="J179" s="306">
        <f t="shared" ca="1" si="72"/>
        <v>12.889715498019115</v>
      </c>
      <c r="K179" s="307">
        <f t="shared" ca="1" si="73"/>
        <v>128.29387720774048</v>
      </c>
      <c r="L179" s="304">
        <f t="shared" ca="1" si="58"/>
        <v>128.93976770032845</v>
      </c>
      <c r="M179" s="306">
        <f t="shared" ca="1" si="74"/>
        <v>1.46509212593087</v>
      </c>
      <c r="N179" s="304">
        <f t="shared" ca="1" si="75"/>
        <v>83.943595413688172</v>
      </c>
      <c r="P179" s="310">
        <f t="shared" ca="1" si="76"/>
        <v>7</v>
      </c>
      <c r="Q179" s="304">
        <f t="shared" ca="1" si="77"/>
        <v>939.82207792207771</v>
      </c>
      <c r="R179" s="306">
        <f t="shared" ca="1" si="78"/>
        <v>0.47078719831850757</v>
      </c>
      <c r="S179" s="307">
        <f t="shared" ca="1" si="79"/>
        <v>10.128065228248255</v>
      </c>
      <c r="T179" s="304">
        <f t="shared" ca="1" si="59"/>
        <v>99.356319889115383</v>
      </c>
      <c r="U179" s="311">
        <f t="shared" ca="1" si="60"/>
        <v>0</v>
      </c>
      <c r="V179" s="306">
        <f t="shared" ca="1" si="61"/>
        <v>1.2093841708057096</v>
      </c>
      <c r="W179" s="304">
        <f t="shared" ca="1" si="62"/>
        <v>68.053476908454911</v>
      </c>
      <c r="Y179" s="314" t="str">
        <f t="shared" ca="1" si="80"/>
        <v/>
      </c>
      <c r="Z179" s="315" t="str">
        <f t="shared" ca="1" si="81"/>
        <v/>
      </c>
      <c r="AA179" s="316" t="str">
        <f t="shared" ca="1" si="82"/>
        <v/>
      </c>
      <c r="AC179" s="310" t="e">
        <f t="shared" ca="1" si="83"/>
        <v>#N/A</v>
      </c>
      <c r="AD179" s="323" t="e">
        <f t="shared" ca="1" si="84"/>
        <v>#N/A</v>
      </c>
      <c r="AE179" s="324">
        <f t="shared" ca="1" si="63"/>
        <v>128.29387720774048</v>
      </c>
      <c r="AG179" s="306">
        <f t="shared" ca="1" si="85"/>
        <v>76.388442379887252</v>
      </c>
      <c r="AH179" s="304">
        <f t="shared" ca="1" si="86"/>
        <v>86.143761327162792</v>
      </c>
    </row>
    <row r="180" spans="1:34" x14ac:dyDescent="0.2">
      <c r="A180" s="347">
        <f t="shared" ca="1" si="64"/>
        <v>0.01</v>
      </c>
      <c r="B180" s="304">
        <f t="shared" ca="1" si="65"/>
        <v>1.7600000000000013</v>
      </c>
      <c r="D180" s="306">
        <f t="shared" ca="1" si="66"/>
        <v>9.0725954779880347</v>
      </c>
      <c r="E180" s="307">
        <f t="shared" ca="1" si="67"/>
        <v>75.700128205535549</v>
      </c>
      <c r="F180" s="304">
        <f t="shared" ca="1" si="68"/>
        <v>76.241861198699283</v>
      </c>
      <c r="G180" s="306">
        <f t="shared" ca="1" si="69"/>
        <v>15.483566029631081</v>
      </c>
      <c r="H180" s="307">
        <f t="shared" ca="1" si="70"/>
        <v>145.8360728047864</v>
      </c>
      <c r="I180" s="304">
        <f t="shared" ca="1" si="71"/>
        <v>146.65572252086483</v>
      </c>
      <c r="J180" s="306">
        <f t="shared" ca="1" si="72"/>
        <v>13.044097528541526</v>
      </c>
      <c r="K180" s="307">
        <f t="shared" ca="1" si="73"/>
        <v>129.74845292937806</v>
      </c>
      <c r="L180" s="304">
        <f t="shared" ca="1" si="58"/>
        <v>130.40249045896761</v>
      </c>
      <c r="M180" s="306">
        <f t="shared" ca="1" si="74"/>
        <v>1.4650215505576272</v>
      </c>
      <c r="N180" s="304">
        <f t="shared" ca="1" si="75"/>
        <v>83.939551742663795</v>
      </c>
      <c r="P180" s="310">
        <f t="shared" ca="1" si="76"/>
        <v>7</v>
      </c>
      <c r="Q180" s="304">
        <f t="shared" ca="1" si="77"/>
        <v>938.56233766233743</v>
      </c>
      <c r="R180" s="306">
        <f t="shared" ca="1" si="78"/>
        <v>0.4701561537820742</v>
      </c>
      <c r="S180" s="307">
        <f t="shared" ca="1" si="79"/>
        <v>10.123363666710434</v>
      </c>
      <c r="T180" s="304">
        <f t="shared" ca="1" si="59"/>
        <v>99.310197570429366</v>
      </c>
      <c r="U180" s="311">
        <f t="shared" ca="1" si="60"/>
        <v>0</v>
      </c>
      <c r="V180" s="306">
        <f t="shared" ca="1" si="61"/>
        <v>1.2092082621936233</v>
      </c>
      <c r="W180" s="304">
        <f t="shared" ca="1" si="62"/>
        <v>68.756543707738544</v>
      </c>
      <c r="Y180" s="314" t="str">
        <f t="shared" ca="1" si="80"/>
        <v/>
      </c>
      <c r="Z180" s="315" t="str">
        <f t="shared" ca="1" si="81"/>
        <v/>
      </c>
      <c r="AA180" s="316" t="str">
        <f t="shared" ca="1" si="82"/>
        <v/>
      </c>
      <c r="AC180" s="310" t="e">
        <f t="shared" ca="1" si="83"/>
        <v>#N/A</v>
      </c>
      <c r="AD180" s="323" t="e">
        <f t="shared" ca="1" si="84"/>
        <v>#N/A</v>
      </c>
      <c r="AE180" s="324">
        <f t="shared" ca="1" si="63"/>
        <v>129.74845292937806</v>
      </c>
      <c r="AG180" s="306">
        <f t="shared" ca="1" si="85"/>
        <v>76.234835315590473</v>
      </c>
      <c r="AH180" s="304">
        <f t="shared" ca="1" si="86"/>
        <v>85.990080907243808</v>
      </c>
    </row>
    <row r="181" spans="1:34" x14ac:dyDescent="0.2">
      <c r="A181" s="347">
        <f t="shared" ca="1" si="64"/>
        <v>0.01</v>
      </c>
      <c r="B181" s="304">
        <f t="shared" ca="1" si="65"/>
        <v>1.7700000000000014</v>
      </c>
      <c r="D181" s="306">
        <f t="shared" ca="1" si="66"/>
        <v>9.0623631944641403</v>
      </c>
      <c r="E181" s="307">
        <f t="shared" ca="1" si="67"/>
        <v>75.546271034856602</v>
      </c>
      <c r="F181" s="304">
        <f t="shared" ca="1" si="68"/>
        <v>76.087880072587069</v>
      </c>
      <c r="G181" s="306">
        <f t="shared" ca="1" si="69"/>
        <v>15.574189661575723</v>
      </c>
      <c r="H181" s="307">
        <f t="shared" ca="1" si="70"/>
        <v>146.59153551513495</v>
      </c>
      <c r="I181" s="304">
        <f t="shared" ca="1" si="71"/>
        <v>147.41653119070401</v>
      </c>
      <c r="J181" s="306">
        <f t="shared" ca="1" si="72"/>
        <v>13.19938630699756</v>
      </c>
      <c r="K181" s="307">
        <f t="shared" ca="1" si="73"/>
        <v>131.21059097097768</v>
      </c>
      <c r="L181" s="304">
        <f t="shared" ca="1" si="58"/>
        <v>131.87282882320591</v>
      </c>
      <c r="M181" s="306">
        <f t="shared" ca="1" si="74"/>
        <v>1.4649512927171624</v>
      </c>
      <c r="N181" s="304">
        <f t="shared" ca="1" si="75"/>
        <v>83.935526264927461</v>
      </c>
      <c r="P181" s="310">
        <f t="shared" ca="1" si="76"/>
        <v>7</v>
      </c>
      <c r="Q181" s="304">
        <f t="shared" ca="1" si="77"/>
        <v>937.30259740259714</v>
      </c>
      <c r="R181" s="306">
        <f t="shared" ca="1" si="78"/>
        <v>0.46952510924564089</v>
      </c>
      <c r="S181" s="307">
        <f t="shared" ca="1" si="79"/>
        <v>10.118668415617977</v>
      </c>
      <c r="T181" s="304">
        <f t="shared" ca="1" si="59"/>
        <v>99.26413715721236</v>
      </c>
      <c r="U181" s="311">
        <f t="shared" ca="1" si="60"/>
        <v>0</v>
      </c>
      <c r="V181" s="306">
        <f t="shared" ca="1" si="61"/>
        <v>1.2090314646540394</v>
      </c>
      <c r="W181" s="304">
        <f t="shared" ca="1" si="62"/>
        <v>69.461615939775399</v>
      </c>
      <c r="Y181" s="314" t="str">
        <f t="shared" ca="1" si="80"/>
        <v/>
      </c>
      <c r="Z181" s="315" t="str">
        <f t="shared" ca="1" si="81"/>
        <v/>
      </c>
      <c r="AA181" s="316" t="str">
        <f t="shared" ca="1" si="82"/>
        <v/>
      </c>
      <c r="AC181" s="310" t="e">
        <f t="shared" ca="1" si="83"/>
        <v>#N/A</v>
      </c>
      <c r="AD181" s="323" t="e">
        <f t="shared" ca="1" si="84"/>
        <v>#N/A</v>
      </c>
      <c r="AE181" s="324">
        <f t="shared" ca="1" si="63"/>
        <v>131.21059097097768</v>
      </c>
      <c r="AG181" s="306">
        <f t="shared" ca="1" si="85"/>
        <v>76.080830600306385</v>
      </c>
      <c r="AH181" s="304">
        <f t="shared" ca="1" si="86"/>
        <v>85.836003120160939</v>
      </c>
    </row>
    <row r="182" spans="1:34" x14ac:dyDescent="0.2">
      <c r="A182" s="347">
        <f t="shared" ca="1" si="64"/>
        <v>0.01</v>
      </c>
      <c r="B182" s="304">
        <f t="shared" ca="1" si="65"/>
        <v>1.7800000000000014</v>
      </c>
      <c r="D182" s="306">
        <f t="shared" ca="1" si="66"/>
        <v>9.052040475036307</v>
      </c>
      <c r="E182" s="307">
        <f t="shared" ca="1" si="67"/>
        <v>75.392026019661827</v>
      </c>
      <c r="F182" s="304">
        <f t="shared" ca="1" si="68"/>
        <v>75.933503963079829</v>
      </c>
      <c r="G182" s="306">
        <f t="shared" ca="1" si="69"/>
        <v>15.664710066326085</v>
      </c>
      <c r="H182" s="307">
        <f t="shared" ca="1" si="70"/>
        <v>147.34545577533157</v>
      </c>
      <c r="I182" s="304">
        <f t="shared" ca="1" si="71"/>
        <v>148.17579586120755</v>
      </c>
      <c r="J182" s="306">
        <f t="shared" ca="1" si="72"/>
        <v>13.35558080563707</v>
      </c>
      <c r="K182" s="307">
        <f t="shared" ca="1" si="73"/>
        <v>132.68027592743002</v>
      </c>
      <c r="L182" s="304">
        <f t="shared" ca="1" si="58"/>
        <v>133.35076737250097</v>
      </c>
      <c r="M182" s="306">
        <f t="shared" ca="1" si="74"/>
        <v>1.4648813486293448</v>
      </c>
      <c r="N182" s="304">
        <f t="shared" ca="1" si="75"/>
        <v>83.931518763893621</v>
      </c>
      <c r="P182" s="310">
        <f t="shared" ca="1" si="76"/>
        <v>7</v>
      </c>
      <c r="Q182" s="304">
        <f t="shared" ca="1" si="77"/>
        <v>936.04285714285697</v>
      </c>
      <c r="R182" s="306">
        <f t="shared" ca="1" si="78"/>
        <v>0.46889406470920758</v>
      </c>
      <c r="S182" s="307">
        <f t="shared" ca="1" si="79"/>
        <v>10.113979474970884</v>
      </c>
      <c r="T182" s="304">
        <f t="shared" ca="1" si="59"/>
        <v>99.218138649464379</v>
      </c>
      <c r="U182" s="311">
        <f t="shared" ca="1" si="60"/>
        <v>0</v>
      </c>
      <c r="V182" s="306">
        <f t="shared" ca="1" si="61"/>
        <v>1.2088537804421959</v>
      </c>
      <c r="W182" s="304">
        <f t="shared" ca="1" si="62"/>
        <v>70.16866495590638</v>
      </c>
      <c r="Y182" s="314" t="str">
        <f t="shared" ca="1" si="80"/>
        <v/>
      </c>
      <c r="Z182" s="315" t="str">
        <f t="shared" ca="1" si="81"/>
        <v/>
      </c>
      <c r="AA182" s="316" t="str">
        <f t="shared" ca="1" si="82"/>
        <v/>
      </c>
      <c r="AC182" s="310" t="e">
        <f t="shared" ca="1" si="83"/>
        <v>#N/A</v>
      </c>
      <c r="AD182" s="323" t="e">
        <f t="shared" ca="1" si="84"/>
        <v>#N/A</v>
      </c>
      <c r="AE182" s="324">
        <f t="shared" ca="1" si="63"/>
        <v>132.68027592743002</v>
      </c>
      <c r="AG182" s="306">
        <f t="shared" ca="1" si="85"/>
        <v>75.926430805255066</v>
      </c>
      <c r="AH182" s="304">
        <f t="shared" ca="1" si="86"/>
        <v>85.681530533813572</v>
      </c>
    </row>
    <row r="183" spans="1:34" x14ac:dyDescent="0.2">
      <c r="A183" s="347">
        <f t="shared" ca="1" si="64"/>
        <v>0.01</v>
      </c>
      <c r="B183" s="304">
        <f t="shared" ca="1" si="65"/>
        <v>1.7900000000000014</v>
      </c>
      <c r="D183" s="306">
        <f t="shared" ca="1" si="66"/>
        <v>9.0416279776886945</v>
      </c>
      <c r="E183" s="307">
        <f t="shared" ca="1" si="67"/>
        <v>75.237395686397562</v>
      </c>
      <c r="F183" s="304">
        <f t="shared" ca="1" si="68"/>
        <v>75.778735448399232</v>
      </c>
      <c r="G183" s="306">
        <f t="shared" ca="1" si="69"/>
        <v>15.755126346102973</v>
      </c>
      <c r="H183" s="307">
        <f t="shared" ca="1" si="70"/>
        <v>148.09782973219555</v>
      </c>
      <c r="I183" s="304">
        <f t="shared" ca="1" si="71"/>
        <v>148.93351260736466</v>
      </c>
      <c r="J183" s="306">
        <f t="shared" ca="1" si="72"/>
        <v>13.512679987699215</v>
      </c>
      <c r="K183" s="307">
        <f t="shared" ca="1" si="73"/>
        <v>134.15749235496764</v>
      </c>
      <c r="L183" s="304">
        <f t="shared" ca="1" si="58"/>
        <v>134.8362906469292</v>
      </c>
      <c r="M183" s="306">
        <f t="shared" ca="1" si="74"/>
        <v>1.4648117145772992</v>
      </c>
      <c r="N183" s="304">
        <f t="shared" ca="1" si="75"/>
        <v>83.927529026601007</v>
      </c>
      <c r="P183" s="310">
        <f t="shared" ca="1" si="76"/>
        <v>7</v>
      </c>
      <c r="Q183" s="304">
        <f t="shared" ca="1" si="77"/>
        <v>934.78311688311669</v>
      </c>
      <c r="R183" s="306">
        <f t="shared" ca="1" si="78"/>
        <v>0.46826302017277427</v>
      </c>
      <c r="S183" s="307">
        <f t="shared" ca="1" si="79"/>
        <v>10.109296844769156</v>
      </c>
      <c r="T183" s="304">
        <f t="shared" ca="1" si="59"/>
        <v>99.172202047185436</v>
      </c>
      <c r="U183" s="311">
        <f t="shared" ca="1" si="60"/>
        <v>0</v>
      </c>
      <c r="V183" s="306">
        <f t="shared" ca="1" si="61"/>
        <v>1.2086752118187976</v>
      </c>
      <c r="W183" s="304">
        <f t="shared" ca="1" si="62"/>
        <v>70.877662112136335</v>
      </c>
      <c r="Y183" s="314" t="str">
        <f t="shared" ca="1" si="80"/>
        <v/>
      </c>
      <c r="Z183" s="315" t="str">
        <f t="shared" ca="1" si="81"/>
        <v/>
      </c>
      <c r="AA183" s="316" t="str">
        <f t="shared" ca="1" si="82"/>
        <v/>
      </c>
      <c r="AC183" s="310" t="e">
        <f t="shared" ca="1" si="83"/>
        <v>#N/A</v>
      </c>
      <c r="AD183" s="323" t="e">
        <f t="shared" ca="1" si="84"/>
        <v>#N/A</v>
      </c>
      <c r="AE183" s="324">
        <f t="shared" ca="1" si="63"/>
        <v>134.15749235496764</v>
      </c>
      <c r="AG183" s="306">
        <f t="shared" ca="1" si="85"/>
        <v>75.771638507518603</v>
      </c>
      <c r="AH183" s="304">
        <f t="shared" ca="1" si="86"/>
        <v>85.526665722016759</v>
      </c>
    </row>
    <row r="184" spans="1:34" x14ac:dyDescent="0.2">
      <c r="A184" s="347">
        <f t="shared" ca="1" si="64"/>
        <v>0.01</v>
      </c>
      <c r="B184" s="304">
        <f t="shared" ca="1" si="65"/>
        <v>1.8000000000000014</v>
      </c>
      <c r="D184" s="306">
        <f t="shared" ca="1" si="66"/>
        <v>9.0311263547592091</v>
      </c>
      <c r="E184" s="307">
        <f t="shared" ca="1" si="67"/>
        <v>75.082382567779376</v>
      </c>
      <c r="F184" s="304">
        <f t="shared" ca="1" si="68"/>
        <v>75.623577112498495</v>
      </c>
      <c r="G184" s="306">
        <f t="shared" ca="1" si="69"/>
        <v>15.845437609650565</v>
      </c>
      <c r="H184" s="307">
        <f t="shared" ca="1" si="70"/>
        <v>148.84865355787335</v>
      </c>
      <c r="I184" s="304">
        <f t="shared" ca="1" si="71"/>
        <v>149.68967752999245</v>
      </c>
      <c r="J184" s="306">
        <f t="shared" ca="1" si="72"/>
        <v>13.670682807477982</v>
      </c>
      <c r="K184" s="307">
        <f t="shared" ca="1" si="73"/>
        <v>135.642224771418</v>
      </c>
      <c r="L184" s="304">
        <f t="shared" ca="1" si="58"/>
        <v>136.32938314744388</v>
      </c>
      <c r="M184" s="306">
        <f t="shared" ca="1" si="74"/>
        <v>1.4647423869059795</v>
      </c>
      <c r="N184" s="304">
        <f t="shared" ca="1" si="75"/>
        <v>83.923556843630919</v>
      </c>
      <c r="P184" s="310">
        <f t="shared" ca="1" si="76"/>
        <v>7</v>
      </c>
      <c r="Q184" s="304">
        <f t="shared" ca="1" si="77"/>
        <v>933.52337662337641</v>
      </c>
      <c r="R184" s="306">
        <f t="shared" ca="1" si="78"/>
        <v>0.4676319756363409</v>
      </c>
      <c r="S184" s="307">
        <f t="shared" ca="1" si="79"/>
        <v>10.104620525012793</v>
      </c>
      <c r="T184" s="304">
        <f t="shared" ca="1" si="59"/>
        <v>99.126327350375504</v>
      </c>
      <c r="U184" s="311">
        <f t="shared" ca="1" si="60"/>
        <v>0</v>
      </c>
      <c r="V184" s="306">
        <f t="shared" ca="1" si="61"/>
        <v>1.2084957610499685</v>
      </c>
      <c r="W184" s="304">
        <f t="shared" ca="1" si="62"/>
        <v>71.588578770453381</v>
      </c>
      <c r="Y184" s="314" t="str">
        <f t="shared" ca="1" si="80"/>
        <v/>
      </c>
      <c r="Z184" s="315" t="str">
        <f t="shared" ca="1" si="81"/>
        <v/>
      </c>
      <c r="AA184" s="316" t="str">
        <f t="shared" ca="1" si="82"/>
        <v/>
      </c>
      <c r="AC184" s="310" t="e">
        <f t="shared" ca="1" si="83"/>
        <v>#N/A</v>
      </c>
      <c r="AD184" s="323" t="e">
        <f t="shared" ca="1" si="84"/>
        <v>#N/A</v>
      </c>
      <c r="AE184" s="324">
        <f t="shared" ca="1" si="63"/>
        <v>135.642224771418</v>
      </c>
      <c r="AG184" s="306">
        <f t="shared" ca="1" si="85"/>
        <v>75.616456289909053</v>
      </c>
      <c r="AH184" s="304">
        <f t="shared" ca="1" si="86"/>
        <v>85.371411264367879</v>
      </c>
    </row>
    <row r="185" spans="1:34" x14ac:dyDescent="0.2">
      <c r="A185" s="347">
        <f t="shared" ca="1" si="64"/>
        <v>0.01</v>
      </c>
      <c r="B185" s="304">
        <f t="shared" ca="1" si="65"/>
        <v>1.8100000000000014</v>
      </c>
      <c r="D185" s="306">
        <f t="shared" ca="1" si="66"/>
        <v>9.0205362530748836</v>
      </c>
      <c r="E185" s="307">
        <f t="shared" ca="1" si="67"/>
        <v>74.926989202647306</v>
      </c>
      <c r="F185" s="304">
        <f t="shared" ca="1" si="68"/>
        <v>75.468031544930767</v>
      </c>
      <c r="G185" s="306">
        <f t="shared" ca="1" si="69"/>
        <v>15.935642972181315</v>
      </c>
      <c r="H185" s="307">
        <f t="shared" ca="1" si="70"/>
        <v>149.59792344989981</v>
      </c>
      <c r="I185" s="304">
        <f t="shared" ca="1" si="71"/>
        <v>150.44428675579181</v>
      </c>
      <c r="J185" s="306">
        <f t="shared" ca="1" si="72"/>
        <v>13.829588210387142</v>
      </c>
      <c r="K185" s="307">
        <f t="shared" ca="1" si="73"/>
        <v>137.13445765645687</v>
      </c>
      <c r="L185" s="304">
        <f t="shared" ca="1" si="58"/>
        <v>137.83002933613358</v>
      </c>
      <c r="M185" s="306">
        <f t="shared" ca="1" si="74"/>
        <v>1.4646733620207824</v>
      </c>
      <c r="N185" s="304">
        <f t="shared" ca="1" si="75"/>
        <v>83.919602009027756</v>
      </c>
      <c r="P185" s="310">
        <f t="shared" ca="1" si="76"/>
        <v>7</v>
      </c>
      <c r="Q185" s="304">
        <f t="shared" ca="1" si="77"/>
        <v>932.26363636363612</v>
      </c>
      <c r="R185" s="306">
        <f t="shared" ca="1" si="78"/>
        <v>0.46700093109990753</v>
      </c>
      <c r="S185" s="307">
        <f t="shared" ca="1" si="79"/>
        <v>10.099950515701794</v>
      </c>
      <c r="T185" s="304">
        <f t="shared" ca="1" si="59"/>
        <v>99.080514559034597</v>
      </c>
      <c r="U185" s="311">
        <f t="shared" ca="1" si="60"/>
        <v>0</v>
      </c>
      <c r="V185" s="306">
        <f t="shared" ca="1" si="61"/>
        <v>1.2083154304072012</v>
      </c>
      <c r="W185" s="304">
        <f t="shared" ca="1" si="62"/>
        <v>72.301386300143903</v>
      </c>
      <c r="Y185" s="314" t="str">
        <f t="shared" ca="1" si="80"/>
        <v/>
      </c>
      <c r="Z185" s="315" t="str">
        <f t="shared" ca="1" si="81"/>
        <v/>
      </c>
      <c r="AA185" s="316" t="str">
        <f t="shared" ca="1" si="82"/>
        <v/>
      </c>
      <c r="AC185" s="310" t="e">
        <f t="shared" ca="1" si="83"/>
        <v>#N/A</v>
      </c>
      <c r="AD185" s="323" t="e">
        <f t="shared" ca="1" si="84"/>
        <v>#N/A</v>
      </c>
      <c r="AE185" s="324">
        <f t="shared" ca="1" si="63"/>
        <v>137.13445765645687</v>
      </c>
      <c r="AG185" s="306">
        <f t="shared" ca="1" si="85"/>
        <v>75.460886740836202</v>
      </c>
      <c r="AH185" s="304">
        <f t="shared" ca="1" si="86"/>
        <v>85.215769746113338</v>
      </c>
    </row>
    <row r="186" spans="1:34" x14ac:dyDescent="0.2">
      <c r="A186" s="347">
        <f t="shared" ca="1" si="64"/>
        <v>0.01</v>
      </c>
      <c r="B186" s="304">
        <f t="shared" ca="1" si="65"/>
        <v>1.8200000000000014</v>
      </c>
      <c r="D186" s="306">
        <f t="shared" ca="1" si="66"/>
        <v>9.0098583140829884</v>
      </c>
      <c r="E186" s="307">
        <f t="shared" ca="1" si="67"/>
        <v>74.771218135821044</v>
      </c>
      <c r="F186" s="304">
        <f t="shared" ca="1" si="68"/>
        <v>75.312101340716708</v>
      </c>
      <c r="G186" s="306">
        <f t="shared" ca="1" si="69"/>
        <v>16.025741555322146</v>
      </c>
      <c r="H186" s="307">
        <f t="shared" ca="1" si="70"/>
        <v>150.34563563125803</v>
      </c>
      <c r="I186" s="304">
        <f t="shared" ca="1" si="71"/>
        <v>151.19733643740219</v>
      </c>
      <c r="J186" s="306">
        <f t="shared" ca="1" si="72"/>
        <v>13.98939513302466</v>
      </c>
      <c r="K186" s="307">
        <f t="shared" ca="1" si="73"/>
        <v>138.63417545186266</v>
      </c>
      <c r="L186" s="304">
        <f t="shared" ca="1" si="58"/>
        <v>139.33821363648141</v>
      </c>
      <c r="M186" s="306">
        <f t="shared" ca="1" si="74"/>
        <v>1.4646046363861998</v>
      </c>
      <c r="N186" s="304">
        <f t="shared" ca="1" si="75"/>
        <v>83.915664320221808</v>
      </c>
      <c r="P186" s="310">
        <f t="shared" ca="1" si="76"/>
        <v>7</v>
      </c>
      <c r="Q186" s="304">
        <f t="shared" ca="1" si="77"/>
        <v>931.00389610389584</v>
      </c>
      <c r="R186" s="306">
        <f t="shared" ca="1" si="78"/>
        <v>0.46636988656347422</v>
      </c>
      <c r="S186" s="307">
        <f t="shared" ca="1" si="79"/>
        <v>10.095286816836159</v>
      </c>
      <c r="T186" s="304">
        <f t="shared" ca="1" si="59"/>
        <v>99.034763673162729</v>
      </c>
      <c r="U186" s="311">
        <f t="shared" ca="1" si="60"/>
        <v>0</v>
      </c>
      <c r="V186" s="306">
        <f t="shared" ca="1" si="61"/>
        <v>1.2081342221673066</v>
      </c>
      <c r="W186" s="304">
        <f t="shared" ca="1" si="62"/>
        <v>73.016056079103095</v>
      </c>
      <c r="Y186" s="314" t="str">
        <f t="shared" ca="1" si="80"/>
        <v/>
      </c>
      <c r="Z186" s="315" t="str">
        <f t="shared" ca="1" si="81"/>
        <v/>
      </c>
      <c r="AA186" s="316" t="str">
        <f t="shared" ca="1" si="82"/>
        <v/>
      </c>
      <c r="AC186" s="310" t="e">
        <f t="shared" ca="1" si="83"/>
        <v>#N/A</v>
      </c>
      <c r="AD186" s="323" t="e">
        <f t="shared" ca="1" si="84"/>
        <v>#N/A</v>
      </c>
      <c r="AE186" s="324">
        <f t="shared" ca="1" si="63"/>
        <v>138.63417545186266</v>
      </c>
      <c r="AG186" s="306">
        <f t="shared" ca="1" si="85"/>
        <v>75.304932454175315</v>
      </c>
      <c r="AH186" s="304">
        <f t="shared" ca="1" si="86"/>
        <v>85.059743758015131</v>
      </c>
    </row>
    <row r="187" spans="1:34" x14ac:dyDescent="0.2">
      <c r="A187" s="347">
        <f t="shared" ca="1" si="64"/>
        <v>0.01</v>
      </c>
      <c r="B187" s="304">
        <f t="shared" ca="1" si="65"/>
        <v>1.8300000000000014</v>
      </c>
      <c r="D187" s="306">
        <f t="shared" ca="1" si="66"/>
        <v>8.9990931739780429</v>
      </c>
      <c r="E187" s="307">
        <f t="shared" ca="1" si="67"/>
        <v>74.615071917955817</v>
      </c>
      <c r="F187" s="304">
        <f t="shared" ca="1" si="68"/>
        <v>75.155789100212743</v>
      </c>
      <c r="G187" s="306">
        <f t="shared" ca="1" si="69"/>
        <v>16.115732487061926</v>
      </c>
      <c r="H187" s="307">
        <f t="shared" ca="1" si="70"/>
        <v>151.09178635043759</v>
      </c>
      <c r="I187" s="304">
        <f t="shared" ca="1" si="71"/>
        <v>151.94882275345481</v>
      </c>
      <c r="J187" s="306">
        <f t="shared" ca="1" si="72"/>
        <v>14.15010250323658</v>
      </c>
      <c r="K187" s="307">
        <f t="shared" ca="1" si="73"/>
        <v>140.14136256177113</v>
      </c>
      <c r="L187" s="304">
        <f t="shared" ca="1" si="58"/>
        <v>140.85392043362475</v>
      </c>
      <c r="M187" s="306">
        <f t="shared" ca="1" si="74"/>
        <v>1.464536206524508</v>
      </c>
      <c r="N187" s="304">
        <f t="shared" ca="1" si="75"/>
        <v>83.911743577954212</v>
      </c>
      <c r="P187" s="310">
        <f t="shared" ca="1" si="76"/>
        <v>7</v>
      </c>
      <c r="Q187" s="304">
        <f t="shared" ca="1" si="77"/>
        <v>929.74415584415556</v>
      </c>
      <c r="R187" s="306">
        <f t="shared" ca="1" si="78"/>
        <v>0.46573884202704086</v>
      </c>
      <c r="S187" s="307">
        <f t="shared" ca="1" si="79"/>
        <v>10.090629428415889</v>
      </c>
      <c r="T187" s="304">
        <f t="shared" ca="1" si="59"/>
        <v>98.989074692759885</v>
      </c>
      <c r="U187" s="311">
        <f t="shared" ca="1" si="60"/>
        <v>0</v>
      </c>
      <c r="V187" s="306">
        <f t="shared" ca="1" si="61"/>
        <v>1.2079521386123644</v>
      </c>
      <c r="W187" s="304">
        <f t="shared" ca="1" si="62"/>
        <v>73.732559495141018</v>
      </c>
      <c r="Y187" s="314" t="str">
        <f t="shared" ca="1" si="80"/>
        <v/>
      </c>
      <c r="Z187" s="315" t="str">
        <f t="shared" ca="1" si="81"/>
        <v/>
      </c>
      <c r="AA187" s="316" t="str">
        <f t="shared" ca="1" si="82"/>
        <v/>
      </c>
      <c r="AC187" s="310" t="e">
        <f t="shared" ca="1" si="83"/>
        <v>#N/A</v>
      </c>
      <c r="AD187" s="323" t="e">
        <f t="shared" ca="1" si="84"/>
        <v>#N/A</v>
      </c>
      <c r="AE187" s="324">
        <f t="shared" ca="1" si="63"/>
        <v>140.14136256177113</v>
      </c>
      <c r="AG187" s="306">
        <f t="shared" ca="1" si="85"/>
        <v>75.148596029134907</v>
      </c>
      <c r="AH187" s="304">
        <f t="shared" ca="1" si="86"/>
        <v>84.903335896217598</v>
      </c>
    </row>
    <row r="188" spans="1:34" x14ac:dyDescent="0.2">
      <c r="A188" s="347">
        <f t="shared" ca="1" si="64"/>
        <v>0.01</v>
      </c>
      <c r="B188" s="304">
        <f t="shared" ca="1" si="65"/>
        <v>1.8400000000000014</v>
      </c>
      <c r="D188" s="306">
        <f t="shared" ca="1" si="66"/>
        <v>8.9882414638248882</v>
      </c>
      <c r="E188" s="307">
        <f t="shared" ca="1" si="67"/>
        <v>74.458553105398508</v>
      </c>
      <c r="F188" s="304">
        <f t="shared" ca="1" si="68"/>
        <v>74.999097428978899</v>
      </c>
      <c r="G188" s="306">
        <f t="shared" ca="1" si="69"/>
        <v>16.205614901700176</v>
      </c>
      <c r="H188" s="307">
        <f t="shared" ca="1" si="70"/>
        <v>151.83637188149157</v>
      </c>
      <c r="I188" s="304">
        <f t="shared" ca="1" si="71"/>
        <v>152.69874190862481</v>
      </c>
      <c r="J188" s="306">
        <f t="shared" ca="1" si="72"/>
        <v>14.31170924018039</v>
      </c>
      <c r="K188" s="307">
        <f t="shared" ca="1" si="73"/>
        <v>141.65600335293078</v>
      </c>
      <c r="L188" s="304">
        <f t="shared" ca="1" si="58"/>
        <v>142.37713407461536</v>
      </c>
      <c r="M188" s="306">
        <f t="shared" ca="1" si="74"/>
        <v>1.4644680690144949</v>
      </c>
      <c r="N188" s="304">
        <f t="shared" ca="1" si="75"/>
        <v>83.90783958620392</v>
      </c>
      <c r="P188" s="310">
        <f t="shared" ca="1" si="76"/>
        <v>7</v>
      </c>
      <c r="Q188" s="304">
        <f t="shared" ca="1" si="77"/>
        <v>928.48441558441539</v>
      </c>
      <c r="R188" s="306">
        <f t="shared" ca="1" si="78"/>
        <v>0.4651077974906076</v>
      </c>
      <c r="S188" s="307">
        <f t="shared" ca="1" si="79"/>
        <v>10.085978350440984</v>
      </c>
      <c r="T188" s="304">
        <f t="shared" ca="1" si="59"/>
        <v>98.943447617826052</v>
      </c>
      <c r="U188" s="311">
        <f t="shared" ca="1" si="60"/>
        <v>0</v>
      </c>
      <c r="V188" s="306">
        <f t="shared" ca="1" si="61"/>
        <v>1.207769182029675</v>
      </c>
      <c r="W188" s="304">
        <f t="shared" ca="1" si="62"/>
        <v>74.450867947284124</v>
      </c>
      <c r="Y188" s="314" t="str">
        <f t="shared" ca="1" si="80"/>
        <v/>
      </c>
      <c r="Z188" s="315" t="str">
        <f t="shared" ca="1" si="81"/>
        <v/>
      </c>
      <c r="AA188" s="316" t="str">
        <f t="shared" ca="1" si="82"/>
        <v/>
      </c>
      <c r="AC188" s="310" t="e">
        <f t="shared" ca="1" si="83"/>
        <v>#N/A</v>
      </c>
      <c r="AD188" s="323" t="e">
        <f t="shared" ca="1" si="84"/>
        <v>#N/A</v>
      </c>
      <c r="AE188" s="324">
        <f t="shared" ca="1" si="63"/>
        <v>141.65600335293078</v>
      </c>
      <c r="AG188" s="306">
        <f t="shared" ca="1" si="85"/>
        <v>74.991880070124608</v>
      </c>
      <c r="AH188" s="304">
        <f t="shared" ca="1" si="86"/>
        <v>84.746548762114145</v>
      </c>
    </row>
    <row r="189" spans="1:34" x14ac:dyDescent="0.2">
      <c r="A189" s="347">
        <f t="shared" ca="1" si="64"/>
        <v>0.01</v>
      </c>
      <c r="B189" s="304">
        <f t="shared" ca="1" si="65"/>
        <v>1.8500000000000014</v>
      </c>
      <c r="D189" s="306">
        <f t="shared" ca="1" si="66"/>
        <v>8.9773038096778013</v>
      </c>
      <c r="E189" s="307">
        <f t="shared" ca="1" si="67"/>
        <v>74.301664260043992</v>
      </c>
      <c r="F189" s="304">
        <f t="shared" ca="1" si="68"/>
        <v>74.842028937646759</v>
      </c>
      <c r="G189" s="306">
        <f t="shared" ca="1" si="69"/>
        <v>16.295387939796953</v>
      </c>
      <c r="H189" s="307">
        <f t="shared" ca="1" si="70"/>
        <v>152.57938852409202</v>
      </c>
      <c r="I189" s="304">
        <f t="shared" ca="1" si="71"/>
        <v>153.44709013368191</v>
      </c>
      <c r="J189" s="306">
        <f t="shared" ca="1" si="72"/>
        <v>14.474214254387876</v>
      </c>
      <c r="K189" s="307">
        <f t="shared" ca="1" si="73"/>
        <v>143.1780821549587</v>
      </c>
      <c r="L189" s="304">
        <f t="shared" ca="1" si="58"/>
        <v>143.90783886868022</v>
      </c>
      <c r="M189" s="306">
        <f t="shared" ca="1" si="74"/>
        <v>1.4644002204902193</v>
      </c>
      <c r="N189" s="304">
        <f t="shared" ca="1" si="75"/>
        <v>83.903952152116744</v>
      </c>
      <c r="P189" s="310">
        <f t="shared" ca="1" si="76"/>
        <v>7</v>
      </c>
      <c r="Q189" s="304">
        <f t="shared" ca="1" si="77"/>
        <v>927.2246753246751</v>
      </c>
      <c r="R189" s="306">
        <f t="shared" ca="1" si="78"/>
        <v>0.46447675295417423</v>
      </c>
      <c r="S189" s="307">
        <f t="shared" ca="1" si="79"/>
        <v>10.081333582911443</v>
      </c>
      <c r="T189" s="304">
        <f t="shared" ca="1" si="59"/>
        <v>98.897882448361258</v>
      </c>
      <c r="U189" s="311">
        <f t="shared" ca="1" si="60"/>
        <v>0</v>
      </c>
      <c r="V189" s="306">
        <f t="shared" ca="1" si="61"/>
        <v>1.207585354711707</v>
      </c>
      <c r="W189" s="304">
        <f t="shared" ca="1" si="62"/>
        <v>75.170952847071689</v>
      </c>
      <c r="Y189" s="314" t="str">
        <f t="shared" ca="1" si="80"/>
        <v/>
      </c>
      <c r="Z189" s="315" t="str">
        <f t="shared" ca="1" si="81"/>
        <v/>
      </c>
      <c r="AA189" s="316" t="str">
        <f t="shared" ca="1" si="82"/>
        <v/>
      </c>
      <c r="AC189" s="310" t="e">
        <f t="shared" ca="1" si="83"/>
        <v>#N/A</v>
      </c>
      <c r="AD189" s="323" t="e">
        <f t="shared" ca="1" si="84"/>
        <v>#N/A</v>
      </c>
      <c r="AE189" s="324">
        <f t="shared" ca="1" si="63"/>
        <v>143.1780821549587</v>
      </c>
      <c r="AG189" s="306">
        <f t="shared" ca="1" si="85"/>
        <v>74.834787186622776</v>
      </c>
      <c r="AH189" s="304">
        <f t="shared" ca="1" si="86"/>
        <v>84.589384962213884</v>
      </c>
    </row>
    <row r="190" spans="1:34" x14ac:dyDescent="0.2">
      <c r="A190" s="347">
        <f t="shared" ca="1" si="64"/>
        <v>0.01</v>
      </c>
      <c r="B190" s="304">
        <f t="shared" ca="1" si="65"/>
        <v>1.8600000000000014</v>
      </c>
      <c r="D190" s="306">
        <f t="shared" ca="1" si="66"/>
        <v>8.9662808326960981</v>
      </c>
      <c r="E190" s="307">
        <f t="shared" ca="1" si="67"/>
        <v>74.144407949192072</v>
      </c>
      <c r="F190" s="304">
        <f t="shared" ca="1" si="68"/>
        <v>74.684586241787471</v>
      </c>
      <c r="G190" s="306">
        <f t="shared" ca="1" si="69"/>
        <v>16.385050748123913</v>
      </c>
      <c r="H190" s="307">
        <f t="shared" ca="1" si="70"/>
        <v>153.32083260358394</v>
      </c>
      <c r="I190" s="304">
        <f t="shared" ca="1" si="71"/>
        <v>154.19386368553972</v>
      </c>
      <c r="J190" s="306">
        <f t="shared" ca="1" si="72"/>
        <v>14.63761644782748</v>
      </c>
      <c r="K190" s="307">
        <f t="shared" ca="1" si="73"/>
        <v>144.70758326059709</v>
      </c>
      <c r="L190" s="304">
        <f t="shared" ca="1" si="58"/>
        <v>145.44601908748257</v>
      </c>
      <c r="M190" s="306">
        <f t="shared" ca="1" si="74"/>
        <v>1.4643326576398079</v>
      </c>
      <c r="N190" s="304">
        <f t="shared" ca="1" si="75"/>
        <v>83.900081085936293</v>
      </c>
      <c r="P190" s="310">
        <f t="shared" ca="1" si="76"/>
        <v>7</v>
      </c>
      <c r="Q190" s="304">
        <f t="shared" ca="1" si="77"/>
        <v>925.96493506493482</v>
      </c>
      <c r="R190" s="306">
        <f t="shared" ca="1" si="78"/>
        <v>0.46384570841774092</v>
      </c>
      <c r="S190" s="307">
        <f t="shared" ca="1" si="79"/>
        <v>10.076695125827266</v>
      </c>
      <c r="T190" s="304">
        <f t="shared" ca="1" si="59"/>
        <v>98.852379184365489</v>
      </c>
      <c r="U190" s="311">
        <f t="shared" ca="1" si="60"/>
        <v>0</v>
      </c>
      <c r="V190" s="306">
        <f t="shared" ca="1" si="61"/>
        <v>1.2074006589560493</v>
      </c>
      <c r="W190" s="304">
        <f t="shared" ca="1" si="62"/>
        <v>75.892785619847743</v>
      </c>
      <c r="Y190" s="314" t="str">
        <f t="shared" ca="1" si="80"/>
        <v/>
      </c>
      <c r="Z190" s="315" t="str">
        <f t="shared" ca="1" si="81"/>
        <v/>
      </c>
      <c r="AA190" s="316" t="str">
        <f t="shared" ca="1" si="82"/>
        <v/>
      </c>
      <c r="AC190" s="310" t="e">
        <f t="shared" ca="1" si="83"/>
        <v>#N/A</v>
      </c>
      <c r="AD190" s="323" t="e">
        <f t="shared" ca="1" si="84"/>
        <v>#N/A</v>
      </c>
      <c r="AE190" s="324">
        <f t="shared" ca="1" si="63"/>
        <v>144.70758326059709</v>
      </c>
      <c r="AG190" s="306">
        <f t="shared" ca="1" si="85"/>
        <v>74.677319993044478</v>
      </c>
      <c r="AH190" s="304">
        <f t="shared" ca="1" si="86"/>
        <v>84.431847108008597</v>
      </c>
    </row>
    <row r="191" spans="1:34" x14ac:dyDescent="0.2">
      <c r="A191" s="347">
        <f t="shared" ca="1" si="64"/>
        <v>0.01</v>
      </c>
      <c r="B191" s="304">
        <f t="shared" ca="1" si="65"/>
        <v>1.8700000000000014</v>
      </c>
      <c r="D191" s="306">
        <f t="shared" ca="1" si="66"/>
        <v>8.9551731492558897</v>
      </c>
      <c r="E191" s="307">
        <f t="shared" ca="1" si="67"/>
        <v>73.986786745404686</v>
      </c>
      <c r="F191" s="304">
        <f t="shared" ca="1" si="68"/>
        <v>74.5267719617799</v>
      </c>
      <c r="G191" s="306">
        <f t="shared" ca="1" si="69"/>
        <v>16.474602479616472</v>
      </c>
      <c r="H191" s="307">
        <f t="shared" ca="1" si="70"/>
        <v>154.06070047103799</v>
      </c>
      <c r="I191" s="304">
        <f t="shared" ca="1" si="71"/>
        <v>154.93905884730381</v>
      </c>
      <c r="J191" s="306">
        <f t="shared" ca="1" si="72"/>
        <v>14.801914713966182</v>
      </c>
      <c r="K191" s="307">
        <f t="shared" ca="1" si="73"/>
        <v>146.24449092597021</v>
      </c>
      <c r="L191" s="304">
        <f t="shared" ca="1" si="58"/>
        <v>146.99165896538386</v>
      </c>
      <c r="M191" s="306">
        <f t="shared" ca="1" si="74"/>
        <v>1.4642653772042815</v>
      </c>
      <c r="N191" s="304">
        <f t="shared" ca="1" si="75"/>
        <v>83.896226200936837</v>
      </c>
      <c r="P191" s="310">
        <f t="shared" ca="1" si="76"/>
        <v>7</v>
      </c>
      <c r="Q191" s="304">
        <f t="shared" ca="1" si="77"/>
        <v>924.70519480519454</v>
      </c>
      <c r="R191" s="306">
        <f t="shared" ca="1" si="78"/>
        <v>0.46321466388130755</v>
      </c>
      <c r="S191" s="307">
        <f t="shared" ca="1" si="79"/>
        <v>10.072062979188452</v>
      </c>
      <c r="T191" s="304">
        <f t="shared" ca="1" si="59"/>
        <v>98.806937825838716</v>
      </c>
      <c r="U191" s="311">
        <f t="shared" ca="1" si="60"/>
        <v>0</v>
      </c>
      <c r="V191" s="306">
        <f t="shared" ca="1" si="61"/>
        <v>1.2072150970653612</v>
      </c>
      <c r="W191" s="304">
        <f t="shared" ca="1" si="62"/>
        <v>76.61633770604783</v>
      </c>
      <c r="Y191" s="314" t="str">
        <f t="shared" ca="1" si="80"/>
        <v/>
      </c>
      <c r="Z191" s="315" t="str">
        <f t="shared" ca="1" si="81"/>
        <v/>
      </c>
      <c r="AA191" s="316" t="str">
        <f t="shared" ca="1" si="82"/>
        <v/>
      </c>
      <c r="AC191" s="310" t="e">
        <f t="shared" ca="1" si="83"/>
        <v>#N/A</v>
      </c>
      <c r="AD191" s="323" t="e">
        <f t="shared" ca="1" si="84"/>
        <v>#N/A</v>
      </c>
      <c r="AE191" s="324">
        <f t="shared" ca="1" si="63"/>
        <v>146.24449092597021</v>
      </c>
      <c r="AG191" s="306">
        <f t="shared" ca="1" si="85"/>
        <v>74.51948110860927</v>
      </c>
      <c r="AH191" s="304">
        <f t="shared" ca="1" si="86"/>
        <v>84.273937815839517</v>
      </c>
    </row>
    <row r="192" spans="1:34" x14ac:dyDescent="0.2">
      <c r="A192" s="347">
        <f t="shared" ca="1" si="64"/>
        <v>0.01</v>
      </c>
      <c r="B192" s="304">
        <f t="shared" ca="1" si="65"/>
        <v>1.8800000000000014</v>
      </c>
      <c r="D192" s="306">
        <f t="shared" ca="1" si="66"/>
        <v>8.943981371058582</v>
      </c>
      <c r="E192" s="307">
        <f t="shared" ca="1" si="67"/>
        <v>73.828803226363291</v>
      </c>
      <c r="F192" s="304">
        <f t="shared" ca="1" si="68"/>
        <v>74.368588722678567</v>
      </c>
      <c r="G192" s="306">
        <f t="shared" ca="1" si="69"/>
        <v>16.564042293327059</v>
      </c>
      <c r="H192" s="307">
        <f t="shared" ca="1" si="70"/>
        <v>154.79898850330162</v>
      </c>
      <c r="I192" s="304">
        <f t="shared" ca="1" si="71"/>
        <v>155.68267192831846</v>
      </c>
      <c r="J192" s="306">
        <f t="shared" ca="1" si="72"/>
        <v>14.9671079378309</v>
      </c>
      <c r="K192" s="307">
        <f t="shared" ca="1" si="73"/>
        <v>147.7887893708419</v>
      </c>
      <c r="L192" s="304">
        <f t="shared" ca="1" si="58"/>
        <v>148.54474269970564</v>
      </c>
      <c r="M192" s="306">
        <f t="shared" ca="1" si="74"/>
        <v>1.4641983759764161</v>
      </c>
      <c r="N192" s="304">
        <f t="shared" ca="1" si="75"/>
        <v>83.892387313357958</v>
      </c>
      <c r="P192" s="310">
        <f t="shared" ca="1" si="76"/>
        <v>7</v>
      </c>
      <c r="Q192" s="304">
        <f t="shared" ca="1" si="77"/>
        <v>923.44545454545437</v>
      </c>
      <c r="R192" s="306">
        <f t="shared" ca="1" si="78"/>
        <v>0.4625836193448743</v>
      </c>
      <c r="S192" s="307">
        <f t="shared" ca="1" si="79"/>
        <v>10.067437142995002</v>
      </c>
      <c r="T192" s="304">
        <f t="shared" ca="1" si="59"/>
        <v>98.761558372780982</v>
      </c>
      <c r="U192" s="311">
        <f t="shared" ca="1" si="60"/>
        <v>0</v>
      </c>
      <c r="V192" s="306">
        <f t="shared" ca="1" si="61"/>
        <v>1.2070286713473199</v>
      </c>
      <c r="W192" s="304">
        <f t="shared" ca="1" si="62"/>
        <v>77.3415805624808</v>
      </c>
      <c r="Y192" s="314" t="str">
        <f t="shared" ca="1" si="80"/>
        <v/>
      </c>
      <c r="Z192" s="315" t="str">
        <f t="shared" ca="1" si="81"/>
        <v/>
      </c>
      <c r="AA192" s="316" t="str">
        <f t="shared" ca="1" si="82"/>
        <v/>
      </c>
      <c r="AC192" s="310" t="e">
        <f t="shared" ca="1" si="83"/>
        <v>#N/A</v>
      </c>
      <c r="AD192" s="323" t="e">
        <f t="shared" ca="1" si="84"/>
        <v>#N/A</v>
      </c>
      <c r="AE192" s="324">
        <f t="shared" ca="1" si="63"/>
        <v>147.7887893708419</v>
      </c>
      <c r="AG192" s="306">
        <f t="shared" ca="1" si="85"/>
        <v>74.361273157209041</v>
      </c>
      <c r="AH192" s="304">
        <f t="shared" ca="1" si="86"/>
        <v>84.115659706764248</v>
      </c>
    </row>
    <row r="193" spans="1:34" x14ac:dyDescent="0.2">
      <c r="A193" s="347">
        <f t="shared" ca="1" si="64"/>
        <v>0.01</v>
      </c>
      <c r="B193" s="304">
        <f t="shared" ca="1" si="65"/>
        <v>1.8900000000000015</v>
      </c>
      <c r="D193" s="306">
        <f t="shared" ca="1" si="66"/>
        <v>8.9327061052358321</v>
      </c>
      <c r="E193" s="307">
        <f t="shared" ca="1" si="67"/>
        <v>73.670459974726924</v>
      </c>
      <c r="F193" s="304">
        <f t="shared" ca="1" si="68"/>
        <v>74.210039154081841</v>
      </c>
      <c r="G193" s="306">
        <f t="shared" ca="1" si="69"/>
        <v>16.653369354379418</v>
      </c>
      <c r="H193" s="307">
        <f t="shared" ca="1" si="70"/>
        <v>155.53569310304889</v>
      </c>
      <c r="I193" s="304">
        <f t="shared" ca="1" si="71"/>
        <v>156.42469926421208</v>
      </c>
      <c r="J193" s="306">
        <f t="shared" ca="1" si="72"/>
        <v>15.133194996069433</v>
      </c>
      <c r="K193" s="307">
        <f t="shared" ca="1" si="73"/>
        <v>149.34046277887364</v>
      </c>
      <c r="L193" s="304">
        <f t="shared" ca="1" si="58"/>
        <v>150.1052544509925</v>
      </c>
      <c r="M193" s="306">
        <f t="shared" ca="1" si="74"/>
        <v>1.4641316507996318</v>
      </c>
      <c r="N193" s="304">
        <f t="shared" ca="1" si="75"/>
        <v>83.888564242340948</v>
      </c>
      <c r="P193" s="310">
        <f t="shared" ca="1" si="76"/>
        <v>7</v>
      </c>
      <c r="Q193" s="304">
        <f t="shared" ca="1" si="77"/>
        <v>922.18571428571408</v>
      </c>
      <c r="R193" s="306">
        <f t="shared" ca="1" si="78"/>
        <v>0.46195257480844093</v>
      </c>
      <c r="S193" s="307">
        <f t="shared" ca="1" si="79"/>
        <v>10.062817617246917</v>
      </c>
      <c r="T193" s="304">
        <f t="shared" ca="1" si="59"/>
        <v>98.716240825192259</v>
      </c>
      <c r="U193" s="311">
        <f t="shared" ca="1" si="60"/>
        <v>0</v>
      </c>
      <c r="V193" s="306">
        <f t="shared" ca="1" si="61"/>
        <v>1.2068413841145758</v>
      </c>
      <c r="W193" s="304">
        <f t="shared" ca="1" si="62"/>
        <v>78.068485663605784</v>
      </c>
      <c r="Y193" s="314" t="str">
        <f t="shared" ca="1" si="80"/>
        <v/>
      </c>
      <c r="Z193" s="315" t="str">
        <f t="shared" ca="1" si="81"/>
        <v/>
      </c>
      <c r="AA193" s="316" t="str">
        <f t="shared" ca="1" si="82"/>
        <v/>
      </c>
      <c r="AC193" s="310" t="e">
        <f t="shared" ca="1" si="83"/>
        <v>#N/A</v>
      </c>
      <c r="AD193" s="323" t="e">
        <f t="shared" ca="1" si="84"/>
        <v>#N/A</v>
      </c>
      <c r="AE193" s="324">
        <f t="shared" ca="1" si="63"/>
        <v>149.34046277887364</v>
      </c>
      <c r="AG193" s="306">
        <f t="shared" ca="1" si="85"/>
        <v>74.202698767276075</v>
      </c>
      <c r="AH193" s="304">
        <f t="shared" ca="1" si="86"/>
        <v>83.957015406423906</v>
      </c>
    </row>
    <row r="194" spans="1:34" x14ac:dyDescent="0.2">
      <c r="A194" s="347">
        <f t="shared" ca="1" si="64"/>
        <v>0.01</v>
      </c>
      <c r="B194" s="304">
        <f t="shared" ca="1" si="65"/>
        <v>1.9000000000000015</v>
      </c>
      <c r="D194" s="306">
        <f t="shared" ca="1" si="66"/>
        <v>8.9213479544514414</v>
      </c>
      <c r="E194" s="307">
        <f t="shared" ca="1" si="67"/>
        <v>73.511759577990304</v>
      </c>
      <c r="F194" s="304">
        <f t="shared" ca="1" si="68"/>
        <v>74.051125890000108</v>
      </c>
      <c r="G194" s="306">
        <f t="shared" ca="1" si="69"/>
        <v>16.742582833923933</v>
      </c>
      <c r="H194" s="307">
        <f t="shared" ca="1" si="70"/>
        <v>156.2708106988288</v>
      </c>
      <c r="I194" s="304">
        <f t="shared" ca="1" si="71"/>
        <v>157.1651372169413</v>
      </c>
      <c r="J194" s="306">
        <f t="shared" ca="1" si="72"/>
        <v>15.30017475701095</v>
      </c>
      <c r="K194" s="307">
        <f t="shared" ca="1" si="73"/>
        <v>150.89949529788302</v>
      </c>
      <c r="L194" s="304">
        <f t="shared" ca="1" si="58"/>
        <v>151.67317834327497</v>
      </c>
      <c r="M194" s="306">
        <f t="shared" ca="1" si="74"/>
        <v>1.4640651985669133</v>
      </c>
      <c r="N194" s="304">
        <f t="shared" ca="1" si="75"/>
        <v>83.884756809866957</v>
      </c>
      <c r="P194" s="310">
        <f t="shared" ca="1" si="76"/>
        <v>7</v>
      </c>
      <c r="Q194" s="304">
        <f t="shared" ca="1" si="77"/>
        <v>920.9259740259738</v>
      </c>
      <c r="R194" s="306">
        <f t="shared" ca="1" si="78"/>
        <v>0.46132153027200762</v>
      </c>
      <c r="S194" s="307">
        <f t="shared" ca="1" si="79"/>
        <v>10.058204401944197</v>
      </c>
      <c r="T194" s="304">
        <f t="shared" ca="1" si="59"/>
        <v>98.670985183072574</v>
      </c>
      <c r="U194" s="311">
        <f t="shared" ca="1" si="60"/>
        <v>0</v>
      </c>
      <c r="V194" s="306">
        <f t="shared" ca="1" si="61"/>
        <v>1.2066532376846959</v>
      </c>
      <c r="W194" s="304">
        <f t="shared" ca="1" si="62"/>
        <v>78.797024502803225</v>
      </c>
      <c r="Y194" s="314" t="str">
        <f t="shared" ca="1" si="80"/>
        <v/>
      </c>
      <c r="Z194" s="315" t="str">
        <f t="shared" ca="1" si="81"/>
        <v/>
      </c>
      <c r="AA194" s="316" t="str">
        <f t="shared" ca="1" si="82"/>
        <v/>
      </c>
      <c r="AC194" s="310" t="e">
        <f t="shared" ca="1" si="83"/>
        <v>#N/A</v>
      </c>
      <c r="AD194" s="323" t="e">
        <f t="shared" ca="1" si="84"/>
        <v>#N/A</v>
      </c>
      <c r="AE194" s="324">
        <f t="shared" ca="1" si="63"/>
        <v>150.89949529788302</v>
      </c>
      <c r="AG194" s="306">
        <f t="shared" ca="1" si="85"/>
        <v>74.043760571650992</v>
      </c>
      <c r="AH194" s="304">
        <f t="shared" ca="1" si="86"/>
        <v>83.798007544910121</v>
      </c>
    </row>
    <row r="195" spans="1:34" x14ac:dyDescent="0.2">
      <c r="A195" s="347">
        <f t="shared" ca="1" si="64"/>
        <v>0.01</v>
      </c>
      <c r="B195" s="304">
        <f t="shared" ca="1" si="65"/>
        <v>1.9100000000000015</v>
      </c>
      <c r="D195" s="306">
        <f t="shared" ca="1" si="66"/>
        <v>8.9099075169999775</v>
      </c>
      <c r="E195" s="307">
        <f t="shared" ca="1" si="67"/>
        <v>73.35270462834265</v>
      </c>
      <c r="F195" s="304">
        <f t="shared" ca="1" si="68"/>
        <v>73.891851568724235</v>
      </c>
      <c r="G195" s="306">
        <f t="shared" ca="1" si="69"/>
        <v>16.831681909093934</v>
      </c>
      <c r="H195" s="307">
        <f t="shared" ca="1" si="70"/>
        <v>157.00433774511222</v>
      </c>
      <c r="I195" s="304">
        <f t="shared" ca="1" si="71"/>
        <v>157.90398217483366</v>
      </c>
      <c r="J195" s="306">
        <f t="shared" ca="1" si="72"/>
        <v>15.46804608072604</v>
      </c>
      <c r="K195" s="307">
        <f t="shared" ca="1" si="73"/>
        <v>152.46587104010274</v>
      </c>
      <c r="L195" s="304">
        <f t="shared" ca="1" si="58"/>
        <v>153.2484984643331</v>
      </c>
      <c r="M195" s="306">
        <f t="shared" ca="1" si="74"/>
        <v>1.4639990162197589</v>
      </c>
      <c r="N195" s="304">
        <f t="shared" ca="1" si="75"/>
        <v>83.880964840696734</v>
      </c>
      <c r="P195" s="310">
        <f t="shared" ca="1" si="76"/>
        <v>7</v>
      </c>
      <c r="Q195" s="304">
        <f t="shared" ca="1" si="77"/>
        <v>919.66623376623352</v>
      </c>
      <c r="R195" s="306">
        <f t="shared" ca="1" si="78"/>
        <v>0.46069048573557425</v>
      </c>
      <c r="S195" s="307">
        <f t="shared" ca="1" si="79"/>
        <v>10.053597497086841</v>
      </c>
      <c r="T195" s="304">
        <f t="shared" ca="1" si="59"/>
        <v>98.625791446421914</v>
      </c>
      <c r="U195" s="311">
        <f t="shared" ca="1" si="60"/>
        <v>0</v>
      </c>
      <c r="V195" s="306">
        <f t="shared" ca="1" si="61"/>
        <v>1.2064642343801193</v>
      </c>
      <c r="W195" s="304">
        <f t="shared" ca="1" si="62"/>
        <v>79.527168593641392</v>
      </c>
      <c r="Y195" s="314" t="str">
        <f t="shared" ca="1" si="80"/>
        <v/>
      </c>
      <c r="Z195" s="315" t="str">
        <f t="shared" ca="1" si="81"/>
        <v/>
      </c>
      <c r="AA195" s="316" t="str">
        <f t="shared" ca="1" si="82"/>
        <v/>
      </c>
      <c r="AC195" s="310" t="e">
        <f t="shared" ca="1" si="83"/>
        <v>#N/A</v>
      </c>
      <c r="AD195" s="323" t="e">
        <f t="shared" ca="1" si="84"/>
        <v>#N/A</v>
      </c>
      <c r="AE195" s="324">
        <f t="shared" ca="1" si="63"/>
        <v>152.46587104010274</v>
      </c>
      <c r="AG195" s="306">
        <f t="shared" ca="1" si="85"/>
        <v>73.884461207450983</v>
      </c>
      <c r="AH195" s="304">
        <f t="shared" ca="1" si="86"/>
        <v>83.638638756632432</v>
      </c>
    </row>
    <row r="196" spans="1:34" x14ac:dyDescent="0.2">
      <c r="A196" s="347">
        <f t="shared" ca="1" si="64"/>
        <v>0.01</v>
      </c>
      <c r="B196" s="304">
        <f t="shared" ca="1" si="65"/>
        <v>1.9200000000000015</v>
      </c>
      <c r="D196" s="306">
        <f t="shared" ca="1" si="66"/>
        <v>8.8983853869023477</v>
      </c>
      <c r="E196" s="307">
        <f t="shared" ca="1" si="67"/>
        <v>73.193297722526552</v>
      </c>
      <c r="F196" s="304">
        <f t="shared" ca="1" si="68"/>
        <v>73.732218832693817</v>
      </c>
      <c r="G196" s="306">
        <f t="shared" ca="1" si="69"/>
        <v>16.920665762962958</v>
      </c>
      <c r="H196" s="307">
        <f t="shared" ca="1" si="70"/>
        <v>157.73627072233748</v>
      </c>
      <c r="I196" s="304">
        <f t="shared" ca="1" si="71"/>
        <v>158.64123055262917</v>
      </c>
      <c r="J196" s="306">
        <f t="shared" ca="1" si="72"/>
        <v>15.636807819086325</v>
      </c>
      <c r="K196" s="307">
        <f t="shared" ca="1" si="73"/>
        <v>154.03957408244</v>
      </c>
      <c r="L196" s="304">
        <f t="shared" ref="L196:L259" ca="1" si="87">SQRT(pos_x^2+pos_z^2)</f>
        <v>154.83119886596035</v>
      </c>
      <c r="M196" s="306">
        <f t="shared" ca="1" si="74"/>
        <v>1.4639331007471568</v>
      </c>
      <c r="N196" s="304">
        <f t="shared" ca="1" si="75"/>
        <v>83.877188162312024</v>
      </c>
      <c r="P196" s="310">
        <f t="shared" ca="1" si="76"/>
        <v>7</v>
      </c>
      <c r="Q196" s="304">
        <f t="shared" ca="1" si="77"/>
        <v>918.40649350649323</v>
      </c>
      <c r="R196" s="306">
        <f t="shared" ca="1" si="78"/>
        <v>0.46005944119914094</v>
      </c>
      <c r="S196" s="307">
        <f t="shared" ca="1" si="79"/>
        <v>10.048996902674849</v>
      </c>
      <c r="T196" s="304">
        <f t="shared" ref="T196:T259" ca="1" si="88">m*g</f>
        <v>98.580659615240279</v>
      </c>
      <c r="U196" s="311">
        <f t="shared" ref="U196:U259" ca="1" si="89">IF(pos_xz&lt;L_rampe,Poids*COS(Beta),0)</f>
        <v>0</v>
      </c>
      <c r="V196" s="306">
        <f t="shared" ref="V196:V259" ca="1" si="90">Rho_moyen*(20000-Alt_rampe-pos_z)/(20000+Alt_rampe+pos_z)</f>
        <v>1.2062743765281032</v>
      </c>
      <c r="W196" s="304">
        <f t="shared" ref="W196:W259" ca="1" si="91">1/2*Rho*Sref*Cx*vit_xz^2</f>
        <v>80.258889471136968</v>
      </c>
      <c r="Y196" s="314" t="str">
        <f t="shared" ca="1" si="80"/>
        <v/>
      </c>
      <c r="Z196" s="315" t="str">
        <f t="shared" ca="1" si="81"/>
        <v/>
      </c>
      <c r="AA196" s="316" t="str">
        <f t="shared" ca="1" si="82"/>
        <v/>
      </c>
      <c r="AC196" s="310" t="e">
        <f t="shared" ca="1" si="83"/>
        <v>#N/A</v>
      </c>
      <c r="AD196" s="323" t="e">
        <f t="shared" ca="1" si="84"/>
        <v>#N/A</v>
      </c>
      <c r="AE196" s="324">
        <f t="shared" ref="AE196:AE259" ca="1" si="92">IF(t&lt;T_para, pos_z, NA())</f>
        <v>154.03957408244</v>
      </c>
      <c r="AG196" s="306">
        <f t="shared" ca="1" si="85"/>
        <v>73.724803315937933</v>
      </c>
      <c r="AH196" s="304">
        <f t="shared" ca="1" si="86"/>
        <v>83.478911680185547</v>
      </c>
    </row>
    <row r="197" spans="1:34" x14ac:dyDescent="0.2">
      <c r="A197" s="347">
        <f t="shared" ref="A197:A260" ca="1" si="93">IF(B196+0.01&lt;=T_ini+ROUNDUP(Temps_fin_propu,0), 0.01, IF(K196&gt;0, 0.1, 0.0001))</f>
        <v>0.01</v>
      </c>
      <c r="B197" s="304">
        <f t="shared" ref="B197:B260" ca="1" si="94">B196+pas</f>
        <v>1.9300000000000015</v>
      </c>
      <c r="D197" s="306">
        <f t="shared" ref="D197:D260" ca="1" si="95">IF(AND(L196&lt;L_rampe,Poussee&lt;Poids*SIN(M196)),0,(-W196+Poussee)/m*COS(M196)-U196/m*SIN(M196))</f>
        <v>8.8867821539985048</v>
      </c>
      <c r="E197" s="307">
        <f t="shared" ref="E197:E260" ca="1" si="96">IF(AND(L196&lt;L_rampe,Poussee&lt;Poids*SIN(M196)),0,(-W196+Poussee)/m*SIN(M196)+U196/m*COS(M196)-Poids/m)</f>
        <v>73.033541461697368</v>
      </c>
      <c r="F197" s="304">
        <f t="shared" ref="F197:F260" ca="1" si="97">SQRT(acc_x^2+acc_z^2)</f>
        <v>73.572230328365706</v>
      </c>
      <c r="G197" s="306">
        <f t="shared" ref="G197:G260" ca="1" si="98">G196+acc_x*pas</f>
        <v>17.009533584502943</v>
      </c>
      <c r="H197" s="307">
        <f t="shared" ref="H197:H260" ca="1" si="99">H196+acc_z*pas</f>
        <v>158.46660613695445</v>
      </c>
      <c r="I197" s="304">
        <f t="shared" ref="I197:I260" ca="1" si="100">SQRT(vit_x^2+vit_z^2)</f>
        <v>159.3768787915204</v>
      </c>
      <c r="J197" s="306">
        <f t="shared" ref="J197:J260" ca="1" si="101">J196+0.5*(vit_x+G196)*pas*(K196&gt;=0)</f>
        <v>15.806458815823655</v>
      </c>
      <c r="K197" s="307">
        <f t="shared" ref="K197:K260" ca="1" si="102">K196+0.5*(vit_z+H196)*pas</f>
        <v>155.62058846673645</v>
      </c>
      <c r="L197" s="304">
        <f t="shared" ca="1" si="87"/>
        <v>156.42126356422798</v>
      </c>
      <c r="M197" s="306">
        <f t="shared" ref="M197:M260" ca="1" si="103">IF(AND(L196&gt;L_rampe,G197&gt;0),ATAN2(G197,H197),$M$4)</f>
        <v>1.4638674491845887</v>
      </c>
      <c r="N197" s="304">
        <f t="shared" ref="N197:N260" ca="1" si="104">DEGREES(Beta)</f>
        <v>83.873426604858437</v>
      </c>
      <c r="P197" s="310">
        <f t="shared" ref="P197:P260" ca="1" si="105">MATCH(t-pas/2-T_ini,CdP_t)</f>
        <v>7</v>
      </c>
      <c r="Q197" s="304">
        <f t="shared" ref="Q197:Q260" ca="1" si="106">(INDEX(CdP,2,i_P+1)-INDEX(CdP,2,i_P+0))/(INDEX(CdP,1,i_P+1)-INDEX(CdP,1,i_P+0))*(t-pas/2-T_ini-INDEX(CdP,1,i_P+0))+INDEX(CdP,2,i_P+0)</f>
        <v>917.14675324675295</v>
      </c>
      <c r="R197" s="306">
        <f t="shared" ref="R197:R260" ca="1" si="107">Poussee/(g*ISP)</f>
        <v>0.45942839666270757</v>
      </c>
      <c r="S197" s="307">
        <f t="shared" ref="S197:S260" ca="1" si="108">S196-Débit*pas</f>
        <v>10.044402618708222</v>
      </c>
      <c r="T197" s="304">
        <f t="shared" ca="1" si="88"/>
        <v>98.535589689527669</v>
      </c>
      <c r="U197" s="311">
        <f t="shared" ca="1" si="89"/>
        <v>0</v>
      </c>
      <c r="V197" s="306">
        <f t="shared" ca="1" si="90"/>
        <v>1.206083666460676</v>
      </c>
      <c r="W197" s="304">
        <f t="shared" ca="1" si="91"/>
        <v>80.992158693010452</v>
      </c>
      <c r="Y197" s="314" t="str">
        <f t="shared" ref="Y197:Y260" ca="1" si="109">IF(AND(pos_z&lt;=0,K196&gt;0),"Impact balistique","") &amp; IF(AND(H198&lt;0,vit_z&gt;=0),"Apogée","") &amp; IF(AND(Poussee=0,Q196&gt;0),"Fin de propulsion","") &amp; IF(AND(L198&gt;L_rampe,pos_xz&lt;=L_rampe),"Sortie de rampe","")</f>
        <v/>
      </c>
      <c r="Z197" s="315" t="str">
        <f t="shared" ref="Z197:Z260" ca="1" si="110">IF(ABS(t-T_para)&lt;pas/2,"Para","")</f>
        <v/>
      </c>
      <c r="AA197" s="316" t="str">
        <f t="shared" ref="AA197:AA260" ca="1" si="111">IF(ABS(t-T_satellite)&lt;pas/2,"Satellite","")</f>
        <v/>
      </c>
      <c r="AC197" s="310" t="e">
        <f t="shared" ref="AC197:AC260" ca="1" si="112">IF(ABS(t-ROUND(t,0))&lt;0.001,t,NA())</f>
        <v>#N/A</v>
      </c>
      <c r="AD197" s="323" t="e">
        <f t="shared" ref="AD197:AD260" ca="1" si="113">IF(ABS(t-ROUND(t,0))&lt;0.001,pos_x,NA())</f>
        <v>#N/A</v>
      </c>
      <c r="AE197" s="324">
        <f t="shared" ca="1" si="92"/>
        <v>155.62058846673645</v>
      </c>
      <c r="AG197" s="306">
        <f t="shared" ref="AG197:AG260" ca="1" si="114">IF(AND(L196&lt;L_rampe,Poussee&lt;Poids*SIN(M196)),0,(-W196+Poussee)/m-Poids*SIN(M196)/m)</f>
        <v>73.564789542386805</v>
      </c>
      <c r="AH197" s="304">
        <f t="shared" ref="AH197:AH260" ca="1" si="115">IF(AND(L196&lt;L_rampe,Poussee&lt;Poids*SIN(M196)), g*SIN(M196), (-W196+Poussee)/m)</f>
        <v>83.318828958216869</v>
      </c>
    </row>
    <row r="198" spans="1:34" x14ac:dyDescent="0.2">
      <c r="A198" s="347">
        <f t="shared" ca="1" si="93"/>
        <v>0.01</v>
      </c>
      <c r="B198" s="304">
        <f t="shared" ca="1" si="94"/>
        <v>1.9400000000000015</v>
      </c>
      <c r="D198" s="306">
        <f t="shared" ca="1" si="95"/>
        <v>8.8750984040372281</v>
      </c>
      <c r="E198" s="307">
        <f t="shared" ca="1" si="96"/>
        <v>72.873438451283036</v>
      </c>
      <c r="F198" s="304">
        <f t="shared" ca="1" si="97"/>
        <v>73.411888706082749</v>
      </c>
      <c r="G198" s="306">
        <f t="shared" ca="1" si="98"/>
        <v>17.098284568543317</v>
      </c>
      <c r="H198" s="307">
        <f t="shared" ca="1" si="99"/>
        <v>159.19534052146727</v>
      </c>
      <c r="I198" s="304">
        <f t="shared" ca="1" si="100"/>
        <v>160.11092335919122</v>
      </c>
      <c r="J198" s="306">
        <f t="shared" ca="1" si="101"/>
        <v>15.976997906588887</v>
      </c>
      <c r="K198" s="307">
        <f t="shared" ca="1" si="102"/>
        <v>157.20889820002856</v>
      </c>
      <c r="L198" s="304">
        <f t="shared" ca="1" si="87"/>
        <v>158.01867653974983</v>
      </c>
      <c r="M198" s="306">
        <f t="shared" ca="1" si="103"/>
        <v>1.4638020586130591</v>
      </c>
      <c r="N198" s="304">
        <f t="shared" ca="1" si="104"/>
        <v>83.869680001089847</v>
      </c>
      <c r="P198" s="310">
        <f t="shared" ca="1" si="105"/>
        <v>7</v>
      </c>
      <c r="Q198" s="304">
        <f t="shared" ca="1" si="106"/>
        <v>915.88701298701278</v>
      </c>
      <c r="R198" s="306">
        <f t="shared" ca="1" si="107"/>
        <v>0.45879735212627432</v>
      </c>
      <c r="S198" s="307">
        <f t="shared" ca="1" si="108"/>
        <v>10.03981464518696</v>
      </c>
      <c r="T198" s="304">
        <f t="shared" ca="1" si="88"/>
        <v>98.490581669284083</v>
      </c>
      <c r="U198" s="311">
        <f t="shared" ca="1" si="89"/>
        <v>0</v>
      </c>
      <c r="V198" s="306">
        <f t="shared" ca="1" si="90"/>
        <v>1.2058921065145849</v>
      </c>
      <c r="W198" s="304">
        <f t="shared" ca="1" si="91"/>
        <v>81.726947840935736</v>
      </c>
      <c r="Y198" s="314" t="str">
        <f t="shared" ca="1" si="109"/>
        <v/>
      </c>
      <c r="Z198" s="315" t="str">
        <f t="shared" ca="1" si="110"/>
        <v/>
      </c>
      <c r="AA198" s="316" t="str">
        <f t="shared" ca="1" si="111"/>
        <v/>
      </c>
      <c r="AC198" s="310" t="e">
        <f t="shared" ca="1" si="112"/>
        <v>#N/A</v>
      </c>
      <c r="AD198" s="323" t="e">
        <f t="shared" ca="1" si="113"/>
        <v>#N/A</v>
      </c>
      <c r="AE198" s="324">
        <f t="shared" ca="1" si="92"/>
        <v>157.20889820002856</v>
      </c>
      <c r="AG198" s="306">
        <f t="shared" ca="1" si="114"/>
        <v>73.404422535954069</v>
      </c>
      <c r="AH198" s="304">
        <f t="shared" ca="1" si="115"/>
        <v>83.158393237294177</v>
      </c>
    </row>
    <row r="199" spans="1:34" x14ac:dyDescent="0.2">
      <c r="A199" s="347">
        <f t="shared" ca="1" si="93"/>
        <v>0.01</v>
      </c>
      <c r="B199" s="304">
        <f t="shared" ca="1" si="94"/>
        <v>1.9500000000000015</v>
      </c>
      <c r="D199" s="306">
        <f t="shared" ca="1" si="95"/>
        <v>8.8633347187632356</v>
      </c>
      <c r="E199" s="307">
        <f t="shared" ca="1" si="96"/>
        <v>72.712991300844095</v>
      </c>
      <c r="F199" s="304">
        <f t="shared" ca="1" si="97"/>
        <v>73.251196619942405</v>
      </c>
      <c r="G199" s="306">
        <f t="shared" ca="1" si="98"/>
        <v>17.186917915730948</v>
      </c>
      <c r="H199" s="307">
        <f t="shared" ca="1" si="99"/>
        <v>159.92247043447571</v>
      </c>
      <c r="I199" s="304">
        <f t="shared" ca="1" si="100"/>
        <v>160.8433607498545</v>
      </c>
      <c r="J199" s="306">
        <f t="shared" ca="1" si="101"/>
        <v>16.148423919010259</v>
      </c>
      <c r="K199" s="307">
        <f t="shared" ca="1" si="102"/>
        <v>158.80448725480827</v>
      </c>
      <c r="L199" s="304">
        <f t="shared" ca="1" si="87"/>
        <v>159.62342173794741</v>
      </c>
      <c r="M199" s="306">
        <f t="shared" ca="1" si="103"/>
        <v>1.463736926158151</v>
      </c>
      <c r="N199" s="304">
        <f t="shared" ca="1" si="104"/>
        <v>83.865948186314284</v>
      </c>
      <c r="P199" s="310">
        <f t="shared" ca="1" si="105"/>
        <v>7</v>
      </c>
      <c r="Q199" s="304">
        <f t="shared" ca="1" si="106"/>
        <v>914.6272727272725</v>
      </c>
      <c r="R199" s="306">
        <f t="shared" ca="1" si="107"/>
        <v>0.45816630758984095</v>
      </c>
      <c r="S199" s="307">
        <f t="shared" ca="1" si="108"/>
        <v>10.035232982111062</v>
      </c>
      <c r="T199" s="304">
        <f t="shared" ca="1" si="88"/>
        <v>98.445635554509522</v>
      </c>
      <c r="U199" s="311">
        <f t="shared" ca="1" si="89"/>
        <v>0</v>
      </c>
      <c r="V199" s="306">
        <f t="shared" ca="1" si="90"/>
        <v>1.2056996990312463</v>
      </c>
      <c r="W199" s="304">
        <f t="shared" ca="1" si="91"/>
        <v>82.463228521784245</v>
      </c>
      <c r="Y199" s="314" t="str">
        <f t="shared" ca="1" si="109"/>
        <v/>
      </c>
      <c r="Z199" s="315" t="str">
        <f t="shared" ca="1" si="110"/>
        <v/>
      </c>
      <c r="AA199" s="316" t="str">
        <f t="shared" ca="1" si="111"/>
        <v/>
      </c>
      <c r="AC199" s="310" t="e">
        <f t="shared" ca="1" si="112"/>
        <v>#N/A</v>
      </c>
      <c r="AD199" s="323" t="e">
        <f t="shared" ca="1" si="113"/>
        <v>#N/A</v>
      </c>
      <c r="AE199" s="324">
        <f t="shared" ca="1" si="92"/>
        <v>158.80448725480827</v>
      </c>
      <c r="AG199" s="306">
        <f t="shared" ca="1" si="114"/>
        <v>73.243704949546327</v>
      </c>
      <c r="AH199" s="304">
        <f t="shared" ca="1" si="115"/>
        <v>82.997607167773367</v>
      </c>
    </row>
    <row r="200" spans="1:34" x14ac:dyDescent="0.2">
      <c r="A200" s="347">
        <f t="shared" ca="1" si="93"/>
        <v>0.01</v>
      </c>
      <c r="B200" s="304">
        <f t="shared" ca="1" si="94"/>
        <v>1.9600000000000015</v>
      </c>
      <c r="D200" s="306">
        <f t="shared" ca="1" si="95"/>
        <v>8.8514916760015048</v>
      </c>
      <c r="E200" s="307">
        <f t="shared" ca="1" si="96"/>
        <v>72.552202623934363</v>
      </c>
      <c r="F200" s="304">
        <f t="shared" ca="1" si="97"/>
        <v>73.090156727665814</v>
      </c>
      <c r="G200" s="306">
        <f t="shared" ca="1" si="98"/>
        <v>17.275432832490964</v>
      </c>
      <c r="H200" s="307">
        <f t="shared" ca="1" si="99"/>
        <v>160.64799246071505</v>
      </c>
      <c r="I200" s="304">
        <f t="shared" ca="1" si="100"/>
        <v>161.57418748428805</v>
      </c>
      <c r="J200" s="306">
        <f t="shared" ca="1" si="101"/>
        <v>16.320735672751368</v>
      </c>
      <c r="K200" s="307">
        <f t="shared" ca="1" si="102"/>
        <v>160.40733956928423</v>
      </c>
      <c r="L200" s="304">
        <f t="shared" ca="1" si="87"/>
        <v>161.23548306931536</v>
      </c>
      <c r="M200" s="306">
        <f t="shared" ca="1" si="103"/>
        <v>1.4636720489891042</v>
      </c>
      <c r="N200" s="304">
        <f t="shared" ca="1" si="104"/>
        <v>83.862230998341147</v>
      </c>
      <c r="P200" s="310">
        <f t="shared" ca="1" si="105"/>
        <v>7</v>
      </c>
      <c r="Q200" s="304">
        <f t="shared" ca="1" si="106"/>
        <v>913.36753246753221</v>
      </c>
      <c r="R200" s="306">
        <f t="shared" ca="1" si="107"/>
        <v>0.45753526305340764</v>
      </c>
      <c r="S200" s="307">
        <f t="shared" ca="1" si="108"/>
        <v>10.030657629480528</v>
      </c>
      <c r="T200" s="304">
        <f t="shared" ca="1" si="88"/>
        <v>98.400751345203986</v>
      </c>
      <c r="U200" s="311">
        <f t="shared" ca="1" si="89"/>
        <v>0</v>
      </c>
      <c r="V200" s="306">
        <f t="shared" ca="1" si="90"/>
        <v>1.2055064463566967</v>
      </c>
      <c r="W200" s="304">
        <f t="shared" ca="1" si="91"/>
        <v>83.20097236886312</v>
      </c>
      <c r="Y200" s="314" t="str">
        <f t="shared" ca="1" si="109"/>
        <v/>
      </c>
      <c r="Z200" s="315" t="str">
        <f t="shared" ca="1" si="110"/>
        <v/>
      </c>
      <c r="AA200" s="316" t="str">
        <f t="shared" ca="1" si="111"/>
        <v/>
      </c>
      <c r="AC200" s="310" t="e">
        <f t="shared" ca="1" si="112"/>
        <v>#N/A</v>
      </c>
      <c r="AD200" s="323" t="e">
        <f t="shared" ca="1" si="113"/>
        <v>#N/A</v>
      </c>
      <c r="AE200" s="324">
        <f t="shared" ca="1" si="92"/>
        <v>160.40733956928423</v>
      </c>
      <c r="AG200" s="306">
        <f t="shared" ca="1" si="114"/>
        <v>73.082639439689032</v>
      </c>
      <c r="AH200" s="304">
        <f t="shared" ca="1" si="115"/>
        <v>82.836473403666474</v>
      </c>
    </row>
    <row r="201" spans="1:34" x14ac:dyDescent="0.2">
      <c r="A201" s="347">
        <f t="shared" ca="1" si="93"/>
        <v>0.01</v>
      </c>
      <c r="B201" s="304">
        <f t="shared" ca="1" si="94"/>
        <v>1.9700000000000015</v>
      </c>
      <c r="D201" s="306">
        <f t="shared" ca="1" si="95"/>
        <v>8.8395698497391297</v>
      </c>
      <c r="E201" s="307">
        <f t="shared" ca="1" si="96"/>
        <v>72.391075037961684</v>
      </c>
      <c r="F201" s="304">
        <f t="shared" ca="1" si="97"/>
        <v>72.928771690466689</v>
      </c>
      <c r="G201" s="306">
        <f t="shared" ca="1" si="98"/>
        <v>17.363828530988354</v>
      </c>
      <c r="H201" s="307">
        <f t="shared" ca="1" si="99"/>
        <v>161.37190321109466</v>
      </c>
      <c r="I201" s="304">
        <f t="shared" ca="1" si="100"/>
        <v>162.30340010986976</v>
      </c>
      <c r="J201" s="306">
        <f t="shared" ca="1" si="101"/>
        <v>16.493931979568764</v>
      </c>
      <c r="K201" s="307">
        <f t="shared" ca="1" si="102"/>
        <v>162.01743904764328</v>
      </c>
      <c r="L201" s="304">
        <f t="shared" ca="1" si="87"/>
        <v>162.85484440968725</v>
      </c>
      <c r="M201" s="306">
        <f t="shared" ca="1" si="103"/>
        <v>1.4636074243179196</v>
      </c>
      <c r="N201" s="304">
        <f t="shared" ca="1" si="104"/>
        <v>83.858528277429841</v>
      </c>
      <c r="P201" s="310">
        <f t="shared" ca="1" si="105"/>
        <v>7</v>
      </c>
      <c r="Q201" s="304">
        <f t="shared" ca="1" si="106"/>
        <v>912.10779220779193</v>
      </c>
      <c r="R201" s="306">
        <f t="shared" ca="1" si="107"/>
        <v>0.45690421851697427</v>
      </c>
      <c r="S201" s="307">
        <f t="shared" ca="1" si="108"/>
        <v>10.026088587295359</v>
      </c>
      <c r="T201" s="304">
        <f t="shared" ca="1" si="88"/>
        <v>98.355929041367474</v>
      </c>
      <c r="U201" s="311">
        <f t="shared" ca="1" si="89"/>
        <v>0</v>
      </c>
      <c r="V201" s="306">
        <f t="shared" ca="1" si="90"/>
        <v>1.20531235084154</v>
      </c>
      <c r="W201" s="304">
        <f t="shared" ca="1" si="91"/>
        <v>83.940151043147807</v>
      </c>
      <c r="Y201" s="314" t="str">
        <f t="shared" ca="1" si="109"/>
        <v/>
      </c>
      <c r="Z201" s="315" t="str">
        <f t="shared" ca="1" si="110"/>
        <v/>
      </c>
      <c r="AA201" s="316" t="str">
        <f t="shared" ca="1" si="111"/>
        <v/>
      </c>
      <c r="AC201" s="310" t="e">
        <f t="shared" ca="1" si="112"/>
        <v>#N/A</v>
      </c>
      <c r="AD201" s="323" t="e">
        <f t="shared" ca="1" si="113"/>
        <v>#N/A</v>
      </c>
      <c r="AE201" s="324">
        <f t="shared" ca="1" si="92"/>
        <v>162.01743904764328</v>
      </c>
      <c r="AG201" s="306">
        <f t="shared" ca="1" si="114"/>
        <v>72.921228666395365</v>
      </c>
      <c r="AH201" s="304">
        <f t="shared" ca="1" si="115"/>
        <v>82.674994602509798</v>
      </c>
    </row>
    <row r="202" spans="1:34" x14ac:dyDescent="0.2">
      <c r="A202" s="347">
        <f t="shared" ca="1" si="93"/>
        <v>0.01</v>
      </c>
      <c r="B202" s="304">
        <f t="shared" ca="1" si="94"/>
        <v>1.9800000000000015</v>
      </c>
      <c r="D202" s="306">
        <f t="shared" ca="1" si="95"/>
        <v>8.827569810204551</v>
      </c>
      <c r="E202" s="307">
        <f t="shared" ca="1" si="96"/>
        <v>72.229611164049345</v>
      </c>
      <c r="F202" s="304">
        <f t="shared" ca="1" si="97"/>
        <v>72.767044172920734</v>
      </c>
      <c r="G202" s="306">
        <f t="shared" ca="1" si="98"/>
        <v>17.452104229090398</v>
      </c>
      <c r="H202" s="307">
        <f t="shared" ca="1" si="99"/>
        <v>162.09419932273516</v>
      </c>
      <c r="I202" s="304">
        <f t="shared" ca="1" si="100"/>
        <v>163.03099520061096</v>
      </c>
      <c r="J202" s="306">
        <f t="shared" ca="1" si="101"/>
        <v>16.668011643369159</v>
      </c>
      <c r="K202" s="307">
        <f t="shared" ca="1" si="102"/>
        <v>163.63476956031244</v>
      </c>
      <c r="L202" s="304">
        <f t="shared" ca="1" si="87"/>
        <v>164.48148960050199</v>
      </c>
      <c r="M202" s="306">
        <f t="shared" ca="1" si="103"/>
        <v>1.4635430493984845</v>
      </c>
      <c r="N202" s="304">
        <f t="shared" ca="1" si="104"/>
        <v>83.854839866239715</v>
      </c>
      <c r="P202" s="310">
        <f t="shared" ca="1" si="105"/>
        <v>7</v>
      </c>
      <c r="Q202" s="304">
        <f t="shared" ca="1" si="106"/>
        <v>910.84805194805176</v>
      </c>
      <c r="R202" s="306">
        <f t="shared" ca="1" si="107"/>
        <v>0.45627317398054101</v>
      </c>
      <c r="S202" s="307">
        <f t="shared" ca="1" si="108"/>
        <v>10.021525855555554</v>
      </c>
      <c r="T202" s="304">
        <f t="shared" ca="1" si="88"/>
        <v>98.311168642999988</v>
      </c>
      <c r="U202" s="311">
        <f t="shared" ca="1" si="89"/>
        <v>0</v>
      </c>
      <c r="V202" s="306">
        <f t="shared" ca="1" si="90"/>
        <v>1.2051174148409007</v>
      </c>
      <c r="W202" s="304">
        <f t="shared" ca="1" si="91"/>
        <v>84.680736234508444</v>
      </c>
      <c r="Y202" s="314" t="str">
        <f t="shared" ca="1" si="109"/>
        <v/>
      </c>
      <c r="Z202" s="315" t="str">
        <f t="shared" ca="1" si="110"/>
        <v/>
      </c>
      <c r="AA202" s="316" t="str">
        <f t="shared" ca="1" si="111"/>
        <v/>
      </c>
      <c r="AC202" s="310" t="e">
        <f t="shared" ca="1" si="112"/>
        <v>#N/A</v>
      </c>
      <c r="AD202" s="323" t="e">
        <f t="shared" ca="1" si="113"/>
        <v>#N/A</v>
      </c>
      <c r="AE202" s="324">
        <f t="shared" ca="1" si="92"/>
        <v>163.63476956031244</v>
      </c>
      <c r="AG202" s="306">
        <f t="shared" ca="1" si="114"/>
        <v>72.759475293035322</v>
      </c>
      <c r="AH202" s="304">
        <f t="shared" ca="1" si="115"/>
        <v>82.513173425232196</v>
      </c>
    </row>
    <row r="203" spans="1:34" x14ac:dyDescent="0.2">
      <c r="A203" s="347">
        <f t="shared" ca="1" si="93"/>
        <v>0.01</v>
      </c>
      <c r="B203" s="304">
        <f t="shared" ca="1" si="94"/>
        <v>1.9900000000000015</v>
      </c>
      <c r="D203" s="306">
        <f t="shared" ca="1" si="95"/>
        <v>8.8154921239444803</v>
      </c>
      <c r="E203" s="307">
        <f t="shared" ca="1" si="96"/>
        <v>72.067813626897731</v>
      </c>
      <c r="F203" s="304">
        <f t="shared" ca="1" si="97"/>
        <v>72.604976842834915</v>
      </c>
      <c r="G203" s="306">
        <f t="shared" ca="1" si="98"/>
        <v>17.540259150329842</v>
      </c>
      <c r="H203" s="307">
        <f t="shared" ca="1" si="99"/>
        <v>162.81487745900415</v>
      </c>
      <c r="I203" s="304">
        <f t="shared" ca="1" si="100"/>
        <v>163.75696935718878</v>
      </c>
      <c r="J203" s="306">
        <f t="shared" ca="1" si="101"/>
        <v>16.842973460266261</v>
      </c>
      <c r="K203" s="307">
        <f t="shared" ca="1" si="102"/>
        <v>165.25931494422113</v>
      </c>
      <c r="L203" s="304">
        <f t="shared" ca="1" si="87"/>
        <v>166.11540244907005</v>
      </c>
      <c r="M203" s="306">
        <f t="shared" ca="1" si="103"/>
        <v>1.4634789215257218</v>
      </c>
      <c r="N203" s="304">
        <f t="shared" ca="1" si="104"/>
        <v>83.851165609781262</v>
      </c>
      <c r="P203" s="310">
        <f t="shared" ca="1" si="105"/>
        <v>7</v>
      </c>
      <c r="Q203" s="304">
        <f t="shared" ca="1" si="106"/>
        <v>909.58831168831148</v>
      </c>
      <c r="R203" s="306">
        <f t="shared" ca="1" si="107"/>
        <v>0.45564212944410765</v>
      </c>
      <c r="S203" s="307">
        <f t="shared" ca="1" si="108"/>
        <v>10.016969434261114</v>
      </c>
      <c r="T203" s="304">
        <f t="shared" ca="1" si="88"/>
        <v>98.266470150101526</v>
      </c>
      <c r="U203" s="311">
        <f t="shared" ca="1" si="89"/>
        <v>0</v>
      </c>
      <c r="V203" s="306">
        <f t="shared" ca="1" si="90"/>
        <v>1.2049216407143701</v>
      </c>
      <c r="W203" s="304">
        <f t="shared" ca="1" si="91"/>
        <v>85.422699662930441</v>
      </c>
      <c r="Y203" s="314" t="str">
        <f t="shared" ca="1" si="109"/>
        <v/>
      </c>
      <c r="Z203" s="315" t="str">
        <f t="shared" ca="1" si="110"/>
        <v/>
      </c>
      <c r="AA203" s="316" t="str">
        <f t="shared" ca="1" si="111"/>
        <v/>
      </c>
      <c r="AC203" s="310" t="e">
        <f t="shared" ca="1" si="112"/>
        <v>#N/A</v>
      </c>
      <c r="AD203" s="323" t="e">
        <f t="shared" ca="1" si="113"/>
        <v>#N/A</v>
      </c>
      <c r="AE203" s="324">
        <f t="shared" ca="1" si="92"/>
        <v>165.25931494422113</v>
      </c>
      <c r="AG203" s="306">
        <f t="shared" ca="1" si="114"/>
        <v>72.597381986204937</v>
      </c>
      <c r="AH203" s="304">
        <f t="shared" ca="1" si="115"/>
        <v>82.351012536023674</v>
      </c>
    </row>
    <row r="204" spans="1:34" x14ac:dyDescent="0.2">
      <c r="A204" s="347">
        <f t="shared" ca="1" si="93"/>
        <v>0.01</v>
      </c>
      <c r="B204" s="304">
        <f t="shared" ca="1" si="94"/>
        <v>2.0000000000000013</v>
      </c>
      <c r="D204" s="306">
        <f t="shared" ca="1" si="95"/>
        <v>8.8033373538983515</v>
      </c>
      <c r="E204" s="307">
        <f t="shared" ca="1" si="96"/>
        <v>71.905685054646483</v>
      </c>
      <c r="F204" s="304">
        <f t="shared" ca="1" si="97"/>
        <v>72.442572371117194</v>
      </c>
      <c r="G204" s="306">
        <f t="shared" ca="1" si="98"/>
        <v>17.628292523868826</v>
      </c>
      <c r="H204" s="307">
        <f t="shared" ca="1" si="99"/>
        <v>163.5339343095506</v>
      </c>
      <c r="I204" s="304">
        <f t="shared" ca="1" si="100"/>
        <v>164.48131920697713</v>
      </c>
      <c r="J204" s="306">
        <f t="shared" ca="1" si="101"/>
        <v>17.018816218637255</v>
      </c>
      <c r="K204" s="307">
        <f t="shared" ca="1" si="102"/>
        <v>166.8910590030639</v>
      </c>
      <c r="L204" s="304">
        <f t="shared" ca="1" si="87"/>
        <v>167.75656672884048</v>
      </c>
      <c r="M204" s="306">
        <f t="shared" ca="1" si="103"/>
        <v>1.463415038034759</v>
      </c>
      <c r="N204" s="304">
        <f t="shared" ca="1" si="104"/>
        <v>83.84750535536854</v>
      </c>
      <c r="P204" s="310">
        <f t="shared" ca="1" si="105"/>
        <v>7</v>
      </c>
      <c r="Q204" s="304">
        <f t="shared" ca="1" si="106"/>
        <v>908.32857142857119</v>
      </c>
      <c r="R204" s="306">
        <f t="shared" ca="1" si="107"/>
        <v>0.45501108490767428</v>
      </c>
      <c r="S204" s="307">
        <f t="shared" ca="1" si="108"/>
        <v>10.012419323412036</v>
      </c>
      <c r="T204" s="304">
        <f t="shared" ca="1" si="88"/>
        <v>98.221833562672074</v>
      </c>
      <c r="U204" s="311">
        <f t="shared" ca="1" si="89"/>
        <v>0</v>
      </c>
      <c r="V204" s="306">
        <f t="shared" ca="1" si="90"/>
        <v>1.2047250308259603</v>
      </c>
      <c r="W204" s="304">
        <f t="shared" ca="1" si="91"/>
        <v>86.166013079729083</v>
      </c>
      <c r="Y204" s="314" t="str">
        <f t="shared" ca="1" si="109"/>
        <v/>
      </c>
      <c r="Z204" s="315" t="str">
        <f t="shared" ca="1" si="110"/>
        <v/>
      </c>
      <c r="AA204" s="316" t="str">
        <f t="shared" ca="1" si="111"/>
        <v/>
      </c>
      <c r="AC204" s="310">
        <f t="shared" ca="1" si="112"/>
        <v>2.0000000000000013</v>
      </c>
      <c r="AD204" s="323">
        <f t="shared" ca="1" si="113"/>
        <v>17.018816218637255</v>
      </c>
      <c r="AE204" s="324">
        <f t="shared" ca="1" si="92"/>
        <v>166.8910590030639</v>
      </c>
      <c r="AG204" s="306">
        <f t="shared" ca="1" si="114"/>
        <v>72.434951415595748</v>
      </c>
      <c r="AH204" s="304">
        <f t="shared" ca="1" si="115"/>
        <v>82.188514602204108</v>
      </c>
    </row>
    <row r="205" spans="1:34" x14ac:dyDescent="0.2">
      <c r="A205" s="347">
        <f t="shared" ca="1" si="93"/>
        <v>0.01</v>
      </c>
      <c r="B205" s="304">
        <f t="shared" ca="1" si="94"/>
        <v>2.0100000000000011</v>
      </c>
      <c r="D205" s="306">
        <f t="shared" ca="1" si="95"/>
        <v>8.7911060594706534</v>
      </c>
      <c r="E205" s="307">
        <f t="shared" ca="1" si="96"/>
        <v>71.743228078736891</v>
      </c>
      <c r="F205" s="304">
        <f t="shared" ca="1" si="97"/>
        <v>72.279833431646225</v>
      </c>
      <c r="G205" s="306">
        <f t="shared" ca="1" si="98"/>
        <v>17.716203584463532</v>
      </c>
      <c r="H205" s="307">
        <f t="shared" ca="1" si="99"/>
        <v>164.25136659033797</v>
      </c>
      <c r="I205" s="304">
        <f t="shared" ca="1" si="100"/>
        <v>165.20404140407626</v>
      </c>
      <c r="J205" s="306">
        <f t="shared" ca="1" si="101"/>
        <v>17.195538699178918</v>
      </c>
      <c r="K205" s="307">
        <f t="shared" ca="1" si="102"/>
        <v>168.52998550756334</v>
      </c>
      <c r="L205" s="304">
        <f t="shared" ca="1" si="87"/>
        <v>169.40496617966804</v>
      </c>
      <c r="M205" s="306">
        <f t="shared" ca="1" si="103"/>
        <v>1.4633513963001203</v>
      </c>
      <c r="N205" s="304">
        <f t="shared" ca="1" si="104"/>
        <v>83.843858952572845</v>
      </c>
      <c r="P205" s="310">
        <f t="shared" ca="1" si="105"/>
        <v>7</v>
      </c>
      <c r="Q205" s="304">
        <f t="shared" ca="1" si="106"/>
        <v>907.06883116883091</v>
      </c>
      <c r="R205" s="306">
        <f t="shared" ca="1" si="107"/>
        <v>0.45438004037124097</v>
      </c>
      <c r="S205" s="307">
        <f t="shared" ca="1" si="108"/>
        <v>10.007875523008323</v>
      </c>
      <c r="T205" s="304">
        <f t="shared" ca="1" si="88"/>
        <v>98.177258880711662</v>
      </c>
      <c r="U205" s="311">
        <f t="shared" ca="1" si="89"/>
        <v>0</v>
      </c>
      <c r="V205" s="306">
        <f t="shared" ca="1" si="90"/>
        <v>1.2045275875440489</v>
      </c>
      <c r="W205" s="304">
        <f t="shared" ca="1" si="91"/>
        <v>86.910648268757456</v>
      </c>
      <c r="Y205" s="314" t="str">
        <f t="shared" ca="1" si="109"/>
        <v/>
      </c>
      <c r="Z205" s="315" t="str">
        <f t="shared" ca="1" si="110"/>
        <v/>
      </c>
      <c r="AA205" s="316" t="str">
        <f t="shared" ca="1" si="111"/>
        <v/>
      </c>
      <c r="AC205" s="310" t="e">
        <f t="shared" ca="1" si="112"/>
        <v>#N/A</v>
      </c>
      <c r="AD205" s="323" t="e">
        <f t="shared" ca="1" si="113"/>
        <v>#N/A</v>
      </c>
      <c r="AE205" s="324">
        <f t="shared" ca="1" si="92"/>
        <v>168.52998550756334</v>
      </c>
      <c r="AG205" s="306">
        <f t="shared" ca="1" si="114"/>
        <v>72.272186253864362</v>
      </c>
      <c r="AH205" s="304">
        <f t="shared" ca="1" si="115"/>
        <v>82.025682294092135</v>
      </c>
    </row>
    <row r="206" spans="1:34" x14ac:dyDescent="0.2">
      <c r="A206" s="347">
        <f t="shared" ca="1" si="93"/>
        <v>0.01</v>
      </c>
      <c r="B206" s="304">
        <f t="shared" ca="1" si="94"/>
        <v>2.0200000000000009</v>
      </c>
      <c r="D206" s="306">
        <f t="shared" ca="1" si="95"/>
        <v>8.7787987966008636</v>
      </c>
      <c r="E206" s="307">
        <f t="shared" ca="1" si="96"/>
        <v>71.58044533377489</v>
      </c>
      <c r="F206" s="304">
        <f t="shared" ca="1" si="97"/>
        <v>72.116762701141383</v>
      </c>
      <c r="G206" s="306">
        <f t="shared" ca="1" si="98"/>
        <v>17.803991572429542</v>
      </c>
      <c r="H206" s="307">
        <f t="shared" ca="1" si="99"/>
        <v>164.96717104367571</v>
      </c>
      <c r="I206" s="304">
        <f t="shared" ca="1" si="100"/>
        <v>165.92513262934128</v>
      </c>
      <c r="J206" s="306">
        <f t="shared" ca="1" si="101"/>
        <v>17.373139674963383</v>
      </c>
      <c r="K206" s="307">
        <f t="shared" ca="1" si="102"/>
        <v>170.1760781957334</v>
      </c>
      <c r="L206" s="304">
        <f t="shared" ca="1" si="87"/>
        <v>171.06058450808052</v>
      </c>
      <c r="M206" s="306">
        <f t="shared" ca="1" si="103"/>
        <v>1.4632879937349377</v>
      </c>
      <c r="N206" s="304">
        <f t="shared" ca="1" si="104"/>
        <v>83.840226253177576</v>
      </c>
      <c r="P206" s="310">
        <f t="shared" ca="1" si="105"/>
        <v>7</v>
      </c>
      <c r="Q206" s="304">
        <f t="shared" ca="1" si="106"/>
        <v>905.80909090909074</v>
      </c>
      <c r="R206" s="306">
        <f t="shared" ca="1" si="107"/>
        <v>0.45374899583480766</v>
      </c>
      <c r="S206" s="307">
        <f t="shared" ca="1" si="108"/>
        <v>10.003338033049975</v>
      </c>
      <c r="T206" s="304">
        <f t="shared" ca="1" si="88"/>
        <v>98.13274610422026</v>
      </c>
      <c r="U206" s="311">
        <f t="shared" ca="1" si="89"/>
        <v>0</v>
      </c>
      <c r="V206" s="306">
        <f t="shared" ca="1" si="90"/>
        <v>1.2043293132413329</v>
      </c>
      <c r="W206" s="304">
        <f t="shared" ca="1" si="91"/>
        <v>87.656577047608877</v>
      </c>
      <c r="Y206" s="314" t="str">
        <f t="shared" ca="1" si="109"/>
        <v/>
      </c>
      <c r="Z206" s="315" t="str">
        <f t="shared" ca="1" si="110"/>
        <v/>
      </c>
      <c r="AA206" s="316" t="str">
        <f t="shared" ca="1" si="111"/>
        <v/>
      </c>
      <c r="AC206" s="310" t="e">
        <f t="shared" ca="1" si="112"/>
        <v>#N/A</v>
      </c>
      <c r="AD206" s="323" t="e">
        <f t="shared" ca="1" si="113"/>
        <v>#N/A</v>
      </c>
      <c r="AE206" s="324">
        <f t="shared" ca="1" si="92"/>
        <v>170.1760781957334</v>
      </c>
      <c r="AG206" s="306">
        <f t="shared" ca="1" si="114"/>
        <v>72.109089176502394</v>
      </c>
      <c r="AH206" s="304">
        <f t="shared" ca="1" si="115"/>
        <v>81.862518284874426</v>
      </c>
    </row>
    <row r="207" spans="1:34" x14ac:dyDescent="0.2">
      <c r="A207" s="347">
        <f t="shared" ca="1" si="93"/>
        <v>0.01</v>
      </c>
      <c r="B207" s="304">
        <f t="shared" ca="1" si="94"/>
        <v>2.0300000000000007</v>
      </c>
      <c r="D207" s="306">
        <f t="shared" ca="1" si="95"/>
        <v>8.7664161178313726</v>
      </c>
      <c r="E207" s="307">
        <f t="shared" ca="1" si="96"/>
        <v>71.417339457394434</v>
      </c>
      <c r="F207" s="304">
        <f t="shared" ca="1" si="97"/>
        <v>71.953362859033092</v>
      </c>
      <c r="G207" s="306">
        <f t="shared" ca="1" si="98"/>
        <v>17.891655733607855</v>
      </c>
      <c r="H207" s="307">
        <f t="shared" ca="1" si="99"/>
        <v>165.68134443824965</v>
      </c>
      <c r="I207" s="304">
        <f t="shared" ca="1" si="100"/>
        <v>166.64458959040903</v>
      </c>
      <c r="J207" s="306">
        <f t="shared" ca="1" si="101"/>
        <v>17.551617911493569</v>
      </c>
      <c r="K207" s="307">
        <f t="shared" ca="1" si="102"/>
        <v>171.82932077314302</v>
      </c>
      <c r="L207" s="304">
        <f t="shared" ca="1" si="87"/>
        <v>172.72340538754653</v>
      </c>
      <c r="M207" s="306">
        <f t="shared" ca="1" si="103"/>
        <v>1.4632248277901811</v>
      </c>
      <c r="N207" s="304">
        <f t="shared" ca="1" si="104"/>
        <v>83.836607111134072</v>
      </c>
      <c r="P207" s="310">
        <f t="shared" ca="1" si="105"/>
        <v>7</v>
      </c>
      <c r="Q207" s="304">
        <f t="shared" ca="1" si="106"/>
        <v>904.54935064935046</v>
      </c>
      <c r="R207" s="306">
        <f t="shared" ca="1" si="107"/>
        <v>0.45311795129837434</v>
      </c>
      <c r="S207" s="307">
        <f t="shared" ca="1" si="108"/>
        <v>9.9988068535369905</v>
      </c>
      <c r="T207" s="304">
        <f t="shared" ca="1" si="88"/>
        <v>98.088295233197883</v>
      </c>
      <c r="U207" s="311">
        <f t="shared" ca="1" si="89"/>
        <v>0</v>
      </c>
      <c r="V207" s="306">
        <f t="shared" ca="1" si="90"/>
        <v>1.2041302102947764</v>
      </c>
      <c r="W207" s="304">
        <f t="shared" ca="1" si="91"/>
        <v>88.403771268812349</v>
      </c>
      <c r="Y207" s="314" t="str">
        <f t="shared" ca="1" si="109"/>
        <v/>
      </c>
      <c r="Z207" s="315" t="str">
        <f t="shared" ca="1" si="110"/>
        <v/>
      </c>
      <c r="AA207" s="316" t="str">
        <f t="shared" ca="1" si="111"/>
        <v/>
      </c>
      <c r="AC207" s="310" t="e">
        <f t="shared" ca="1" si="112"/>
        <v>#N/A</v>
      </c>
      <c r="AD207" s="323" t="e">
        <f t="shared" ca="1" si="113"/>
        <v>#N/A</v>
      </c>
      <c r="AE207" s="324">
        <f t="shared" ca="1" si="92"/>
        <v>171.82932077314302</v>
      </c>
      <c r="AG207" s="306">
        <f t="shared" ca="1" si="114"/>
        <v>71.945662861706467</v>
      </c>
      <c r="AH207" s="304">
        <f t="shared" ca="1" si="115"/>
        <v>81.69902525047506</v>
      </c>
    </row>
    <row r="208" spans="1:34" x14ac:dyDescent="0.2">
      <c r="A208" s="347">
        <f t="shared" ca="1" si="93"/>
        <v>0.01</v>
      </c>
      <c r="B208" s="304">
        <f t="shared" ca="1" si="94"/>
        <v>2.0400000000000005</v>
      </c>
      <c r="D208" s="306">
        <f t="shared" ca="1" si="95"/>
        <v>8.7539585723733442</v>
      </c>
      <c r="E208" s="307">
        <f t="shared" ca="1" si="96"/>
        <v>71.253913090121216</v>
      </c>
      <c r="F208" s="304">
        <f t="shared" ca="1" si="97"/>
        <v>71.789636587333248</v>
      </c>
      <c r="G208" s="306">
        <f t="shared" ca="1" si="98"/>
        <v>17.979195319331588</v>
      </c>
      <c r="H208" s="307">
        <f t="shared" ca="1" si="99"/>
        <v>166.39388356915086</v>
      </c>
      <c r="I208" s="304">
        <f t="shared" ca="1" si="100"/>
        <v>167.36240902172389</v>
      </c>
      <c r="J208" s="306">
        <f t="shared" ca="1" si="101"/>
        <v>17.730972166758267</v>
      </c>
      <c r="K208" s="307">
        <f t="shared" ca="1" si="102"/>
        <v>173.48969691318004</v>
      </c>
      <c r="L208" s="304">
        <f t="shared" ca="1" si="87"/>
        <v>174.39341245874348</v>
      </c>
      <c r="M208" s="306">
        <f t="shared" ca="1" si="103"/>
        <v>1.4631618959539101</v>
      </c>
      <c r="N208" s="304">
        <f t="shared" ca="1" si="104"/>
        <v>83.833001382518731</v>
      </c>
      <c r="P208" s="310">
        <f t="shared" ca="1" si="105"/>
        <v>7</v>
      </c>
      <c r="Q208" s="304">
        <f t="shared" ca="1" si="106"/>
        <v>903.28961038961029</v>
      </c>
      <c r="R208" s="306">
        <f t="shared" ca="1" si="107"/>
        <v>0.45248690676194103</v>
      </c>
      <c r="S208" s="307">
        <f t="shared" ca="1" si="108"/>
        <v>9.9942819844693709</v>
      </c>
      <c r="T208" s="304">
        <f t="shared" ca="1" si="88"/>
        <v>98.04390626764453</v>
      </c>
      <c r="U208" s="311">
        <f t="shared" ca="1" si="89"/>
        <v>0</v>
      </c>
      <c r="V208" s="306">
        <f t="shared" ca="1" si="90"/>
        <v>1.2039302810855612</v>
      </c>
      <c r="W208" s="304">
        <f t="shared" ca="1" si="91"/>
        <v>89.152202821021888</v>
      </c>
      <c r="Y208" s="314" t="str">
        <f t="shared" ca="1" si="109"/>
        <v/>
      </c>
      <c r="Z208" s="315" t="str">
        <f t="shared" ca="1" si="110"/>
        <v/>
      </c>
      <c r="AA208" s="316" t="str">
        <f t="shared" ca="1" si="111"/>
        <v/>
      </c>
      <c r="AC208" s="310" t="e">
        <f t="shared" ca="1" si="112"/>
        <v>#N/A</v>
      </c>
      <c r="AD208" s="323" t="e">
        <f t="shared" ca="1" si="113"/>
        <v>#N/A</v>
      </c>
      <c r="AE208" s="324">
        <f t="shared" ca="1" si="92"/>
        <v>173.48969691318004</v>
      </c>
      <c r="AG208" s="306">
        <f t="shared" ca="1" si="114"/>
        <v>71.781909990248536</v>
      </c>
      <c r="AH208" s="304">
        <f t="shared" ca="1" si="115"/>
        <v>81.535205869425241</v>
      </c>
    </row>
    <row r="209" spans="1:34" x14ac:dyDescent="0.2">
      <c r="A209" s="347">
        <f t="shared" ca="1" si="93"/>
        <v>0.01</v>
      </c>
      <c r="B209" s="304">
        <f t="shared" ca="1" si="94"/>
        <v>2.0500000000000003</v>
      </c>
      <c r="D209" s="306">
        <f t="shared" ca="1" si="95"/>
        <v>8.7414267061704614</v>
      </c>
      <c r="E209" s="307">
        <f t="shared" ca="1" si="96"/>
        <v>71.09016887523687</v>
      </c>
      <c r="F209" s="304">
        <f t="shared" ca="1" si="97"/>
        <v>71.625586570505988</v>
      </c>
      <c r="G209" s="306">
        <f t="shared" ca="1" si="98"/>
        <v>18.066609586393291</v>
      </c>
      <c r="H209" s="307">
        <f t="shared" ca="1" si="99"/>
        <v>167.10478525790322</v>
      </c>
      <c r="I209" s="304">
        <f t="shared" ca="1" si="100"/>
        <v>168.07858768456234</v>
      </c>
      <c r="J209" s="306">
        <f t="shared" ca="1" si="101"/>
        <v>17.911201191286892</v>
      </c>
      <c r="K209" s="307">
        <f t="shared" ca="1" si="102"/>
        <v>175.15719025731531</v>
      </c>
      <c r="L209" s="304">
        <f t="shared" ca="1" si="87"/>
        <v>176.07058932982565</v>
      </c>
      <c r="M209" s="306">
        <f t="shared" ca="1" si="103"/>
        <v>1.4630991957505413</v>
      </c>
      <c r="N209" s="304">
        <f t="shared" ca="1" si="104"/>
        <v>83.82940892549108</v>
      </c>
      <c r="P209" s="310">
        <f t="shared" ca="1" si="105"/>
        <v>7</v>
      </c>
      <c r="Q209" s="304">
        <f t="shared" ca="1" si="106"/>
        <v>902.02987012987001</v>
      </c>
      <c r="R209" s="306">
        <f t="shared" ca="1" si="107"/>
        <v>0.45185586222550772</v>
      </c>
      <c r="S209" s="307">
        <f t="shared" ca="1" si="108"/>
        <v>9.9897634258471157</v>
      </c>
      <c r="T209" s="304">
        <f t="shared" ca="1" si="88"/>
        <v>97.999579207560217</v>
      </c>
      <c r="U209" s="311">
        <f t="shared" ca="1" si="89"/>
        <v>0</v>
      </c>
      <c r="V209" s="306">
        <f t="shared" ca="1" si="90"/>
        <v>1.2037295279990357</v>
      </c>
      <c r="W209" s="304">
        <f t="shared" ca="1" si="91"/>
        <v>89.901843630199394</v>
      </c>
      <c r="Y209" s="314" t="str">
        <f t="shared" ca="1" si="109"/>
        <v/>
      </c>
      <c r="Z209" s="315" t="str">
        <f t="shared" ca="1" si="110"/>
        <v/>
      </c>
      <c r="AA209" s="316" t="str">
        <f t="shared" ca="1" si="111"/>
        <v/>
      </c>
      <c r="AC209" s="310" t="e">
        <f t="shared" ca="1" si="112"/>
        <v>#N/A</v>
      </c>
      <c r="AD209" s="323" t="e">
        <f t="shared" ca="1" si="113"/>
        <v>#N/A</v>
      </c>
      <c r="AE209" s="324">
        <f t="shared" ca="1" si="92"/>
        <v>175.15719025731531</v>
      </c>
      <c r="AG209" s="306">
        <f t="shared" ca="1" si="114"/>
        <v>71.617833245346503</v>
      </c>
      <c r="AH209" s="304">
        <f t="shared" ca="1" si="115"/>
        <v>81.371062822733208</v>
      </c>
    </row>
    <row r="210" spans="1:34" x14ac:dyDescent="0.2">
      <c r="A210" s="347">
        <f t="shared" ca="1" si="93"/>
        <v>0.01</v>
      </c>
      <c r="B210" s="304">
        <f t="shared" ca="1" si="94"/>
        <v>2.06</v>
      </c>
      <c r="D210" s="306">
        <f t="shared" ca="1" si="95"/>
        <v>8.7278564217078465</v>
      </c>
      <c r="E210" s="307">
        <f t="shared" ca="1" si="96"/>
        <v>70.917187142502527</v>
      </c>
      <c r="F210" s="304">
        <f t="shared" ca="1" si="97"/>
        <v>71.452242161619196</v>
      </c>
      <c r="G210" s="306">
        <f t="shared" ca="1" si="98"/>
        <v>18.153888150610371</v>
      </c>
      <c r="H210" s="307">
        <f t="shared" ca="1" si="99"/>
        <v>167.81395712932823</v>
      </c>
      <c r="I210" s="304">
        <f t="shared" ca="1" si="100"/>
        <v>168.79303262394714</v>
      </c>
      <c r="J210" s="306">
        <f t="shared" ca="1" si="101"/>
        <v>18.092303679971909</v>
      </c>
      <c r="K210" s="307">
        <f t="shared" ca="1" si="102"/>
        <v>176.83178396925146</v>
      </c>
      <c r="L210" s="304">
        <f t="shared" ca="1" si="87"/>
        <v>177.75491912798458</v>
      </c>
      <c r="M210" s="306">
        <f t="shared" ca="1" si="103"/>
        <v>1.4630367247069214</v>
      </c>
      <c r="N210" s="304">
        <f t="shared" ca="1" si="104"/>
        <v>83.825829598349884</v>
      </c>
      <c r="P210" s="310">
        <f t="shared" ca="1" si="105"/>
        <v>8</v>
      </c>
      <c r="Q210" s="304">
        <f t="shared" ca="1" si="106"/>
        <v>900.68055555555543</v>
      </c>
      <c r="R210" s="306">
        <f t="shared" ca="1" si="107"/>
        <v>0.4511799470251579</v>
      </c>
      <c r="S210" s="307">
        <f t="shared" ca="1" si="108"/>
        <v>9.9852516263768649</v>
      </c>
      <c r="T210" s="304">
        <f t="shared" ca="1" si="88"/>
        <v>97.955318454757048</v>
      </c>
      <c r="U210" s="311">
        <f t="shared" ca="1" si="89"/>
        <v>0</v>
      </c>
      <c r="V210" s="306">
        <f t="shared" ca="1" si="90"/>
        <v>1.2035279534783616</v>
      </c>
      <c r="W210" s="304">
        <f t="shared" ca="1" si="91"/>
        <v>90.65256926932166</v>
      </c>
      <c r="Y210" s="314" t="str">
        <f t="shared" ca="1" si="109"/>
        <v/>
      </c>
      <c r="Z210" s="315" t="str">
        <f t="shared" ca="1" si="110"/>
        <v/>
      </c>
      <c r="AA210" s="316" t="str">
        <f t="shared" ca="1" si="111"/>
        <v/>
      </c>
      <c r="AC210" s="310" t="e">
        <f t="shared" ca="1" si="112"/>
        <v>#N/A</v>
      </c>
      <c r="AD210" s="323" t="e">
        <f t="shared" ca="1" si="113"/>
        <v>#N/A</v>
      </c>
      <c r="AE210" s="324">
        <f t="shared" ca="1" si="92"/>
        <v>176.83178396925146</v>
      </c>
      <c r="AG210" s="306">
        <f t="shared" ca="1" si="114"/>
        <v>71.444461001634465</v>
      </c>
      <c r="AH210" s="304">
        <f t="shared" ca="1" si="115"/>
        <v>81.19762448285401</v>
      </c>
    </row>
    <row r="211" spans="1:34" x14ac:dyDescent="0.2">
      <c r="A211" s="347">
        <f t="shared" ca="1" si="93"/>
        <v>0.01</v>
      </c>
      <c r="B211" s="304">
        <f t="shared" ca="1" si="94"/>
        <v>2.0699999999999998</v>
      </c>
      <c r="D211" s="306">
        <f t="shared" ca="1" si="95"/>
        <v>8.7132459314762105</v>
      </c>
      <c r="E211" s="307">
        <f t="shared" ca="1" si="96"/>
        <v>70.73496464179658</v>
      </c>
      <c r="F211" s="304">
        <f t="shared" ca="1" si="97"/>
        <v>71.269599953546802</v>
      </c>
      <c r="G211" s="306">
        <f t="shared" ca="1" si="98"/>
        <v>18.241020609925133</v>
      </c>
      <c r="H211" s="307">
        <f t="shared" ca="1" si="99"/>
        <v>168.52130677574618</v>
      </c>
      <c r="I211" s="304">
        <f t="shared" ca="1" si="100"/>
        <v>169.50565085063351</v>
      </c>
      <c r="J211" s="306">
        <f t="shared" ca="1" si="101"/>
        <v>18.274278223774587</v>
      </c>
      <c r="K211" s="307">
        <f t="shared" ca="1" si="102"/>
        <v>178.51346028877683</v>
      </c>
      <c r="L211" s="304">
        <f t="shared" ca="1" si="87"/>
        <v>179.44638405070364</v>
      </c>
      <c r="M211" s="306">
        <f t="shared" ca="1" si="103"/>
        <v>1.4629744803526286</v>
      </c>
      <c r="N211" s="304">
        <f t="shared" ca="1" si="104"/>
        <v>83.822263259550397</v>
      </c>
      <c r="P211" s="310">
        <f t="shared" ca="1" si="105"/>
        <v>8</v>
      </c>
      <c r="Q211" s="304">
        <f t="shared" ca="1" si="106"/>
        <v>899.24166666666667</v>
      </c>
      <c r="R211" s="306">
        <f t="shared" ca="1" si="107"/>
        <v>0.45045916116089163</v>
      </c>
      <c r="S211" s="307">
        <f t="shared" ca="1" si="108"/>
        <v>9.9807470347652565</v>
      </c>
      <c r="T211" s="304">
        <f t="shared" ca="1" si="88"/>
        <v>97.911128411047173</v>
      </c>
      <c r="U211" s="311">
        <f t="shared" ca="1" si="89"/>
        <v>0</v>
      </c>
      <c r="V211" s="306">
        <f t="shared" ca="1" si="90"/>
        <v>1.2033255600781385</v>
      </c>
      <c r="W211" s="304">
        <f t="shared" ca="1" si="91"/>
        <v>91.404253730309321</v>
      </c>
      <c r="Y211" s="314" t="str">
        <f t="shared" ca="1" si="109"/>
        <v/>
      </c>
      <c r="Z211" s="315" t="str">
        <f t="shared" ca="1" si="110"/>
        <v/>
      </c>
      <c r="AA211" s="316" t="str">
        <f t="shared" ca="1" si="111"/>
        <v/>
      </c>
      <c r="AC211" s="310" t="e">
        <f t="shared" ca="1" si="112"/>
        <v>#N/A</v>
      </c>
      <c r="AD211" s="323" t="e">
        <f t="shared" ca="1" si="113"/>
        <v>#N/A</v>
      </c>
      <c r="AE211" s="324">
        <f t="shared" ca="1" si="92"/>
        <v>178.51346028877683</v>
      </c>
      <c r="AG211" s="306">
        <f t="shared" ca="1" si="114"/>
        <v>71.261789832344448</v>
      </c>
      <c r="AH211" s="304">
        <f t="shared" ca="1" si="115"/>
        <v>81.014887420835493</v>
      </c>
    </row>
    <row r="212" spans="1:34" x14ac:dyDescent="0.2">
      <c r="A212" s="347">
        <f t="shared" ca="1" si="93"/>
        <v>0.01</v>
      </c>
      <c r="B212" s="304">
        <f t="shared" ca="1" si="94"/>
        <v>2.0799999999999996</v>
      </c>
      <c r="D212" s="306">
        <f t="shared" ca="1" si="95"/>
        <v>8.6985601046170675</v>
      </c>
      <c r="E212" s="307">
        <f t="shared" ca="1" si="96"/>
        <v>70.552428574848022</v>
      </c>
      <c r="F212" s="304">
        <f t="shared" ca="1" si="97"/>
        <v>71.086638165710625</v>
      </c>
      <c r="G212" s="306">
        <f t="shared" ca="1" si="98"/>
        <v>18.328006210971303</v>
      </c>
      <c r="H212" s="307">
        <f t="shared" ca="1" si="99"/>
        <v>169.22683106149466</v>
      </c>
      <c r="I212" s="304">
        <f t="shared" ca="1" si="100"/>
        <v>170.21643916727038</v>
      </c>
      <c r="J212" s="306">
        <f t="shared" ca="1" si="101"/>
        <v>18.45712335787907</v>
      </c>
      <c r="K212" s="307">
        <f t="shared" ca="1" si="102"/>
        <v>180.20220097796303</v>
      </c>
      <c r="L212" s="304">
        <f t="shared" ca="1" si="87"/>
        <v>181.14496581453801</v>
      </c>
      <c r="M212" s="306">
        <f t="shared" ca="1" si="103"/>
        <v>1.4629124602529839</v>
      </c>
      <c r="N212" s="304">
        <f t="shared" ca="1" si="104"/>
        <v>83.81870976959577</v>
      </c>
      <c r="P212" s="310">
        <f t="shared" ca="1" si="105"/>
        <v>8</v>
      </c>
      <c r="Q212" s="304">
        <f t="shared" ca="1" si="106"/>
        <v>897.80277777777781</v>
      </c>
      <c r="R212" s="306">
        <f t="shared" ca="1" si="107"/>
        <v>0.44973837529662536</v>
      </c>
      <c r="S212" s="307">
        <f t="shared" ca="1" si="108"/>
        <v>9.9762496510122904</v>
      </c>
      <c r="T212" s="304">
        <f t="shared" ca="1" si="88"/>
        <v>97.867009076430577</v>
      </c>
      <c r="U212" s="311">
        <f t="shared" ca="1" si="89"/>
        <v>0</v>
      </c>
      <c r="V212" s="306">
        <f t="shared" ca="1" si="90"/>
        <v>1.203122350410611</v>
      </c>
      <c r="W212" s="304">
        <f t="shared" ca="1" si="91"/>
        <v>92.156866697808198</v>
      </c>
      <c r="Y212" s="314" t="str">
        <f t="shared" ca="1" si="109"/>
        <v/>
      </c>
      <c r="Z212" s="315" t="str">
        <f t="shared" ca="1" si="110"/>
        <v/>
      </c>
      <c r="AA212" s="316" t="str">
        <f t="shared" ca="1" si="111"/>
        <v/>
      </c>
      <c r="AC212" s="310" t="e">
        <f t="shared" ca="1" si="112"/>
        <v>#N/A</v>
      </c>
      <c r="AD212" s="323" t="e">
        <f t="shared" ca="1" si="113"/>
        <v>#N/A</v>
      </c>
      <c r="AE212" s="324">
        <f t="shared" ca="1" si="92"/>
        <v>180.20220097796303</v>
      </c>
      <c r="AG212" s="306">
        <f t="shared" ca="1" si="114"/>
        <v>71.078798926872764</v>
      </c>
      <c r="AH212" s="304">
        <f t="shared" ca="1" si="115"/>
        <v>80.831830823885127</v>
      </c>
    </row>
    <row r="213" spans="1:34" x14ac:dyDescent="0.2">
      <c r="A213" s="347">
        <f t="shared" ca="1" si="93"/>
        <v>0.01</v>
      </c>
      <c r="B213" s="304">
        <f t="shared" ca="1" si="94"/>
        <v>2.0899999999999994</v>
      </c>
      <c r="D213" s="306">
        <f t="shared" ca="1" si="95"/>
        <v>8.6837995249007527</v>
      </c>
      <c r="E213" s="307">
        <f t="shared" ca="1" si="96"/>
        <v>70.369581906328236</v>
      </c>
      <c r="F213" s="304">
        <f t="shared" ca="1" si="97"/>
        <v>70.90335980657126</v>
      </c>
      <c r="G213" s="306">
        <f t="shared" ca="1" si="98"/>
        <v>18.414844206220309</v>
      </c>
      <c r="H213" s="307">
        <f t="shared" ca="1" si="99"/>
        <v>169.93052688055795</v>
      </c>
      <c r="I213" s="304">
        <f t="shared" ca="1" si="100"/>
        <v>170.92539440657549</v>
      </c>
      <c r="J213" s="306">
        <f t="shared" ca="1" si="101"/>
        <v>18.640837609965029</v>
      </c>
      <c r="K213" s="307">
        <f t="shared" ca="1" si="102"/>
        <v>181.8979877676733</v>
      </c>
      <c r="L213" s="304">
        <f t="shared" ca="1" si="87"/>
        <v>182.8506461042173</v>
      </c>
      <c r="M213" s="306">
        <f t="shared" ca="1" si="103"/>
        <v>1.4628506620083479</v>
      </c>
      <c r="N213" s="304">
        <f t="shared" ca="1" si="104"/>
        <v>83.81516899099681</v>
      </c>
      <c r="P213" s="310">
        <f t="shared" ca="1" si="105"/>
        <v>8</v>
      </c>
      <c r="Q213" s="304">
        <f t="shared" ca="1" si="106"/>
        <v>896.36388888888894</v>
      </c>
      <c r="R213" s="306">
        <f t="shared" ca="1" si="107"/>
        <v>0.44901758943235903</v>
      </c>
      <c r="S213" s="307">
        <f t="shared" ca="1" si="108"/>
        <v>9.9717594751179668</v>
      </c>
      <c r="T213" s="304">
        <f t="shared" ca="1" si="88"/>
        <v>97.82296045090726</v>
      </c>
      <c r="U213" s="311">
        <f t="shared" ca="1" si="89"/>
        <v>0</v>
      </c>
      <c r="V213" s="306">
        <f t="shared" ca="1" si="90"/>
        <v>1.2029183270918866</v>
      </c>
      <c r="W213" s="304">
        <f t="shared" ca="1" si="91"/>
        <v>92.910377916117682</v>
      </c>
      <c r="Y213" s="314" t="str">
        <f t="shared" ca="1" si="109"/>
        <v/>
      </c>
      <c r="Z213" s="315" t="str">
        <f t="shared" ca="1" si="110"/>
        <v/>
      </c>
      <c r="AA213" s="316" t="str">
        <f t="shared" ca="1" si="111"/>
        <v/>
      </c>
      <c r="AC213" s="310" t="e">
        <f t="shared" ca="1" si="112"/>
        <v>#N/A</v>
      </c>
      <c r="AD213" s="323" t="e">
        <f t="shared" ca="1" si="113"/>
        <v>#N/A</v>
      </c>
      <c r="AE213" s="324">
        <f t="shared" ca="1" si="92"/>
        <v>181.8979877676733</v>
      </c>
      <c r="AG213" s="306">
        <f t="shared" ca="1" si="114"/>
        <v>70.895491292111416</v>
      </c>
      <c r="AH213" s="304">
        <f t="shared" ca="1" si="115"/>
        <v>80.648457696736301</v>
      </c>
    </row>
    <row r="214" spans="1:34" x14ac:dyDescent="0.2">
      <c r="A214" s="347">
        <f t="shared" ca="1" si="93"/>
        <v>0.01</v>
      </c>
      <c r="B214" s="304">
        <f t="shared" ca="1" si="94"/>
        <v>2.0999999999999992</v>
      </c>
      <c r="D214" s="306">
        <f t="shared" ca="1" si="95"/>
        <v>8.6689647727650048</v>
      </c>
      <c r="E214" s="307">
        <f t="shared" ca="1" si="96"/>
        <v>70.186427601996769</v>
      </c>
      <c r="F214" s="304">
        <f t="shared" ca="1" si="97"/>
        <v>70.719767885378232</v>
      </c>
      <c r="G214" s="306">
        <f t="shared" ca="1" si="98"/>
        <v>18.501533853947958</v>
      </c>
      <c r="H214" s="307">
        <f t="shared" ca="1" si="99"/>
        <v>170.63239115657791</v>
      </c>
      <c r="I214" s="304">
        <f t="shared" ca="1" si="100"/>
        <v>171.63251343134317</v>
      </c>
      <c r="J214" s="306">
        <f t="shared" ca="1" si="101"/>
        <v>18.82541950026587</v>
      </c>
      <c r="K214" s="307">
        <f t="shared" ca="1" si="102"/>
        <v>183.60080235785898</v>
      </c>
      <c r="L214" s="304">
        <f t="shared" ca="1" si="87"/>
        <v>184.56340657294606</v>
      </c>
      <c r="M214" s="306">
        <f t="shared" ca="1" si="103"/>
        <v>1.462789083253434</v>
      </c>
      <c r="N214" s="304">
        <f t="shared" ca="1" si="104"/>
        <v>83.81164078823258</v>
      </c>
      <c r="P214" s="310">
        <f t="shared" ca="1" si="105"/>
        <v>8</v>
      </c>
      <c r="Q214" s="304">
        <f t="shared" ca="1" si="106"/>
        <v>894.92500000000007</v>
      </c>
      <c r="R214" s="306">
        <f t="shared" ca="1" si="107"/>
        <v>0.44829680356809271</v>
      </c>
      <c r="S214" s="307">
        <f t="shared" ca="1" si="108"/>
        <v>9.9672765070822855</v>
      </c>
      <c r="T214" s="304">
        <f t="shared" ca="1" si="88"/>
        <v>97.778982534477223</v>
      </c>
      <c r="U214" s="311">
        <f t="shared" ca="1" si="89"/>
        <v>0</v>
      </c>
      <c r="V214" s="306">
        <f t="shared" ca="1" si="90"/>
        <v>1.2027134927418797</v>
      </c>
      <c r="W214" s="304">
        <f t="shared" ca="1" si="91"/>
        <v>93.664757190441023</v>
      </c>
      <c r="Y214" s="314" t="str">
        <f t="shared" ca="1" si="109"/>
        <v/>
      </c>
      <c r="Z214" s="315" t="str">
        <f t="shared" ca="1" si="110"/>
        <v/>
      </c>
      <c r="AA214" s="316" t="str">
        <f t="shared" ca="1" si="111"/>
        <v/>
      </c>
      <c r="AC214" s="310" t="e">
        <f t="shared" ca="1" si="112"/>
        <v>#N/A</v>
      </c>
      <c r="AD214" s="323" t="e">
        <f t="shared" ca="1" si="113"/>
        <v>#N/A</v>
      </c>
      <c r="AE214" s="324">
        <f t="shared" ca="1" si="92"/>
        <v>183.60080235785898</v>
      </c>
      <c r="AG214" s="306">
        <f t="shared" ca="1" si="114"/>
        <v>70.711869935730036</v>
      </c>
      <c r="AH214" s="304">
        <f t="shared" ca="1" si="115"/>
        <v>80.464771044929662</v>
      </c>
    </row>
    <row r="215" spans="1:34" x14ac:dyDescent="0.2">
      <c r="A215" s="347">
        <f t="shared" ca="1" si="93"/>
        <v>0.01</v>
      </c>
      <c r="B215" s="304">
        <f t="shared" ca="1" si="94"/>
        <v>2.109999999999999</v>
      </c>
      <c r="D215" s="306">
        <f t="shared" ca="1" si="95"/>
        <v>8.654056425372243</v>
      </c>
      <c r="E215" s="307">
        <f t="shared" ca="1" si="96"/>
        <v>70.002968628550548</v>
      </c>
      <c r="F215" s="304">
        <f t="shared" ca="1" si="97"/>
        <v>70.535865412025387</v>
      </c>
      <c r="G215" s="306">
        <f t="shared" ca="1" si="98"/>
        <v>18.588074418201682</v>
      </c>
      <c r="H215" s="307">
        <f t="shared" ca="1" si="99"/>
        <v>171.33242084286343</v>
      </c>
      <c r="I215" s="304">
        <f t="shared" ca="1" si="100"/>
        <v>172.33779313445052</v>
      </c>
      <c r="J215" s="306">
        <f t="shared" ca="1" si="101"/>
        <v>19.010867541626617</v>
      </c>
      <c r="K215" s="307">
        <f t="shared" ca="1" si="102"/>
        <v>185.31062641785618</v>
      </c>
      <c r="L215" s="304">
        <f t="shared" ca="1" si="87"/>
        <v>186.2832288427048</v>
      </c>
      <c r="M215" s="306">
        <f t="shared" ca="1" si="103"/>
        <v>1.462727721656639</v>
      </c>
      <c r="N215" s="304">
        <f t="shared" ca="1" si="104"/>
        <v>83.808125027712038</v>
      </c>
      <c r="P215" s="310">
        <f t="shared" ca="1" si="105"/>
        <v>8</v>
      </c>
      <c r="Q215" s="304">
        <f t="shared" ca="1" si="106"/>
        <v>893.4861111111112</v>
      </c>
      <c r="R215" s="306">
        <f t="shared" ca="1" si="107"/>
        <v>0.44757601770382643</v>
      </c>
      <c r="S215" s="307">
        <f t="shared" ca="1" si="108"/>
        <v>9.9628007469052466</v>
      </c>
      <c r="T215" s="304">
        <f t="shared" ca="1" si="88"/>
        <v>97.735075327140478</v>
      </c>
      <c r="U215" s="311">
        <f t="shared" ca="1" si="89"/>
        <v>0</v>
      </c>
      <c r="V215" s="306">
        <f t="shared" ca="1" si="90"/>
        <v>1.2025078499842579</v>
      </c>
      <c r="W215" s="304">
        <f t="shared" ca="1" si="91"/>
        <v>94.419974388127272</v>
      </c>
      <c r="Y215" s="314" t="str">
        <f t="shared" ca="1" si="109"/>
        <v/>
      </c>
      <c r="Z215" s="315" t="str">
        <f t="shared" ca="1" si="110"/>
        <v/>
      </c>
      <c r="AA215" s="316" t="str">
        <f t="shared" ca="1" si="111"/>
        <v/>
      </c>
      <c r="AC215" s="310" t="e">
        <f t="shared" ca="1" si="112"/>
        <v>#N/A</v>
      </c>
      <c r="AD215" s="323" t="e">
        <f t="shared" ca="1" si="113"/>
        <v>#N/A</v>
      </c>
      <c r="AE215" s="324">
        <f t="shared" ca="1" si="92"/>
        <v>185.31062641785618</v>
      </c>
      <c r="AG215" s="306">
        <f t="shared" ca="1" si="114"/>
        <v>70.527937866030939</v>
      </c>
      <c r="AH215" s="304">
        <f t="shared" ca="1" si="115"/>
        <v>80.280773874667659</v>
      </c>
    </row>
    <row r="216" spans="1:34" x14ac:dyDescent="0.2">
      <c r="A216" s="347">
        <f t="shared" ca="1" si="93"/>
        <v>0.01</v>
      </c>
      <c r="B216" s="304">
        <f t="shared" ca="1" si="94"/>
        <v>2.1199999999999988</v>
      </c>
      <c r="D216" s="306">
        <f t="shared" ca="1" si="95"/>
        <v>8.6390750566650851</v>
      </c>
      <c r="E216" s="307">
        <f t="shared" ca="1" si="96"/>
        <v>69.81920795347375</v>
      </c>
      <c r="F216" s="304">
        <f t="shared" ca="1" si="97"/>
        <v>70.351655396906651</v>
      </c>
      <c r="G216" s="306">
        <f t="shared" ca="1" si="98"/>
        <v>18.674465168768332</v>
      </c>
      <c r="H216" s="307">
        <f t="shared" ca="1" si="99"/>
        <v>172.03061292239818</v>
      </c>
      <c r="I216" s="304">
        <f t="shared" ca="1" si="100"/>
        <v>173.04123043886256</v>
      </c>
      <c r="J216" s="306">
        <f t="shared" ca="1" si="101"/>
        <v>19.197180239561465</v>
      </c>
      <c r="K216" s="307">
        <f t="shared" ca="1" si="102"/>
        <v>187.0274415866825</v>
      </c>
      <c r="L216" s="304">
        <f t="shared" ca="1" si="87"/>
        <v>188.01009450455086</v>
      </c>
      <c r="M216" s="306">
        <f t="shared" ca="1" si="103"/>
        <v>1.4626665749193903</v>
      </c>
      <c r="N216" s="304">
        <f t="shared" ca="1" si="104"/>
        <v>83.804621577736697</v>
      </c>
      <c r="P216" s="310">
        <f t="shared" ca="1" si="105"/>
        <v>8</v>
      </c>
      <c r="Q216" s="304">
        <f t="shared" ca="1" si="106"/>
        <v>892.04722222222233</v>
      </c>
      <c r="R216" s="306">
        <f t="shared" ca="1" si="107"/>
        <v>0.44685523183956011</v>
      </c>
      <c r="S216" s="307">
        <f t="shared" ca="1" si="108"/>
        <v>9.9583321945868519</v>
      </c>
      <c r="T216" s="304">
        <f t="shared" ca="1" si="88"/>
        <v>97.691238828897028</v>
      </c>
      <c r="U216" s="311">
        <f t="shared" ca="1" si="89"/>
        <v>0</v>
      </c>
      <c r="V216" s="306">
        <f t="shared" ca="1" si="90"/>
        <v>1.2023014014463855</v>
      </c>
      <c r="W216" s="304">
        <f t="shared" ca="1" si="91"/>
        <v>95.175999439904189</v>
      </c>
      <c r="Y216" s="314" t="str">
        <f t="shared" ca="1" si="109"/>
        <v/>
      </c>
      <c r="Z216" s="315" t="str">
        <f t="shared" ca="1" si="110"/>
        <v/>
      </c>
      <c r="AA216" s="316" t="str">
        <f t="shared" ca="1" si="111"/>
        <v/>
      </c>
      <c r="AC216" s="310" t="e">
        <f t="shared" ca="1" si="112"/>
        <v>#N/A</v>
      </c>
      <c r="AD216" s="323" t="e">
        <f t="shared" ca="1" si="113"/>
        <v>#N/A</v>
      </c>
      <c r="AE216" s="324">
        <f t="shared" ca="1" si="92"/>
        <v>187.0274415866825</v>
      </c>
      <c r="AG216" s="306">
        <f t="shared" ca="1" si="114"/>
        <v>70.343698091804711</v>
      </c>
      <c r="AH216" s="304">
        <f t="shared" ca="1" si="115"/>
        <v>80.096469192669545</v>
      </c>
    </row>
    <row r="217" spans="1:34" x14ac:dyDescent="0.2">
      <c r="A217" s="347">
        <f t="shared" ca="1" si="93"/>
        <v>0.01</v>
      </c>
      <c r="B217" s="304">
        <f t="shared" ca="1" si="94"/>
        <v>2.1299999999999986</v>
      </c>
      <c r="D217" s="306">
        <f t="shared" ca="1" si="95"/>
        <v>8.6240212374200222</v>
      </c>
      <c r="E217" s="307">
        <f t="shared" ca="1" si="96"/>
        <v>69.635148544888366</v>
      </c>
      <c r="F217" s="304">
        <f t="shared" ca="1" si="97"/>
        <v>70.167140850772455</v>
      </c>
      <c r="G217" s="306">
        <f t="shared" ca="1" si="98"/>
        <v>18.760705381142532</v>
      </c>
      <c r="H217" s="307">
        <f t="shared" ca="1" si="99"/>
        <v>172.72696440784705</v>
      </c>
      <c r="I217" s="304">
        <f t="shared" ca="1" si="100"/>
        <v>173.74282229763534</v>
      </c>
      <c r="J217" s="306">
        <f t="shared" ca="1" si="101"/>
        <v>19.38435609231102</v>
      </c>
      <c r="K217" s="307">
        <f t="shared" ca="1" si="102"/>
        <v>188.75122947333372</v>
      </c>
      <c r="L217" s="304">
        <f t="shared" ca="1" si="87"/>
        <v>189.74398511891914</v>
      </c>
      <c r="M217" s="306">
        <f t="shared" ca="1" si="103"/>
        <v>1.4626056407755088</v>
      </c>
      <c r="N217" s="304">
        <f t="shared" ca="1" si="104"/>
        <v>83.801130308464039</v>
      </c>
      <c r="P217" s="310">
        <f t="shared" ca="1" si="105"/>
        <v>8</v>
      </c>
      <c r="Q217" s="304">
        <f t="shared" ca="1" si="106"/>
        <v>890.60833333333346</v>
      </c>
      <c r="R217" s="306">
        <f t="shared" ca="1" si="107"/>
        <v>0.44613444597529378</v>
      </c>
      <c r="S217" s="307">
        <f t="shared" ca="1" si="108"/>
        <v>9.9538708501270996</v>
      </c>
      <c r="T217" s="304">
        <f t="shared" ca="1" si="88"/>
        <v>97.647473039746856</v>
      </c>
      <c r="U217" s="311">
        <f t="shared" ca="1" si="89"/>
        <v>0</v>
      </c>
      <c r="V217" s="306">
        <f t="shared" ca="1" si="90"/>
        <v>1.2020941497592701</v>
      </c>
      <c r="W217" s="304">
        <f t="shared" ca="1" si="91"/>
        <v>95.932802341101819</v>
      </c>
      <c r="Y217" s="314" t="str">
        <f t="shared" ca="1" si="109"/>
        <v/>
      </c>
      <c r="Z217" s="315" t="str">
        <f t="shared" ca="1" si="110"/>
        <v/>
      </c>
      <c r="AA217" s="316" t="str">
        <f t="shared" ca="1" si="111"/>
        <v/>
      </c>
      <c r="AC217" s="310" t="e">
        <f t="shared" ca="1" si="112"/>
        <v>#N/A</v>
      </c>
      <c r="AD217" s="323" t="e">
        <f t="shared" ca="1" si="113"/>
        <v>#N/A</v>
      </c>
      <c r="AE217" s="324">
        <f t="shared" ca="1" si="92"/>
        <v>188.75122947333372</v>
      </c>
      <c r="AG217" s="306">
        <f t="shared" ca="1" si="114"/>
        <v>70.159153622186366</v>
      </c>
      <c r="AH217" s="304">
        <f t="shared" ca="1" si="115"/>
        <v>79.911860006026956</v>
      </c>
    </row>
    <row r="218" spans="1:34" x14ac:dyDescent="0.2">
      <c r="A218" s="347">
        <f t="shared" ca="1" si="93"/>
        <v>0.01</v>
      </c>
      <c r="B218" s="304">
        <f t="shared" ca="1" si="94"/>
        <v>2.1399999999999983</v>
      </c>
      <c r="D218" s="306">
        <f t="shared" ca="1" si="95"/>
        <v>8.608895535299494</v>
      </c>
      <c r="E218" s="307">
        <f t="shared" ca="1" si="96"/>
        <v>69.450793371405354</v>
      </c>
      <c r="F218" s="304">
        <f t="shared" ca="1" si="97"/>
        <v>69.982324784586439</v>
      </c>
      <c r="G218" s="306">
        <f t="shared" ca="1" si="98"/>
        <v>18.846794336495527</v>
      </c>
      <c r="H218" s="307">
        <f t="shared" ca="1" si="99"/>
        <v>173.4214723415611</v>
      </c>
      <c r="I218" s="304">
        <f t="shared" ca="1" si="100"/>
        <v>174.44256569391831</v>
      </c>
      <c r="J218" s="306">
        <f t="shared" ca="1" si="101"/>
        <v>19.57239359089921</v>
      </c>
      <c r="K218" s="307">
        <f t="shared" ca="1" si="102"/>
        <v>190.48197165708078</v>
      </c>
      <c r="L218" s="304">
        <f t="shared" ca="1" si="87"/>
        <v>191.48488221592325</v>
      </c>
      <c r="M218" s="306">
        <f t="shared" ca="1" si="103"/>
        <v>1.4625449169905849</v>
      </c>
      <c r="N218" s="304">
        <f t="shared" ca="1" si="104"/>
        <v>83.797651091871842</v>
      </c>
      <c r="P218" s="310">
        <f t="shared" ca="1" si="105"/>
        <v>8</v>
      </c>
      <c r="Q218" s="304">
        <f t="shared" ca="1" si="106"/>
        <v>889.16944444444459</v>
      </c>
      <c r="R218" s="306">
        <f t="shared" ca="1" si="107"/>
        <v>0.44541366011102751</v>
      </c>
      <c r="S218" s="307">
        <f t="shared" ca="1" si="108"/>
        <v>9.9494167135259897</v>
      </c>
      <c r="T218" s="304">
        <f t="shared" ca="1" si="88"/>
        <v>97.603777959689964</v>
      </c>
      <c r="U218" s="311">
        <f t="shared" ca="1" si="89"/>
        <v>0</v>
      </c>
      <c r="V218" s="306">
        <f t="shared" ca="1" si="90"/>
        <v>1.2018860975575043</v>
      </c>
      <c r="W218" s="304">
        <f t="shared" ca="1" si="91"/>
        <v>96.690353152867431</v>
      </c>
      <c r="Y218" s="314" t="str">
        <f t="shared" ca="1" si="109"/>
        <v/>
      </c>
      <c r="Z218" s="315" t="str">
        <f t="shared" ca="1" si="110"/>
        <v/>
      </c>
      <c r="AA218" s="316" t="str">
        <f t="shared" ca="1" si="111"/>
        <v/>
      </c>
      <c r="AC218" s="310" t="e">
        <f t="shared" ca="1" si="112"/>
        <v>#N/A</v>
      </c>
      <c r="AD218" s="323" t="e">
        <f t="shared" ca="1" si="113"/>
        <v>#N/A</v>
      </c>
      <c r="AE218" s="324">
        <f t="shared" ca="1" si="92"/>
        <v>190.48197165708078</v>
      </c>
      <c r="AG218" s="306">
        <f t="shared" ca="1" si="114"/>
        <v>69.974307466511803</v>
      </c>
      <c r="AH218" s="304">
        <f t="shared" ca="1" si="115"/>
        <v>79.726949322059937</v>
      </c>
    </row>
    <row r="219" spans="1:34" x14ac:dyDescent="0.2">
      <c r="A219" s="347">
        <f t="shared" ca="1" si="93"/>
        <v>0.01</v>
      </c>
      <c r="B219" s="304">
        <f t="shared" ca="1" si="94"/>
        <v>2.1499999999999981</v>
      </c>
      <c r="D219" s="306">
        <f t="shared" ca="1" si="95"/>
        <v>8.5936985149024423</v>
      </c>
      <c r="E219" s="307">
        <f t="shared" ca="1" si="96"/>
        <v>69.266145401976502</v>
      </c>
      <c r="F219" s="304">
        <f t="shared" ca="1" si="97"/>
        <v>69.797210209382911</v>
      </c>
      <c r="G219" s="306">
        <f t="shared" ca="1" si="98"/>
        <v>18.932731321644553</v>
      </c>
      <c r="H219" s="307">
        <f t="shared" ca="1" si="99"/>
        <v>174.11413379558087</v>
      </c>
      <c r="I219" s="304">
        <f t="shared" ca="1" si="100"/>
        <v>175.14045764095462</v>
      </c>
      <c r="J219" s="306">
        <f t="shared" ca="1" si="101"/>
        <v>19.761291219189911</v>
      </c>
      <c r="K219" s="307">
        <f t="shared" ca="1" si="102"/>
        <v>192.21964968776649</v>
      </c>
      <c r="L219" s="304">
        <f t="shared" ca="1" si="87"/>
        <v>193.2327672956564</v>
      </c>
      <c r="M219" s="306">
        <f t="shared" ca="1" si="103"/>
        <v>1.462484401361374</v>
      </c>
      <c r="N219" s="304">
        <f t="shared" ca="1" si="104"/>
        <v>83.794183801723477</v>
      </c>
      <c r="P219" s="310">
        <f t="shared" ca="1" si="105"/>
        <v>8</v>
      </c>
      <c r="Q219" s="304">
        <f t="shared" ca="1" si="106"/>
        <v>887.73055555555584</v>
      </c>
      <c r="R219" s="306">
        <f t="shared" ca="1" si="107"/>
        <v>0.44469287424676124</v>
      </c>
      <c r="S219" s="307">
        <f t="shared" ca="1" si="108"/>
        <v>9.9449697847835221</v>
      </c>
      <c r="T219" s="304">
        <f t="shared" ca="1" si="88"/>
        <v>97.560153588726351</v>
      </c>
      <c r="U219" s="311">
        <f t="shared" ca="1" si="89"/>
        <v>0</v>
      </c>
      <c r="V219" s="306">
        <f t="shared" ca="1" si="90"/>
        <v>1.2016772474792137</v>
      </c>
      <c r="W219" s="304">
        <f t="shared" ca="1" si="91"/>
        <v>97.448622003371042</v>
      </c>
      <c r="Y219" s="314" t="str">
        <f t="shared" ca="1" si="109"/>
        <v/>
      </c>
      <c r="Z219" s="315" t="str">
        <f t="shared" ca="1" si="110"/>
        <v/>
      </c>
      <c r="AA219" s="316" t="str">
        <f t="shared" ca="1" si="111"/>
        <v/>
      </c>
      <c r="AC219" s="310" t="e">
        <f t="shared" ca="1" si="112"/>
        <v>#N/A</v>
      </c>
      <c r="AD219" s="323" t="e">
        <f t="shared" ca="1" si="113"/>
        <v>#N/A</v>
      </c>
      <c r="AE219" s="324">
        <f t="shared" ca="1" si="92"/>
        <v>192.21964968776649</v>
      </c>
      <c r="AG219" s="306">
        <f t="shared" ca="1" si="114"/>
        <v>69.789162634175057</v>
      </c>
      <c r="AH219" s="304">
        <f t="shared" ca="1" si="115"/>
        <v>79.54174014817356</v>
      </c>
    </row>
    <row r="220" spans="1:34" x14ac:dyDescent="0.2">
      <c r="A220" s="347">
        <f t="shared" ca="1" si="93"/>
        <v>0.01</v>
      </c>
      <c r="B220" s="304">
        <f t="shared" ca="1" si="94"/>
        <v>2.1599999999999979</v>
      </c>
      <c r="D220" s="306">
        <f t="shared" ca="1" si="95"/>
        <v>8.5784307378129458</v>
      </c>
      <c r="E220" s="307">
        <f t="shared" ca="1" si="96"/>
        <v>69.081207605746883</v>
      </c>
      <c r="F220" s="304">
        <f t="shared" ca="1" si="97"/>
        <v>69.611800136124586</v>
      </c>
      <c r="G220" s="306">
        <f t="shared" ca="1" si="98"/>
        <v>19.018515629022684</v>
      </c>
      <c r="H220" s="307">
        <f t="shared" ca="1" si="99"/>
        <v>174.80494587163832</v>
      </c>
      <c r="I220" s="304">
        <f t="shared" ca="1" si="100"/>
        <v>175.8364951820804</v>
      </c>
      <c r="J220" s="306">
        <f t="shared" ca="1" si="101"/>
        <v>19.951047453943247</v>
      </c>
      <c r="K220" s="307">
        <f t="shared" ca="1" si="102"/>
        <v>193.96424508610258</v>
      </c>
      <c r="L220" s="304">
        <f t="shared" ca="1" si="87"/>
        <v>194.98762182849239</v>
      </c>
      <c r="M220" s="306">
        <f t="shared" ca="1" si="103"/>
        <v>1.4624240917152016</v>
      </c>
      <c r="N220" s="304">
        <f t="shared" ca="1" si="104"/>
        <v>83.790728313533876</v>
      </c>
      <c r="P220" s="310">
        <f t="shared" ca="1" si="105"/>
        <v>8</v>
      </c>
      <c r="Q220" s="304">
        <f t="shared" ca="1" si="106"/>
        <v>886.29166666666697</v>
      </c>
      <c r="R220" s="306">
        <f t="shared" ca="1" si="107"/>
        <v>0.44397208838249497</v>
      </c>
      <c r="S220" s="307">
        <f t="shared" ca="1" si="108"/>
        <v>9.940530063899697</v>
      </c>
      <c r="T220" s="304">
        <f t="shared" ca="1" si="88"/>
        <v>97.516599926856031</v>
      </c>
      <c r="U220" s="311">
        <f t="shared" ca="1" si="89"/>
        <v>0</v>
      </c>
      <c r="V220" s="306">
        <f t="shared" ca="1" si="90"/>
        <v>1.2014676021659993</v>
      </c>
      <c r="W220" s="304">
        <f t="shared" ca="1" si="91"/>
        <v>98.207579089001712</v>
      </c>
      <c r="Y220" s="314" t="str">
        <f t="shared" ca="1" si="109"/>
        <v/>
      </c>
      <c r="Z220" s="315" t="str">
        <f t="shared" ca="1" si="110"/>
        <v/>
      </c>
      <c r="AA220" s="316" t="str">
        <f t="shared" ca="1" si="111"/>
        <v/>
      </c>
      <c r="AC220" s="310" t="e">
        <f t="shared" ca="1" si="112"/>
        <v>#N/A</v>
      </c>
      <c r="AD220" s="323" t="e">
        <f t="shared" ca="1" si="113"/>
        <v>#N/A</v>
      </c>
      <c r="AE220" s="324">
        <f t="shared" ca="1" si="92"/>
        <v>193.96424508610258</v>
      </c>
      <c r="AG220" s="306">
        <f t="shared" ca="1" si="114"/>
        <v>69.603722134485665</v>
      </c>
      <c r="AH220" s="304">
        <f t="shared" ca="1" si="115"/>
        <v>79.356235491714884</v>
      </c>
    </row>
    <row r="221" spans="1:34" x14ac:dyDescent="0.2">
      <c r="A221" s="347">
        <f t="shared" ca="1" si="93"/>
        <v>0.01</v>
      </c>
      <c r="B221" s="304">
        <f t="shared" ca="1" si="94"/>
        <v>2.1699999999999977</v>
      </c>
      <c r="D221" s="306">
        <f t="shared" ca="1" si="95"/>
        <v>8.5630927626477522</v>
      </c>
      <c r="E221" s="307">
        <f t="shared" ca="1" si="96"/>
        <v>68.895982951908152</v>
      </c>
      <c r="F221" s="304">
        <f t="shared" ca="1" si="97"/>
        <v>69.426097575561087</v>
      </c>
      <c r="G221" s="306">
        <f t="shared" ca="1" si="98"/>
        <v>19.104146556649162</v>
      </c>
      <c r="H221" s="307">
        <f t="shared" ca="1" si="99"/>
        <v>175.49390570115742</v>
      </c>
      <c r="I221" s="304">
        <f t="shared" ca="1" si="100"/>
        <v>176.53067539072256</v>
      </c>
      <c r="J221" s="306">
        <f t="shared" ca="1" si="101"/>
        <v>20.141660764871606</v>
      </c>
      <c r="K221" s="307">
        <f t="shared" ca="1" si="102"/>
        <v>195.71573934396656</v>
      </c>
      <c r="L221" s="304">
        <f t="shared" ca="1" si="87"/>
        <v>196.74942725538651</v>
      </c>
      <c r="M221" s="306">
        <f t="shared" ca="1" si="103"/>
        <v>1.4623639859093855</v>
      </c>
      <c r="N221" s="304">
        <f t="shared" ca="1" si="104"/>
        <v>83.787284504536373</v>
      </c>
      <c r="P221" s="310">
        <f t="shared" ca="1" si="105"/>
        <v>8</v>
      </c>
      <c r="Q221" s="304">
        <f t="shared" ca="1" si="106"/>
        <v>884.8527777777781</v>
      </c>
      <c r="R221" s="306">
        <f t="shared" ca="1" si="107"/>
        <v>0.44325130251822864</v>
      </c>
      <c r="S221" s="307">
        <f t="shared" ca="1" si="108"/>
        <v>9.9360975508745142</v>
      </c>
      <c r="T221" s="304">
        <f t="shared" ca="1" si="88"/>
        <v>97.473116974078991</v>
      </c>
      <c r="U221" s="311">
        <f t="shared" ca="1" si="89"/>
        <v>0</v>
      </c>
      <c r="V221" s="306">
        <f t="shared" ca="1" si="90"/>
        <v>1.2012571642628846</v>
      </c>
      <c r="W221" s="304">
        <f t="shared" ca="1" si="91"/>
        <v>98.967194675554936</v>
      </c>
      <c r="Y221" s="314" t="str">
        <f t="shared" ca="1" si="109"/>
        <v/>
      </c>
      <c r="Z221" s="315" t="str">
        <f t="shared" ca="1" si="110"/>
        <v/>
      </c>
      <c r="AA221" s="316" t="str">
        <f t="shared" ca="1" si="111"/>
        <v/>
      </c>
      <c r="AC221" s="310" t="e">
        <f t="shared" ca="1" si="112"/>
        <v>#N/A</v>
      </c>
      <c r="AD221" s="323" t="e">
        <f t="shared" ca="1" si="113"/>
        <v>#N/A</v>
      </c>
      <c r="AE221" s="324">
        <f t="shared" ca="1" si="92"/>
        <v>195.71573934396656</v>
      </c>
      <c r="AG221" s="306">
        <f t="shared" ca="1" si="114"/>
        <v>69.417988976527056</v>
      </c>
      <c r="AH221" s="304">
        <f t="shared" ca="1" si="115"/>
        <v>79.170438359830797</v>
      </c>
    </row>
    <row r="222" spans="1:34" x14ac:dyDescent="0.2">
      <c r="A222" s="347">
        <f t="shared" ca="1" si="93"/>
        <v>0.01</v>
      </c>
      <c r="B222" s="304">
        <f t="shared" ca="1" si="94"/>
        <v>2.1799999999999975</v>
      </c>
      <c r="D222" s="306">
        <f t="shared" ca="1" si="95"/>
        <v>8.5476851451019638</v>
      </c>
      <c r="E222" s="307">
        <f t="shared" ca="1" si="96"/>
        <v>68.710474409552276</v>
      </c>
      <c r="F222" s="304">
        <f t="shared" ca="1" si="97"/>
        <v>69.240105538087789</v>
      </c>
      <c r="G222" s="306">
        <f t="shared" ca="1" si="98"/>
        <v>19.189623408100182</v>
      </c>
      <c r="H222" s="307">
        <f t="shared" ca="1" si="99"/>
        <v>176.18101044525295</v>
      </c>
      <c r="I222" s="304">
        <f t="shared" ca="1" si="100"/>
        <v>177.22299537039495</v>
      </c>
      <c r="J222" s="306">
        <f t="shared" ca="1" si="101"/>
        <v>20.333129614695352</v>
      </c>
      <c r="K222" s="307">
        <f t="shared" ca="1" si="102"/>
        <v>197.4741139246986</v>
      </c>
      <c r="L222" s="304">
        <f t="shared" ca="1" si="87"/>
        <v>198.51816498817644</v>
      </c>
      <c r="M222" s="306">
        <f t="shared" ca="1" si="103"/>
        <v>1.4623040818306712</v>
      </c>
      <c r="N222" s="304">
        <f t="shared" ca="1" si="104"/>
        <v>83.783852253650423</v>
      </c>
      <c r="P222" s="310">
        <f t="shared" ca="1" si="105"/>
        <v>8</v>
      </c>
      <c r="Q222" s="304">
        <f t="shared" ca="1" si="106"/>
        <v>883.41388888888923</v>
      </c>
      <c r="R222" s="306">
        <f t="shared" ca="1" si="107"/>
        <v>0.44253051665396231</v>
      </c>
      <c r="S222" s="307">
        <f t="shared" ca="1" si="108"/>
        <v>9.9316722457079738</v>
      </c>
      <c r="T222" s="304">
        <f t="shared" ca="1" si="88"/>
        <v>97.42970473039523</v>
      </c>
      <c r="U222" s="311">
        <f t="shared" ca="1" si="89"/>
        <v>0</v>
      </c>
      <c r="V222" s="306">
        <f t="shared" ca="1" si="90"/>
        <v>1.2010459364182595</v>
      </c>
      <c r="W222" s="304">
        <f t="shared" ca="1" si="91"/>
        <v>99.727439099410162</v>
      </c>
      <c r="Y222" s="314" t="str">
        <f t="shared" ca="1" si="109"/>
        <v/>
      </c>
      <c r="Z222" s="315" t="str">
        <f t="shared" ca="1" si="110"/>
        <v/>
      </c>
      <c r="AA222" s="316" t="str">
        <f t="shared" ca="1" si="111"/>
        <v/>
      </c>
      <c r="AC222" s="310" t="e">
        <f t="shared" ca="1" si="112"/>
        <v>#N/A</v>
      </c>
      <c r="AD222" s="323" t="e">
        <f t="shared" ca="1" si="113"/>
        <v>#N/A</v>
      </c>
      <c r="AE222" s="324">
        <f t="shared" ca="1" si="92"/>
        <v>197.4741139246986</v>
      </c>
      <c r="AG222" s="306">
        <f t="shared" ca="1" si="114"/>
        <v>69.231966169015024</v>
      </c>
      <c r="AH222" s="304">
        <f t="shared" ca="1" si="115"/>
        <v>78.984351759326046</v>
      </c>
    </row>
    <row r="223" spans="1:34" x14ac:dyDescent="0.2">
      <c r="A223" s="347">
        <f t="shared" ca="1" si="93"/>
        <v>0.01</v>
      </c>
      <c r="B223" s="304">
        <f t="shared" ca="1" si="94"/>
        <v>2.1899999999999973</v>
      </c>
      <c r="D223" s="306">
        <f t="shared" ca="1" si="95"/>
        <v>8.5322084379934644</v>
      </c>
      <c r="E223" s="307">
        <f t="shared" ca="1" si="96"/>
        <v>68.524684947526197</v>
      </c>
      <c r="F223" s="304">
        <f t="shared" ca="1" si="97"/>
        <v>69.053827033605387</v>
      </c>
      <c r="G223" s="306">
        <f t="shared" ca="1" si="98"/>
        <v>19.274945492480118</v>
      </c>
      <c r="H223" s="307">
        <f t="shared" ca="1" si="99"/>
        <v>176.8662572947282</v>
      </c>
      <c r="I223" s="304">
        <f t="shared" ca="1" si="100"/>
        <v>177.91345225469342</v>
      </c>
      <c r="J223" s="306">
        <f t="shared" ca="1" si="101"/>
        <v>20.525452459198252</v>
      </c>
      <c r="K223" s="307">
        <f t="shared" ca="1" si="102"/>
        <v>199.23935026339851</v>
      </c>
      <c r="L223" s="304">
        <f t="shared" ca="1" si="87"/>
        <v>200.29381640988322</v>
      </c>
      <c r="M223" s="306">
        <f t="shared" ca="1" si="103"/>
        <v>1.4622443773946787</v>
      </c>
      <c r="N223" s="304">
        <f t="shared" ca="1" si="104"/>
        <v>83.780431441449849</v>
      </c>
      <c r="P223" s="310">
        <f t="shared" ca="1" si="105"/>
        <v>8</v>
      </c>
      <c r="Q223" s="304">
        <f t="shared" ca="1" si="106"/>
        <v>881.97500000000036</v>
      </c>
      <c r="R223" s="306">
        <f t="shared" ca="1" si="107"/>
        <v>0.44180973078969604</v>
      </c>
      <c r="S223" s="307">
        <f t="shared" ca="1" si="108"/>
        <v>9.9272541484000776</v>
      </c>
      <c r="T223" s="304">
        <f t="shared" ca="1" si="88"/>
        <v>97.386363195804762</v>
      </c>
      <c r="U223" s="311">
        <f t="shared" ca="1" si="89"/>
        <v>0</v>
      </c>
      <c r="V223" s="306">
        <f t="shared" ca="1" si="90"/>
        <v>1.2008339212838253</v>
      </c>
      <c r="W223" s="304">
        <f t="shared" ca="1" si="91"/>
        <v>100.48828276869936</v>
      </c>
      <c r="Y223" s="314" t="str">
        <f t="shared" ca="1" si="109"/>
        <v/>
      </c>
      <c r="Z223" s="315" t="str">
        <f t="shared" ca="1" si="110"/>
        <v/>
      </c>
      <c r="AA223" s="316" t="str">
        <f t="shared" ca="1" si="111"/>
        <v/>
      </c>
      <c r="AC223" s="310" t="e">
        <f t="shared" ca="1" si="112"/>
        <v>#N/A</v>
      </c>
      <c r="AD223" s="323" t="e">
        <f t="shared" ca="1" si="113"/>
        <v>#N/A</v>
      </c>
      <c r="AE223" s="324">
        <f t="shared" ca="1" si="92"/>
        <v>199.23935026339851</v>
      </c>
      <c r="AG223" s="306">
        <f t="shared" ca="1" si="114"/>
        <v>69.04565672015714</v>
      </c>
      <c r="AH223" s="304">
        <f t="shared" ca="1" si="115"/>
        <v>78.797978696522122</v>
      </c>
    </row>
    <row r="224" spans="1:34" x14ac:dyDescent="0.2">
      <c r="A224" s="347">
        <f t="shared" ca="1" si="93"/>
        <v>0.01</v>
      </c>
      <c r="B224" s="304">
        <f t="shared" ca="1" si="94"/>
        <v>2.1999999999999971</v>
      </c>
      <c r="D224" s="306">
        <f t="shared" ca="1" si="95"/>
        <v>8.5166631913059465</v>
      </c>
      <c r="E224" s="307">
        <f t="shared" ca="1" si="96"/>
        <v>68.338617534286982</v>
      </c>
      <c r="F224" s="304">
        <f t="shared" ca="1" si="97"/>
        <v>68.86726507137989</v>
      </c>
      <c r="G224" s="306">
        <f t="shared" ca="1" si="98"/>
        <v>19.360112124393176</v>
      </c>
      <c r="H224" s="307">
        <f t="shared" ca="1" si="99"/>
        <v>177.54964347007106</v>
      </c>
      <c r="I224" s="304">
        <f t="shared" ca="1" si="100"/>
        <v>178.60204320728926</v>
      </c>
      <c r="J224" s="306">
        <f t="shared" ca="1" si="101"/>
        <v>20.718627747282618</v>
      </c>
      <c r="K224" s="307">
        <f t="shared" ca="1" si="102"/>
        <v>201.0114297672225</v>
      </c>
      <c r="L224" s="304">
        <f t="shared" ca="1" si="87"/>
        <v>202.07636287501191</v>
      </c>
      <c r="M224" s="306">
        <f t="shared" ca="1" si="103"/>
        <v>1.4621848705453655</v>
      </c>
      <c r="N224" s="304">
        <f t="shared" ca="1" si="104"/>
        <v>83.777021950132081</v>
      </c>
      <c r="P224" s="310">
        <f t="shared" ca="1" si="105"/>
        <v>8</v>
      </c>
      <c r="Q224" s="304">
        <f t="shared" ca="1" si="106"/>
        <v>880.5361111111115</v>
      </c>
      <c r="R224" s="306">
        <f t="shared" ca="1" si="107"/>
        <v>0.44108894492542972</v>
      </c>
      <c r="S224" s="307">
        <f t="shared" ca="1" si="108"/>
        <v>9.9228432589508238</v>
      </c>
      <c r="T224" s="304">
        <f t="shared" ca="1" si="88"/>
        <v>97.343092370307588</v>
      </c>
      <c r="U224" s="311">
        <f t="shared" ca="1" si="89"/>
        <v>0</v>
      </c>
      <c r="V224" s="306">
        <f t="shared" ca="1" si="90"/>
        <v>1.2006211215145395</v>
      </c>
      <c r="W224" s="304">
        <f t="shared" ca="1" si="91"/>
        <v>101.24969616446582</v>
      </c>
      <c r="Y224" s="314" t="str">
        <f t="shared" ca="1" si="109"/>
        <v/>
      </c>
      <c r="Z224" s="315" t="str">
        <f t="shared" ca="1" si="110"/>
        <v/>
      </c>
      <c r="AA224" s="316" t="str">
        <f t="shared" ca="1" si="111"/>
        <v/>
      </c>
      <c r="AC224" s="310" t="e">
        <f t="shared" ca="1" si="112"/>
        <v>#N/A</v>
      </c>
      <c r="AD224" s="323" t="e">
        <f t="shared" ca="1" si="113"/>
        <v>#N/A</v>
      </c>
      <c r="AE224" s="324">
        <f t="shared" ca="1" si="92"/>
        <v>201.0114297672225</v>
      </c>
      <c r="AG224" s="306">
        <f t="shared" ca="1" si="114"/>
        <v>68.859063637512406</v>
      </c>
      <c r="AH224" s="304">
        <f t="shared" ca="1" si="115"/>
        <v>78.61132217711652</v>
      </c>
    </row>
    <row r="225" spans="1:34" x14ac:dyDescent="0.2">
      <c r="A225" s="347">
        <f t="shared" ca="1" si="93"/>
        <v>0.01</v>
      </c>
      <c r="B225" s="304">
        <f t="shared" ca="1" si="94"/>
        <v>2.2099999999999969</v>
      </c>
      <c r="D225" s="306">
        <f t="shared" ca="1" si="95"/>
        <v>8.5010499522304546</v>
      </c>
      <c r="E225" s="307">
        <f t="shared" ca="1" si="96"/>
        <v>68.15227513775784</v>
      </c>
      <c r="F225" s="304">
        <f t="shared" ca="1" si="97"/>
        <v>68.680422659903329</v>
      </c>
      <c r="G225" s="306">
        <f t="shared" ca="1" si="98"/>
        <v>19.445122623915481</v>
      </c>
      <c r="H225" s="307">
        <f t="shared" ca="1" si="99"/>
        <v>178.23116622144863</v>
      </c>
      <c r="I225" s="304">
        <f t="shared" ca="1" si="100"/>
        <v>179.2887654219214</v>
      </c>
      <c r="J225" s="306">
        <f t="shared" ca="1" si="101"/>
        <v>20.912653921024162</v>
      </c>
      <c r="K225" s="307">
        <f t="shared" ca="1" si="102"/>
        <v>202.7903338156801</v>
      </c>
      <c r="L225" s="304">
        <f t="shared" ca="1" si="87"/>
        <v>203.8657857098525</v>
      </c>
      <c r="M225" s="306">
        <f t="shared" ca="1" si="103"/>
        <v>1.4621255592544984</v>
      </c>
      <c r="N225" s="304">
        <f t="shared" ca="1" si="104"/>
        <v>83.773623663487925</v>
      </c>
      <c r="P225" s="310">
        <f t="shared" ca="1" si="105"/>
        <v>8</v>
      </c>
      <c r="Q225" s="304">
        <f t="shared" ca="1" si="106"/>
        <v>879.09722222222263</v>
      </c>
      <c r="R225" s="306">
        <f t="shared" ca="1" si="107"/>
        <v>0.44036815906116339</v>
      </c>
      <c r="S225" s="307">
        <f t="shared" ca="1" si="108"/>
        <v>9.9184395773602123</v>
      </c>
      <c r="T225" s="304">
        <f t="shared" ca="1" si="88"/>
        <v>97.299892253903693</v>
      </c>
      <c r="U225" s="311">
        <f t="shared" ca="1" si="89"/>
        <v>0</v>
      </c>
      <c r="V225" s="306">
        <f t="shared" ca="1" si="90"/>
        <v>1.2004075397685634</v>
      </c>
      <c r="W225" s="304">
        <f t="shared" ca="1" si="91"/>
        <v>102.01164984181385</v>
      </c>
      <c r="Y225" s="314" t="str">
        <f t="shared" ca="1" si="109"/>
        <v/>
      </c>
      <c r="Z225" s="315" t="str">
        <f t="shared" ca="1" si="110"/>
        <v/>
      </c>
      <c r="AA225" s="316" t="str">
        <f t="shared" ca="1" si="111"/>
        <v/>
      </c>
      <c r="AC225" s="310" t="e">
        <f t="shared" ca="1" si="112"/>
        <v>#N/A</v>
      </c>
      <c r="AD225" s="323" t="e">
        <f t="shared" ca="1" si="113"/>
        <v>#N/A</v>
      </c>
      <c r="AE225" s="324">
        <f t="shared" ca="1" si="92"/>
        <v>202.7903338156801</v>
      </c>
      <c r="AG225" s="306">
        <f t="shared" ca="1" si="114"/>
        <v>68.672189927851676</v>
      </c>
      <c r="AH225" s="304">
        <f t="shared" ca="1" si="115"/>
        <v>78.424385206042714</v>
      </c>
    </row>
    <row r="226" spans="1:34" x14ac:dyDescent="0.2">
      <c r="A226" s="347">
        <f t="shared" ca="1" si="93"/>
        <v>0.01</v>
      </c>
      <c r="B226" s="304">
        <f t="shared" ca="1" si="94"/>
        <v>2.2199999999999966</v>
      </c>
      <c r="D226" s="306">
        <f t="shared" ca="1" si="95"/>
        <v>8.4853692652057919</v>
      </c>
      <c r="E226" s="307">
        <f t="shared" ca="1" si="96"/>
        <v>67.965660725184676</v>
      </c>
      <c r="F226" s="304">
        <f t="shared" ca="1" si="97"/>
        <v>68.493302806754841</v>
      </c>
      <c r="G226" s="306">
        <f t="shared" ca="1" si="98"/>
        <v>19.529976316567538</v>
      </c>
      <c r="H226" s="307">
        <f t="shared" ca="1" si="99"/>
        <v>178.91082282870047</v>
      </c>
      <c r="I226" s="304">
        <f t="shared" ca="1" si="100"/>
        <v>179.97361612238706</v>
      </c>
      <c r="J226" s="306">
        <f t="shared" ca="1" si="101"/>
        <v>21.107529415726578</v>
      </c>
      <c r="K226" s="307">
        <f t="shared" ca="1" si="102"/>
        <v>204.57604376093084</v>
      </c>
      <c r="L226" s="304">
        <f t="shared" ca="1" si="87"/>
        <v>205.66206621278039</v>
      </c>
      <c r="M226" s="306">
        <f t="shared" ca="1" si="103"/>
        <v>1.4620664415211411</v>
      </c>
      <c r="N226" s="304">
        <f t="shared" ca="1" si="104"/>
        <v>83.770236466872163</v>
      </c>
      <c r="P226" s="310">
        <f t="shared" ca="1" si="105"/>
        <v>8</v>
      </c>
      <c r="Q226" s="304">
        <f t="shared" ca="1" si="106"/>
        <v>877.65833333333376</v>
      </c>
      <c r="R226" s="306">
        <f t="shared" ca="1" si="107"/>
        <v>0.43964737319689712</v>
      </c>
      <c r="S226" s="307">
        <f t="shared" ca="1" si="108"/>
        <v>9.9140431036282433</v>
      </c>
      <c r="T226" s="304">
        <f t="shared" ca="1" si="88"/>
        <v>97.256762846593077</v>
      </c>
      <c r="U226" s="311">
        <f t="shared" ca="1" si="89"/>
        <v>0</v>
      </c>
      <c r="V226" s="306">
        <f t="shared" ca="1" si="90"/>
        <v>1.2001931787072042</v>
      </c>
      <c r="W226" s="304">
        <f t="shared" ca="1" si="91"/>
        <v>102.77411443104835</v>
      </c>
      <c r="Y226" s="314" t="str">
        <f t="shared" ca="1" si="109"/>
        <v/>
      </c>
      <c r="Z226" s="315" t="str">
        <f t="shared" ca="1" si="110"/>
        <v/>
      </c>
      <c r="AA226" s="316" t="str">
        <f t="shared" ca="1" si="111"/>
        <v/>
      </c>
      <c r="AC226" s="310" t="e">
        <f t="shared" ca="1" si="112"/>
        <v>#N/A</v>
      </c>
      <c r="AD226" s="323" t="e">
        <f t="shared" ca="1" si="113"/>
        <v>#N/A</v>
      </c>
      <c r="AE226" s="324">
        <f t="shared" ca="1" si="92"/>
        <v>204.57604376093084</v>
      </c>
      <c r="AG226" s="306">
        <f t="shared" ca="1" si="114"/>
        <v>68.485038597018615</v>
      </c>
      <c r="AH226" s="304">
        <f t="shared" ca="1" si="115"/>
        <v>78.237170787330584</v>
      </c>
    </row>
    <row r="227" spans="1:34" x14ac:dyDescent="0.2">
      <c r="A227" s="347">
        <f t="shared" ca="1" si="93"/>
        <v>0.01</v>
      </c>
      <c r="B227" s="304">
        <f t="shared" ca="1" si="94"/>
        <v>2.2299999999999964</v>
      </c>
      <c r="D227" s="306">
        <f t="shared" ca="1" si="95"/>
        <v>8.4696216719574391</v>
      </c>
      <c r="E227" s="307">
        <f t="shared" ca="1" si="96"/>
        <v>67.778777262993572</v>
      </c>
      <c r="F227" s="304">
        <f t="shared" ca="1" si="97"/>
        <v>68.30590851846263</v>
      </c>
      <c r="G227" s="306">
        <f t="shared" ca="1" si="98"/>
        <v>19.614672533287113</v>
      </c>
      <c r="H227" s="307">
        <f t="shared" ca="1" si="99"/>
        <v>179.5886106013304</v>
      </c>
      <c r="I227" s="304">
        <f t="shared" ca="1" si="100"/>
        <v>180.6565925625311</v>
      </c>
      <c r="J227" s="306">
        <f t="shared" ca="1" si="101"/>
        <v>21.30325265997585</v>
      </c>
      <c r="K227" s="307">
        <f t="shared" ca="1" si="102"/>
        <v>206.36854092808099</v>
      </c>
      <c r="L227" s="304">
        <f t="shared" ca="1" si="87"/>
        <v>207.46518565455702</v>
      </c>
      <c r="M227" s="306">
        <f t="shared" ca="1" si="103"/>
        <v>1.4620075153711505</v>
      </c>
      <c r="N227" s="304">
        <f t="shared" ca="1" si="104"/>
        <v>83.766860247174748</v>
      </c>
      <c r="P227" s="310">
        <f t="shared" ca="1" si="105"/>
        <v>8</v>
      </c>
      <c r="Q227" s="304">
        <f t="shared" ca="1" si="106"/>
        <v>876.21944444444489</v>
      </c>
      <c r="R227" s="306">
        <f t="shared" ca="1" si="107"/>
        <v>0.43892658733263079</v>
      </c>
      <c r="S227" s="307">
        <f t="shared" ca="1" si="108"/>
        <v>9.9096538377549166</v>
      </c>
      <c r="T227" s="304">
        <f t="shared" ca="1" si="88"/>
        <v>97.21370414837574</v>
      </c>
      <c r="U227" s="311">
        <f t="shared" ca="1" si="89"/>
        <v>0</v>
      </c>
      <c r="V227" s="306">
        <f t="shared" ca="1" si="90"/>
        <v>1.1999780409948628</v>
      </c>
      <c r="W227" s="304">
        <f t="shared" ca="1" si="91"/>
        <v>103.5370606388052</v>
      </c>
      <c r="Y227" s="314" t="str">
        <f t="shared" ca="1" si="109"/>
        <v/>
      </c>
      <c r="Z227" s="315" t="str">
        <f t="shared" ca="1" si="110"/>
        <v/>
      </c>
      <c r="AA227" s="316" t="str">
        <f t="shared" ca="1" si="111"/>
        <v/>
      </c>
      <c r="AC227" s="310" t="e">
        <f t="shared" ca="1" si="112"/>
        <v>#N/A</v>
      </c>
      <c r="AD227" s="323" t="e">
        <f t="shared" ca="1" si="113"/>
        <v>#N/A</v>
      </c>
      <c r="AE227" s="324">
        <f t="shared" ca="1" si="92"/>
        <v>206.36854092808099</v>
      </c>
      <c r="AG227" s="306">
        <f t="shared" ca="1" si="114"/>
        <v>68.297612649791233</v>
      </c>
      <c r="AH227" s="304">
        <f t="shared" ca="1" si="115"/>
        <v>78.04968192396764</v>
      </c>
    </row>
    <row r="228" spans="1:34" x14ac:dyDescent="0.2">
      <c r="A228" s="347">
        <f t="shared" ca="1" si="93"/>
        <v>0.01</v>
      </c>
      <c r="B228" s="304">
        <f t="shared" ca="1" si="94"/>
        <v>2.2399999999999962</v>
      </c>
      <c r="D228" s="306">
        <f t="shared" ca="1" si="95"/>
        <v>8.4538077115354522</v>
      </c>
      <c r="E228" s="307">
        <f t="shared" ca="1" si="96"/>
        <v>67.591627716648787</v>
      </c>
      <c r="F228" s="304">
        <f t="shared" ca="1" si="97"/>
        <v>68.118242800366346</v>
      </c>
      <c r="G228" s="306">
        <f t="shared" ca="1" si="98"/>
        <v>19.699210610402467</v>
      </c>
      <c r="H228" s="307">
        <f t="shared" ca="1" si="99"/>
        <v>180.26452687849689</v>
      </c>
      <c r="I228" s="304">
        <f t="shared" ca="1" si="100"/>
        <v>181.33769202623409</v>
      </c>
      <c r="J228" s="306">
        <f t="shared" ca="1" si="101"/>
        <v>21.499822075694297</v>
      </c>
      <c r="K228" s="307">
        <f t="shared" ca="1" si="102"/>
        <v>208.16780661548012</v>
      </c>
      <c r="L228" s="304">
        <f t="shared" ca="1" si="87"/>
        <v>209.27512527863038</v>
      </c>
      <c r="M228" s="306">
        <f t="shared" ca="1" si="103"/>
        <v>1.4619487788566863</v>
      </c>
      <c r="N228" s="304">
        <f t="shared" ca="1" si="104"/>
        <v>83.76349489279265</v>
      </c>
      <c r="P228" s="310">
        <f t="shared" ca="1" si="105"/>
        <v>8</v>
      </c>
      <c r="Q228" s="304">
        <f t="shared" ca="1" si="106"/>
        <v>874.78055555555613</v>
      </c>
      <c r="R228" s="306">
        <f t="shared" ca="1" si="107"/>
        <v>0.43820580146836452</v>
      </c>
      <c r="S228" s="307">
        <f t="shared" ca="1" si="108"/>
        <v>9.9052717797402323</v>
      </c>
      <c r="T228" s="304">
        <f t="shared" ca="1" si="88"/>
        <v>97.170716159251683</v>
      </c>
      <c r="U228" s="311">
        <f t="shared" ca="1" si="89"/>
        <v>0</v>
      </c>
      <c r="V228" s="306">
        <f t="shared" ca="1" si="90"/>
        <v>1.1997621292989773</v>
      </c>
      <c r="W228" s="304">
        <f t="shared" ca="1" si="91"/>
        <v>104.30045924917181</v>
      </c>
      <c r="Y228" s="314" t="str">
        <f t="shared" ca="1" si="109"/>
        <v/>
      </c>
      <c r="Z228" s="315" t="str">
        <f t="shared" ca="1" si="110"/>
        <v/>
      </c>
      <c r="AA228" s="316" t="str">
        <f t="shared" ca="1" si="111"/>
        <v/>
      </c>
      <c r="AC228" s="310" t="e">
        <f t="shared" ca="1" si="112"/>
        <v>#N/A</v>
      </c>
      <c r="AD228" s="323" t="e">
        <f t="shared" ca="1" si="113"/>
        <v>#N/A</v>
      </c>
      <c r="AE228" s="324">
        <f t="shared" ca="1" si="92"/>
        <v>208.16780661548012</v>
      </c>
      <c r="AG228" s="306">
        <f t="shared" ca="1" si="114"/>
        <v>68.109915089744035</v>
      </c>
      <c r="AH228" s="304">
        <f t="shared" ca="1" si="115"/>
        <v>77.8619216177607</v>
      </c>
    </row>
    <row r="229" spans="1:34" x14ac:dyDescent="0.2">
      <c r="A229" s="347">
        <f t="shared" ca="1" si="93"/>
        <v>0.01</v>
      </c>
      <c r="B229" s="304">
        <f t="shared" ca="1" si="94"/>
        <v>2.249999999999996</v>
      </c>
      <c r="D229" s="306">
        <f t="shared" ca="1" si="95"/>
        <v>8.4379279203510009</v>
      </c>
      <c r="E229" s="307">
        <f t="shared" ca="1" si="96"/>
        <v>67.404215050511468</v>
      </c>
      <c r="F229" s="304">
        <f t="shared" ca="1" si="97"/>
        <v>67.930308656479951</v>
      </c>
      <c r="G229" s="306">
        <f t="shared" ca="1" si="98"/>
        <v>19.783589889605977</v>
      </c>
      <c r="H229" s="307">
        <f t="shared" ca="1" si="99"/>
        <v>180.938569029002</v>
      </c>
      <c r="I229" s="304">
        <f t="shared" ca="1" si="100"/>
        <v>182.0169118273987</v>
      </c>
      <c r="J229" s="306">
        <f t="shared" ca="1" si="101"/>
        <v>21.69723607819434</v>
      </c>
      <c r="K229" s="307">
        <f t="shared" ca="1" si="102"/>
        <v>209.97382209501762</v>
      </c>
      <c r="L229" s="304">
        <f t="shared" ca="1" si="87"/>
        <v>211.09186630143523</v>
      </c>
      <c r="M229" s="306">
        <f t="shared" ca="1" si="103"/>
        <v>1.4618902300557317</v>
      </c>
      <c r="N229" s="304">
        <f t="shared" ca="1" si="104"/>
        <v>83.76014029360239</v>
      </c>
      <c r="P229" s="310">
        <f t="shared" ca="1" si="105"/>
        <v>8</v>
      </c>
      <c r="Q229" s="304">
        <f t="shared" ca="1" si="106"/>
        <v>873.34166666666727</v>
      </c>
      <c r="R229" s="306">
        <f t="shared" ca="1" si="107"/>
        <v>0.43748501560409825</v>
      </c>
      <c r="S229" s="307">
        <f t="shared" ca="1" si="108"/>
        <v>9.9008969295841922</v>
      </c>
      <c r="T229" s="304">
        <f t="shared" ca="1" si="88"/>
        <v>97.127798879220933</v>
      </c>
      <c r="U229" s="311">
        <f t="shared" ca="1" si="89"/>
        <v>0</v>
      </c>
      <c r="V229" s="306">
        <f t="shared" ca="1" si="90"/>
        <v>1.1995454462899715</v>
      </c>
      <c r="W229" s="304">
        <f t="shared" ca="1" si="91"/>
        <v>105.06428112479783</v>
      </c>
      <c r="Y229" s="314" t="str">
        <f t="shared" ca="1" si="109"/>
        <v/>
      </c>
      <c r="Z229" s="315" t="str">
        <f t="shared" ca="1" si="110"/>
        <v/>
      </c>
      <c r="AA229" s="316" t="str">
        <f t="shared" ca="1" si="111"/>
        <v/>
      </c>
      <c r="AC229" s="310" t="e">
        <f t="shared" ca="1" si="112"/>
        <v>#N/A</v>
      </c>
      <c r="AD229" s="323" t="e">
        <f t="shared" ca="1" si="113"/>
        <v>#N/A</v>
      </c>
      <c r="AE229" s="324">
        <f t="shared" ca="1" si="92"/>
        <v>209.97382209501762</v>
      </c>
      <c r="AG229" s="306">
        <f t="shared" ca="1" si="114"/>
        <v>67.921948919110704</v>
      </c>
      <c r="AH229" s="304">
        <f t="shared" ca="1" si="115"/>
        <v>77.673892869198156</v>
      </c>
    </row>
    <row r="230" spans="1:34" x14ac:dyDescent="0.2">
      <c r="A230" s="347">
        <f t="shared" ca="1" si="93"/>
        <v>0.01</v>
      </c>
      <c r="B230" s="304">
        <f t="shared" ca="1" si="94"/>
        <v>2.2599999999999958</v>
      </c>
      <c r="D230" s="306">
        <f t="shared" ca="1" si="95"/>
        <v>8.4219828322117944</v>
      </c>
      <c r="E230" s="307">
        <f t="shared" ca="1" si="96"/>
        <v>67.216542227699421</v>
      </c>
      <c r="F230" s="304">
        <f t="shared" ca="1" si="97"/>
        <v>67.742109089355708</v>
      </c>
      <c r="G230" s="306">
        <f t="shared" ca="1" si="98"/>
        <v>19.867809717928097</v>
      </c>
      <c r="H230" s="307">
        <f t="shared" ca="1" si="99"/>
        <v>181.610734451279</v>
      </c>
      <c r="I230" s="304">
        <f t="shared" ca="1" si="100"/>
        <v>182.69424930993523</v>
      </c>
      <c r="J230" s="306">
        <f t="shared" ca="1" si="101"/>
        <v>21.895493076232011</v>
      </c>
      <c r="K230" s="307">
        <f t="shared" ca="1" si="102"/>
        <v>211.78656861241902</v>
      </c>
      <c r="L230" s="304">
        <f t="shared" ca="1" si="87"/>
        <v>212.91538991269323</v>
      </c>
      <c r="M230" s="306">
        <f t="shared" ca="1" si="103"/>
        <v>1.461831867071625</v>
      </c>
      <c r="N230" s="304">
        <f t="shared" ca="1" si="104"/>
        <v>83.756796340933292</v>
      </c>
      <c r="P230" s="310">
        <f t="shared" ca="1" si="105"/>
        <v>8</v>
      </c>
      <c r="Q230" s="304">
        <f t="shared" ca="1" si="106"/>
        <v>871.9027777777784</v>
      </c>
      <c r="R230" s="306">
        <f t="shared" ca="1" si="107"/>
        <v>0.43676422973983192</v>
      </c>
      <c r="S230" s="307">
        <f t="shared" ca="1" si="108"/>
        <v>9.8965292872867945</v>
      </c>
      <c r="T230" s="304">
        <f t="shared" ca="1" si="88"/>
        <v>97.084952308283462</v>
      </c>
      <c r="U230" s="311">
        <f t="shared" ca="1" si="89"/>
        <v>0</v>
      </c>
      <c r="V230" s="306">
        <f t="shared" ca="1" si="90"/>
        <v>1.1993279946411957</v>
      </c>
      <c r="W230" s="304">
        <f t="shared" ca="1" si="91"/>
        <v>105.82849720799626</v>
      </c>
      <c r="Y230" s="314" t="str">
        <f t="shared" ca="1" si="109"/>
        <v/>
      </c>
      <c r="Z230" s="315" t="str">
        <f t="shared" ca="1" si="110"/>
        <v/>
      </c>
      <c r="AA230" s="316" t="str">
        <f t="shared" ca="1" si="111"/>
        <v/>
      </c>
      <c r="AC230" s="310" t="e">
        <f t="shared" ca="1" si="112"/>
        <v>#N/A</v>
      </c>
      <c r="AD230" s="323" t="e">
        <f t="shared" ca="1" si="113"/>
        <v>#N/A</v>
      </c>
      <c r="AE230" s="324">
        <f t="shared" ca="1" si="92"/>
        <v>211.78656861241902</v>
      </c>
      <c r="AG230" s="306">
        <f t="shared" ca="1" si="114"/>
        <v>67.733717138647677</v>
      </c>
      <c r="AH230" s="304">
        <f t="shared" ca="1" si="115"/>
        <v>77.485598677313149</v>
      </c>
    </row>
    <row r="231" spans="1:34" x14ac:dyDescent="0.2">
      <c r="A231" s="347">
        <f t="shared" ca="1" si="93"/>
        <v>0.01</v>
      </c>
      <c r="B231" s="304">
        <f t="shared" ca="1" si="94"/>
        <v>2.2699999999999956</v>
      </c>
      <c r="D231" s="306">
        <f t="shared" ca="1" si="95"/>
        <v>8.4059729783563348</v>
      </c>
      <c r="E231" s="307">
        <f t="shared" ca="1" si="96"/>
        <v>67.028612209947241</v>
      </c>
      <c r="F231" s="304">
        <f t="shared" ca="1" si="97"/>
        <v>67.553647099948236</v>
      </c>
      <c r="G231" s="306">
        <f t="shared" ca="1" si="98"/>
        <v>19.951869447711662</v>
      </c>
      <c r="H231" s="307">
        <f t="shared" ca="1" si="99"/>
        <v>182.28102057337847</v>
      </c>
      <c r="I231" s="304">
        <f t="shared" ca="1" si="100"/>
        <v>183.36970184774518</v>
      </c>
      <c r="J231" s="306">
        <f t="shared" ca="1" si="101"/>
        <v>22.094591472060209</v>
      </c>
      <c r="K231" s="307">
        <f t="shared" ca="1" si="102"/>
        <v>213.6060273875423</v>
      </c>
      <c r="L231" s="304">
        <f t="shared" ca="1" si="87"/>
        <v>214.74567727571306</v>
      </c>
      <c r="M231" s="306">
        <f t="shared" ca="1" si="103"/>
        <v>1.4617736880326004</v>
      </c>
      <c r="N231" s="304">
        <f t="shared" ca="1" si="104"/>
        <v>83.753462927541065</v>
      </c>
      <c r="P231" s="310">
        <f t="shared" ca="1" si="105"/>
        <v>8</v>
      </c>
      <c r="Q231" s="304">
        <f t="shared" ca="1" si="106"/>
        <v>870.46388888888953</v>
      </c>
      <c r="R231" s="306">
        <f t="shared" ca="1" si="107"/>
        <v>0.43604344387556565</v>
      </c>
      <c r="S231" s="307">
        <f t="shared" ca="1" si="108"/>
        <v>9.8921688528480392</v>
      </c>
      <c r="T231" s="304">
        <f t="shared" ca="1" si="88"/>
        <v>97.042176446439271</v>
      </c>
      <c r="U231" s="311">
        <f t="shared" ca="1" si="89"/>
        <v>0</v>
      </c>
      <c r="V231" s="306">
        <f t="shared" ca="1" si="90"/>
        <v>1.1991097770288783</v>
      </c>
      <c r="W231" s="304">
        <f t="shared" ca="1" si="91"/>
        <v>106.59307852183483</v>
      </c>
      <c r="Y231" s="314" t="str">
        <f t="shared" ca="1" si="109"/>
        <v/>
      </c>
      <c r="Z231" s="315" t="str">
        <f t="shared" ca="1" si="110"/>
        <v/>
      </c>
      <c r="AA231" s="316" t="str">
        <f t="shared" ca="1" si="111"/>
        <v/>
      </c>
      <c r="AC231" s="310" t="e">
        <f t="shared" ca="1" si="112"/>
        <v>#N/A</v>
      </c>
      <c r="AD231" s="323" t="e">
        <f t="shared" ca="1" si="113"/>
        <v>#N/A</v>
      </c>
      <c r="AE231" s="324">
        <f t="shared" ca="1" si="92"/>
        <v>213.6060273875423</v>
      </c>
      <c r="AG231" s="306">
        <f t="shared" ca="1" si="114"/>
        <v>67.54522274749803</v>
      </c>
      <c r="AH231" s="304">
        <f t="shared" ca="1" si="115"/>
        <v>77.297042039547094</v>
      </c>
    </row>
    <row r="232" spans="1:34" x14ac:dyDescent="0.2">
      <c r="A232" s="347">
        <f t="shared" ca="1" si="93"/>
        <v>0.01</v>
      </c>
      <c r="B232" s="304">
        <f t="shared" ca="1" si="94"/>
        <v>2.2799999999999954</v>
      </c>
      <c r="D232" s="306">
        <f t="shared" ca="1" si="95"/>
        <v>8.3898988874871776</v>
      </c>
      <c r="E232" s="307">
        <f t="shared" ca="1" si="96"/>
        <v>66.840427957467284</v>
      </c>
      <c r="F232" s="304">
        <f t="shared" ca="1" si="97"/>
        <v>67.364925687479484</v>
      </c>
      <c r="G232" s="306">
        <f t="shared" ca="1" si="98"/>
        <v>20.035768436586533</v>
      </c>
      <c r="H232" s="307">
        <f t="shared" ca="1" si="99"/>
        <v>182.94942485295314</v>
      </c>
      <c r="I232" s="304">
        <f t="shared" ca="1" si="100"/>
        <v>184.04326684470385</v>
      </c>
      <c r="J232" s="306">
        <f t="shared" ca="1" si="101"/>
        <v>22.2945296614817</v>
      </c>
      <c r="K232" s="307">
        <f t="shared" ca="1" si="102"/>
        <v>215.43217961467394</v>
      </c>
      <c r="L232" s="304">
        <f t="shared" ca="1" si="87"/>
        <v>216.58270952769018</v>
      </c>
      <c r="M232" s="306">
        <f t="shared" ca="1" si="103"/>
        <v>1.4617156910913409</v>
      </c>
      <c r="N232" s="304">
        <f t="shared" ca="1" si="104"/>
        <v>83.750139947582227</v>
      </c>
      <c r="P232" s="310">
        <f t="shared" ca="1" si="105"/>
        <v>8</v>
      </c>
      <c r="Q232" s="304">
        <f t="shared" ca="1" si="106"/>
        <v>869.02500000000066</v>
      </c>
      <c r="R232" s="306">
        <f t="shared" ca="1" si="107"/>
        <v>0.43532265801129932</v>
      </c>
      <c r="S232" s="307">
        <f t="shared" ca="1" si="108"/>
        <v>9.8878156262679262</v>
      </c>
      <c r="T232" s="304">
        <f t="shared" ca="1" si="88"/>
        <v>96.999471293688359</v>
      </c>
      <c r="U232" s="311">
        <f t="shared" ca="1" si="89"/>
        <v>0</v>
      </c>
      <c r="V232" s="306">
        <f t="shared" ca="1" si="90"/>
        <v>1.1988907961320663</v>
      </c>
      <c r="W232" s="304">
        <f t="shared" ca="1" si="91"/>
        <v>107.35799617121668</v>
      </c>
      <c r="Y232" s="314" t="str">
        <f t="shared" ca="1" si="109"/>
        <v/>
      </c>
      <c r="Z232" s="315" t="str">
        <f t="shared" ca="1" si="110"/>
        <v/>
      </c>
      <c r="AA232" s="316" t="str">
        <f t="shared" ca="1" si="111"/>
        <v/>
      </c>
      <c r="AC232" s="310" t="e">
        <f t="shared" ca="1" si="112"/>
        <v>#N/A</v>
      </c>
      <c r="AD232" s="323" t="e">
        <f t="shared" ca="1" si="113"/>
        <v>#N/A</v>
      </c>
      <c r="AE232" s="324">
        <f t="shared" ca="1" si="92"/>
        <v>215.43217961467394</v>
      </c>
      <c r="AG232" s="306">
        <f t="shared" ca="1" si="114"/>
        <v>67.356468743056098</v>
      </c>
      <c r="AH232" s="304">
        <f t="shared" ca="1" si="115"/>
        <v>77.108225951613889</v>
      </c>
    </row>
    <row r="233" spans="1:34" x14ac:dyDescent="0.2">
      <c r="A233" s="347">
        <f t="shared" ca="1" si="93"/>
        <v>0.01</v>
      </c>
      <c r="B233" s="304">
        <f t="shared" ca="1" si="94"/>
        <v>2.2899999999999952</v>
      </c>
      <c r="D233" s="306">
        <f t="shared" ca="1" si="95"/>
        <v>8.3737610858030127</v>
      </c>
      <c r="E233" s="307">
        <f t="shared" ca="1" si="96"/>
        <v>66.651992428811567</v>
      </c>
      <c r="F233" s="304">
        <f t="shared" ca="1" si="97"/>
        <v>67.175947849304393</v>
      </c>
      <c r="G233" s="306">
        <f t="shared" ca="1" si="98"/>
        <v>20.119506047444563</v>
      </c>
      <c r="H233" s="307">
        <f t="shared" ca="1" si="99"/>
        <v>183.61594477724125</v>
      </c>
      <c r="I233" s="304">
        <f t="shared" ca="1" si="100"/>
        <v>184.71494173464168</v>
      </c>
      <c r="J233" s="306">
        <f t="shared" ca="1" si="101"/>
        <v>22.495306033901855</v>
      </c>
      <c r="K233" s="307">
        <f t="shared" ca="1" si="102"/>
        <v>217.26500646282491</v>
      </c>
      <c r="L233" s="304">
        <f t="shared" ca="1" si="87"/>
        <v>218.42646778000659</v>
      </c>
      <c r="M233" s="306">
        <f t="shared" ca="1" si="103"/>
        <v>1.4616578744245408</v>
      </c>
      <c r="N233" s="304">
        <f t="shared" ca="1" si="104"/>
        <v>83.746827296589061</v>
      </c>
      <c r="P233" s="310">
        <f t="shared" ca="1" si="105"/>
        <v>8</v>
      </c>
      <c r="Q233" s="304">
        <f t="shared" ca="1" si="106"/>
        <v>867.58611111111179</v>
      </c>
      <c r="R233" s="306">
        <f t="shared" ca="1" si="107"/>
        <v>0.434601872147033</v>
      </c>
      <c r="S233" s="307">
        <f t="shared" ca="1" si="108"/>
        <v>9.8834696075464556</v>
      </c>
      <c r="T233" s="304">
        <f t="shared" ca="1" si="88"/>
        <v>96.95683685003074</v>
      </c>
      <c r="U233" s="311">
        <f t="shared" ca="1" si="89"/>
        <v>0</v>
      </c>
      <c r="V233" s="306">
        <f t="shared" ca="1" si="90"/>
        <v>1.1986710546325745</v>
      </c>
      <c r="W233" s="304">
        <f t="shared" ca="1" si="91"/>
        <v>108.12322134395255</v>
      </c>
      <c r="Y233" s="314" t="str">
        <f t="shared" ca="1" si="109"/>
        <v/>
      </c>
      <c r="Z233" s="315" t="str">
        <f t="shared" ca="1" si="110"/>
        <v/>
      </c>
      <c r="AA233" s="316" t="str">
        <f t="shared" ca="1" si="111"/>
        <v/>
      </c>
      <c r="AC233" s="310" t="e">
        <f t="shared" ca="1" si="112"/>
        <v>#N/A</v>
      </c>
      <c r="AD233" s="323" t="e">
        <f t="shared" ca="1" si="113"/>
        <v>#N/A</v>
      </c>
      <c r="AE233" s="324">
        <f t="shared" ca="1" si="92"/>
        <v>217.26500646282491</v>
      </c>
      <c r="AG233" s="306">
        <f t="shared" ca="1" si="114"/>
        <v>67.167458120832862</v>
      </c>
      <c r="AH233" s="304">
        <f t="shared" ca="1" si="115"/>
        <v>76.919153407364973</v>
      </c>
    </row>
    <row r="234" spans="1:34" x14ac:dyDescent="0.2">
      <c r="A234" s="347">
        <f t="shared" ca="1" si="93"/>
        <v>0.01</v>
      </c>
      <c r="B234" s="304">
        <f t="shared" ca="1" si="94"/>
        <v>2.2999999999999949</v>
      </c>
      <c r="D234" s="306">
        <f t="shared" ca="1" si="95"/>
        <v>8.3575600970297295</v>
      </c>
      <c r="E234" s="307">
        <f t="shared" ca="1" si="96"/>
        <v>66.463308580734207</v>
      </c>
      <c r="F234" s="304">
        <f t="shared" ca="1" si="97"/>
        <v>66.986716580777127</v>
      </c>
      <c r="G234" s="306">
        <f t="shared" ca="1" si="98"/>
        <v>20.203081648414862</v>
      </c>
      <c r="H234" s="307">
        <f t="shared" ca="1" si="99"/>
        <v>184.28057786304859</v>
      </c>
      <c r="I234" s="304">
        <f t="shared" ca="1" si="100"/>
        <v>185.38472398132384</v>
      </c>
      <c r="J234" s="306">
        <f t="shared" ca="1" si="101"/>
        <v>22.696918972381152</v>
      </c>
      <c r="K234" s="307">
        <f t="shared" ca="1" si="102"/>
        <v>219.10448907602637</v>
      </c>
      <c r="L234" s="304">
        <f t="shared" ca="1" si="87"/>
        <v>220.27693311853011</v>
      </c>
      <c r="M234" s="306">
        <f t="shared" ca="1" si="103"/>
        <v>1.4616002362324765</v>
      </c>
      <c r="N234" s="304">
        <f t="shared" ca="1" si="104"/>
        <v>83.743524871445004</v>
      </c>
      <c r="P234" s="310">
        <f t="shared" ca="1" si="105"/>
        <v>8</v>
      </c>
      <c r="Q234" s="304">
        <f t="shared" ca="1" si="106"/>
        <v>866.14722222222292</v>
      </c>
      <c r="R234" s="306">
        <f t="shared" ca="1" si="107"/>
        <v>0.43388108628276673</v>
      </c>
      <c r="S234" s="307">
        <f t="shared" ca="1" si="108"/>
        <v>9.8791307966836275</v>
      </c>
      <c r="T234" s="304">
        <f t="shared" ca="1" si="88"/>
        <v>96.914273115466386</v>
      </c>
      <c r="U234" s="311">
        <f t="shared" ca="1" si="89"/>
        <v>0</v>
      </c>
      <c r="V234" s="306">
        <f t="shared" ca="1" si="90"/>
        <v>1.1984505552149309</v>
      </c>
      <c r="W234" s="304">
        <f t="shared" ca="1" si="91"/>
        <v>108.8887253118216</v>
      </c>
      <c r="Y234" s="314" t="str">
        <f t="shared" ca="1" si="109"/>
        <v/>
      </c>
      <c r="Z234" s="315" t="str">
        <f t="shared" ca="1" si="110"/>
        <v/>
      </c>
      <c r="AA234" s="316" t="str">
        <f t="shared" ca="1" si="111"/>
        <v/>
      </c>
      <c r="AC234" s="310" t="e">
        <f t="shared" ca="1" si="112"/>
        <v>#N/A</v>
      </c>
      <c r="AD234" s="323" t="e">
        <f t="shared" ca="1" si="113"/>
        <v>#N/A</v>
      </c>
      <c r="AE234" s="324">
        <f t="shared" ca="1" si="92"/>
        <v>219.10448907602637</v>
      </c>
      <c r="AG234" s="306">
        <f t="shared" ca="1" si="114"/>
        <v>66.978193874321931</v>
      </c>
      <c r="AH234" s="304">
        <f t="shared" ca="1" si="115"/>
        <v>76.729827398654862</v>
      </c>
    </row>
    <row r="235" spans="1:34" x14ac:dyDescent="0.2">
      <c r="A235" s="347">
        <f t="shared" ca="1" si="93"/>
        <v>0.01</v>
      </c>
      <c r="B235" s="304">
        <f t="shared" ca="1" si="94"/>
        <v>2.3099999999999947</v>
      </c>
      <c r="D235" s="306">
        <f t="shared" ca="1" si="95"/>
        <v>8.3412964424505631</v>
      </c>
      <c r="E235" s="307">
        <f t="shared" ca="1" si="96"/>
        <v>66.274379368054724</v>
      </c>
      <c r="F235" s="304">
        <f t="shared" ca="1" si="97"/>
        <v>66.797234875117965</v>
      </c>
      <c r="G235" s="306">
        <f t="shared" ca="1" si="98"/>
        <v>20.28649461283937</v>
      </c>
      <c r="H235" s="307">
        <f t="shared" ca="1" si="99"/>
        <v>184.94332165672913</v>
      </c>
      <c r="I235" s="304">
        <f t="shared" ca="1" si="100"/>
        <v>186.05261107842892</v>
      </c>
      <c r="J235" s="306">
        <f t="shared" ca="1" si="101"/>
        <v>22.899366853687422</v>
      </c>
      <c r="K235" s="307">
        <f t="shared" ca="1" si="102"/>
        <v>220.95060857362526</v>
      </c>
      <c r="L235" s="304">
        <f t="shared" ca="1" si="87"/>
        <v>222.13408660391391</v>
      </c>
      <c r="M235" s="306">
        <f t="shared" ca="1" si="103"/>
        <v>1.4615427747385898</v>
      </c>
      <c r="N235" s="304">
        <f t="shared" ca="1" si="104"/>
        <v>83.740232570360789</v>
      </c>
      <c r="P235" s="310">
        <f t="shared" ca="1" si="105"/>
        <v>8</v>
      </c>
      <c r="Q235" s="304">
        <f t="shared" ca="1" si="106"/>
        <v>864.70833333333405</v>
      </c>
      <c r="R235" s="306">
        <f t="shared" ca="1" si="107"/>
        <v>0.4331603004185004</v>
      </c>
      <c r="S235" s="307">
        <f t="shared" ca="1" si="108"/>
        <v>9.8747991936794417</v>
      </c>
      <c r="T235" s="304">
        <f t="shared" ca="1" si="88"/>
        <v>96.871780089995326</v>
      </c>
      <c r="U235" s="311">
        <f t="shared" ca="1" si="89"/>
        <v>0</v>
      </c>
      <c r="V235" s="306">
        <f t="shared" ca="1" si="90"/>
        <v>1.1982293005663216</v>
      </c>
      <c r="W235" s="304">
        <f t="shared" ca="1" si="91"/>
        <v>109.65447943162293</v>
      </c>
      <c r="Y235" s="314" t="str">
        <f t="shared" ca="1" si="109"/>
        <v/>
      </c>
      <c r="Z235" s="315" t="str">
        <f t="shared" ca="1" si="110"/>
        <v/>
      </c>
      <c r="AA235" s="316" t="str">
        <f t="shared" ca="1" si="111"/>
        <v/>
      </c>
      <c r="AC235" s="310" t="e">
        <f t="shared" ca="1" si="112"/>
        <v>#N/A</v>
      </c>
      <c r="AD235" s="323" t="e">
        <f t="shared" ca="1" si="113"/>
        <v>#N/A</v>
      </c>
      <c r="AE235" s="324">
        <f t="shared" ca="1" si="92"/>
        <v>220.95060857362526</v>
      </c>
      <c r="AG235" s="306">
        <f t="shared" ca="1" si="114"/>
        <v>66.788678994866089</v>
      </c>
      <c r="AH235" s="304">
        <f t="shared" ca="1" si="115"/>
        <v>76.540250915207423</v>
      </c>
    </row>
    <row r="236" spans="1:34" x14ac:dyDescent="0.2">
      <c r="A236" s="347">
        <f t="shared" ca="1" si="93"/>
        <v>0.01</v>
      </c>
      <c r="B236" s="304">
        <f t="shared" ca="1" si="94"/>
        <v>2.3199999999999945</v>
      </c>
      <c r="D236" s="306">
        <f t="shared" ca="1" si="95"/>
        <v>8.3249706409351134</v>
      </c>
      <c r="E236" s="307">
        <f t="shared" ca="1" si="96"/>
        <v>66.085207743522204</v>
      </c>
      <c r="F236" s="304">
        <f t="shared" ca="1" si="97"/>
        <v>66.607505723281065</v>
      </c>
      <c r="G236" s="306">
        <f t="shared" ca="1" si="98"/>
        <v>20.369744319248721</v>
      </c>
      <c r="H236" s="307">
        <f t="shared" ca="1" si="99"/>
        <v>185.60417373416433</v>
      </c>
      <c r="I236" s="304">
        <f t="shared" ca="1" si="100"/>
        <v>186.71860054952592</v>
      </c>
      <c r="J236" s="306">
        <f t="shared" ca="1" si="101"/>
        <v>23.102648048347863</v>
      </c>
      <c r="K236" s="307">
        <f t="shared" ca="1" si="102"/>
        <v>222.80334605057973</v>
      </c>
      <c r="L236" s="304">
        <f t="shared" ca="1" si="87"/>
        <v>223.99790927189525</v>
      </c>
      <c r="M236" s="306">
        <f t="shared" ca="1" si="103"/>
        <v>1.4614854881890773</v>
      </c>
      <c r="N236" s="304">
        <f t="shared" ca="1" si="104"/>
        <v>83.73695029285085</v>
      </c>
      <c r="P236" s="310">
        <f t="shared" ca="1" si="105"/>
        <v>8</v>
      </c>
      <c r="Q236" s="304">
        <f t="shared" ca="1" si="106"/>
        <v>863.2694444444453</v>
      </c>
      <c r="R236" s="306">
        <f t="shared" ca="1" si="107"/>
        <v>0.43243951455423413</v>
      </c>
      <c r="S236" s="307">
        <f t="shared" ca="1" si="108"/>
        <v>9.8704747985339001</v>
      </c>
      <c r="T236" s="304">
        <f t="shared" ca="1" si="88"/>
        <v>96.829357773617559</v>
      </c>
      <c r="U236" s="311">
        <f t="shared" ca="1" si="89"/>
        <v>0</v>
      </c>
      <c r="V236" s="306">
        <f t="shared" ca="1" si="90"/>
        <v>1.1980072933765376</v>
      </c>
      <c r="W236" s="304">
        <f t="shared" ca="1" si="91"/>
        <v>110.42045514621691</v>
      </c>
      <c r="Y236" s="314" t="str">
        <f t="shared" ca="1" si="109"/>
        <v/>
      </c>
      <c r="Z236" s="315" t="str">
        <f t="shared" ca="1" si="110"/>
        <v/>
      </c>
      <c r="AA236" s="316" t="str">
        <f t="shared" ca="1" si="111"/>
        <v/>
      </c>
      <c r="AC236" s="310" t="e">
        <f t="shared" ca="1" si="112"/>
        <v>#N/A</v>
      </c>
      <c r="AD236" s="323" t="e">
        <f t="shared" ca="1" si="113"/>
        <v>#N/A</v>
      </c>
      <c r="AE236" s="324">
        <f t="shared" ca="1" si="92"/>
        <v>222.80334605057973</v>
      </c>
      <c r="AG236" s="306">
        <f t="shared" ca="1" si="114"/>
        <v>66.59891647152476</v>
      </c>
      <c r="AH236" s="304">
        <f t="shared" ca="1" si="115"/>
        <v>76.350426944482933</v>
      </c>
    </row>
    <row r="237" spans="1:34" x14ac:dyDescent="0.2">
      <c r="A237" s="347">
        <f t="shared" ca="1" si="93"/>
        <v>0.01</v>
      </c>
      <c r="B237" s="304">
        <f t="shared" ca="1" si="94"/>
        <v>2.3299999999999943</v>
      </c>
      <c r="D237" s="306">
        <f t="shared" ca="1" si="95"/>
        <v>8.3085832089675655</v>
      </c>
      <c r="E237" s="307">
        <f t="shared" ca="1" si="96"/>
        <v>65.895796657679981</v>
      </c>
      <c r="F237" s="304">
        <f t="shared" ca="1" si="97"/>
        <v>66.417532113822517</v>
      </c>
      <c r="G237" s="306">
        <f t="shared" ca="1" si="98"/>
        <v>20.452830151338397</v>
      </c>
      <c r="H237" s="307">
        <f t="shared" ca="1" si="99"/>
        <v>186.26313170074113</v>
      </c>
      <c r="I237" s="304">
        <f t="shared" ca="1" si="100"/>
        <v>187.38268994805026</v>
      </c>
      <c r="J237" s="306">
        <f t="shared" ca="1" si="101"/>
        <v>23.3067609207008</v>
      </c>
      <c r="K237" s="307">
        <f t="shared" ca="1" si="102"/>
        <v>224.66268257775425</v>
      </c>
      <c r="L237" s="304">
        <f t="shared" ca="1" si="87"/>
        <v>225.86838213359448</v>
      </c>
      <c r="M237" s="306">
        <f t="shared" ca="1" si="103"/>
        <v>1.4614283748524903</v>
      </c>
      <c r="N237" s="304">
        <f t="shared" ca="1" si="104"/>
        <v>83.733677939710503</v>
      </c>
      <c r="P237" s="310">
        <f t="shared" ca="1" si="105"/>
        <v>8</v>
      </c>
      <c r="Q237" s="304">
        <f t="shared" ca="1" si="106"/>
        <v>861.83055555555643</v>
      </c>
      <c r="R237" s="306">
        <f t="shared" ca="1" si="107"/>
        <v>0.43171872868996786</v>
      </c>
      <c r="S237" s="307">
        <f t="shared" ca="1" si="108"/>
        <v>9.8661576112470009</v>
      </c>
      <c r="T237" s="304">
        <f t="shared" ca="1" si="88"/>
        <v>96.787006166333086</v>
      </c>
      <c r="U237" s="311">
        <f t="shared" ca="1" si="89"/>
        <v>0</v>
      </c>
      <c r="V237" s="306">
        <f t="shared" ca="1" si="90"/>
        <v>1.1977845363379214</v>
      </c>
      <c r="W237" s="304">
        <f t="shared" ca="1" si="91"/>
        <v>111.18662398555627</v>
      </c>
      <c r="Y237" s="314" t="str">
        <f t="shared" ca="1" si="109"/>
        <v/>
      </c>
      <c r="Z237" s="315" t="str">
        <f t="shared" ca="1" si="110"/>
        <v/>
      </c>
      <c r="AA237" s="316" t="str">
        <f t="shared" ca="1" si="111"/>
        <v/>
      </c>
      <c r="AC237" s="310" t="e">
        <f t="shared" ca="1" si="112"/>
        <v>#N/A</v>
      </c>
      <c r="AD237" s="323" t="e">
        <f t="shared" ca="1" si="113"/>
        <v>#N/A</v>
      </c>
      <c r="AE237" s="324">
        <f t="shared" ca="1" si="92"/>
        <v>224.66268257775425</v>
      </c>
      <c r="AG237" s="306">
        <f t="shared" ca="1" si="114"/>
        <v>66.40890929094185</v>
      </c>
      <c r="AH237" s="304">
        <f t="shared" ca="1" si="115"/>
        <v>76.160358471545592</v>
      </c>
    </row>
    <row r="238" spans="1:34" x14ac:dyDescent="0.2">
      <c r="A238" s="347">
        <f t="shared" ca="1" si="93"/>
        <v>0.01</v>
      </c>
      <c r="B238" s="304">
        <f t="shared" ca="1" si="94"/>
        <v>2.3399999999999941</v>
      </c>
      <c r="D238" s="306">
        <f t="shared" ca="1" si="95"/>
        <v>8.2921346606739235</v>
      </c>
      <c r="E238" s="307">
        <f t="shared" ca="1" si="96"/>
        <v>65.706149058731384</v>
      </c>
      <c r="F238" s="304">
        <f t="shared" ca="1" si="97"/>
        <v>66.227317032769619</v>
      </c>
      <c r="G238" s="306">
        <f t="shared" ca="1" si="98"/>
        <v>20.535751497945135</v>
      </c>
      <c r="H238" s="307">
        <f t="shared" ca="1" si="99"/>
        <v>186.92019319132845</v>
      </c>
      <c r="I238" s="304">
        <f t="shared" ca="1" si="100"/>
        <v>188.04487685727815</v>
      </c>
      <c r="J238" s="306">
        <f t="shared" ca="1" si="101"/>
        <v>23.511703828947219</v>
      </c>
      <c r="K238" s="307">
        <f t="shared" ca="1" si="102"/>
        <v>226.52859920221459</v>
      </c>
      <c r="L238" s="304">
        <f t="shared" ca="1" si="87"/>
        <v>227.74548617581362</v>
      </c>
      <c r="M238" s="306">
        <f t="shared" ca="1" si="103"/>
        <v>1.4613714330193439</v>
      </c>
      <c r="N238" s="304">
        <f t="shared" ca="1" si="104"/>
        <v>83.73041541299348</v>
      </c>
      <c r="P238" s="310">
        <f t="shared" ca="1" si="105"/>
        <v>8</v>
      </c>
      <c r="Q238" s="304">
        <f t="shared" ca="1" si="106"/>
        <v>860.39166666666756</v>
      </c>
      <c r="R238" s="306">
        <f t="shared" ca="1" si="107"/>
        <v>0.43099794282570153</v>
      </c>
      <c r="S238" s="307">
        <f t="shared" ca="1" si="108"/>
        <v>9.861847631818744</v>
      </c>
      <c r="T238" s="304">
        <f t="shared" ca="1" si="88"/>
        <v>96.744725268141877</v>
      </c>
      <c r="U238" s="311">
        <f t="shared" ca="1" si="89"/>
        <v>0</v>
      </c>
      <c r="V238" s="306">
        <f t="shared" ca="1" si="90"/>
        <v>1.1975610321453127</v>
      </c>
      <c r="W238" s="304">
        <f t="shared" ca="1" si="91"/>
        <v>111.95295756770714</v>
      </c>
      <c r="Y238" s="314" t="str">
        <f t="shared" ca="1" si="109"/>
        <v/>
      </c>
      <c r="Z238" s="315" t="str">
        <f t="shared" ca="1" si="110"/>
        <v/>
      </c>
      <c r="AA238" s="316" t="str">
        <f t="shared" ca="1" si="111"/>
        <v/>
      </c>
      <c r="AC238" s="310" t="e">
        <f t="shared" ca="1" si="112"/>
        <v>#N/A</v>
      </c>
      <c r="AD238" s="323" t="e">
        <f t="shared" ca="1" si="113"/>
        <v>#N/A</v>
      </c>
      <c r="AE238" s="324">
        <f t="shared" ca="1" si="92"/>
        <v>226.52859920221459</v>
      </c>
      <c r="AG238" s="306">
        <f t="shared" ca="1" si="114"/>
        <v>66.218660437214581</v>
      </c>
      <c r="AH238" s="304">
        <f t="shared" ca="1" si="115"/>
        <v>75.970048478932057</v>
      </c>
    </row>
    <row r="239" spans="1:34" x14ac:dyDescent="0.2">
      <c r="A239" s="347">
        <f t="shared" ca="1" si="93"/>
        <v>0.01</v>
      </c>
      <c r="B239" s="304">
        <f t="shared" ca="1" si="94"/>
        <v>2.3499999999999939</v>
      </c>
      <c r="D239" s="306">
        <f t="shared" ca="1" si="95"/>
        <v>8.2756255078483303</v>
      </c>
      <c r="E239" s="307">
        <f t="shared" ca="1" si="96"/>
        <v>65.516267892406148</v>
      </c>
      <c r="F239" s="304">
        <f t="shared" ca="1" si="97"/>
        <v>66.036863463490448</v>
      </c>
      <c r="G239" s="306">
        <f t="shared" ca="1" si="98"/>
        <v>20.618507753023618</v>
      </c>
      <c r="H239" s="307">
        <f t="shared" ca="1" si="99"/>
        <v>187.57535587025251</v>
      </c>
      <c r="I239" s="304">
        <f t="shared" ca="1" si="100"/>
        <v>188.7051588903</v>
      </c>
      <c r="J239" s="306">
        <f t="shared" ca="1" si="101"/>
        <v>23.717475125202064</v>
      </c>
      <c r="K239" s="307">
        <f t="shared" ca="1" si="102"/>
        <v>228.40107694752251</v>
      </c>
      <c r="L239" s="304">
        <f t="shared" ca="1" si="87"/>
        <v>229.62920236133442</v>
      </c>
      <c r="M239" s="306">
        <f t="shared" ca="1" si="103"/>
        <v>1.4613146610017329</v>
      </c>
      <c r="N239" s="304">
        <f t="shared" ca="1" si="104"/>
        <v>83.727162615989926</v>
      </c>
      <c r="P239" s="310">
        <f t="shared" ca="1" si="105"/>
        <v>8</v>
      </c>
      <c r="Q239" s="304">
        <f t="shared" ca="1" si="106"/>
        <v>858.95277777777869</v>
      </c>
      <c r="R239" s="306">
        <f t="shared" ca="1" si="107"/>
        <v>0.43027715696143526</v>
      </c>
      <c r="S239" s="307">
        <f t="shared" ca="1" si="108"/>
        <v>9.8575448602491296</v>
      </c>
      <c r="T239" s="304">
        <f t="shared" ca="1" si="88"/>
        <v>96.702515079043962</v>
      </c>
      <c r="U239" s="311">
        <f t="shared" ca="1" si="89"/>
        <v>0</v>
      </c>
      <c r="V239" s="306">
        <f t="shared" ca="1" si="90"/>
        <v>1.197336783495996</v>
      </c>
      <c r="W239" s="304">
        <f t="shared" ca="1" si="91"/>
        <v>112.71942759985997</v>
      </c>
      <c r="Y239" s="314" t="str">
        <f t="shared" ca="1" si="109"/>
        <v/>
      </c>
      <c r="Z239" s="315" t="str">
        <f t="shared" ca="1" si="110"/>
        <v/>
      </c>
      <c r="AA239" s="316" t="str">
        <f t="shared" ca="1" si="111"/>
        <v/>
      </c>
      <c r="AC239" s="310" t="e">
        <f t="shared" ca="1" si="112"/>
        <v>#N/A</v>
      </c>
      <c r="AD239" s="323" t="e">
        <f t="shared" ca="1" si="113"/>
        <v>#N/A</v>
      </c>
      <c r="AE239" s="324">
        <f t="shared" ca="1" si="92"/>
        <v>228.40107694752251</v>
      </c>
      <c r="AG239" s="306">
        <f t="shared" ca="1" si="114"/>
        <v>66.02817289176285</v>
      </c>
      <c r="AH239" s="304">
        <f t="shared" ca="1" si="115"/>
        <v>75.779499946520417</v>
      </c>
    </row>
    <row r="240" spans="1:34" x14ac:dyDescent="0.2">
      <c r="A240" s="347">
        <f t="shared" ca="1" si="93"/>
        <v>0.01</v>
      </c>
      <c r="B240" s="304">
        <f t="shared" ca="1" si="94"/>
        <v>2.3599999999999937</v>
      </c>
      <c r="D240" s="306">
        <f t="shared" ca="1" si="95"/>
        <v>8.2590562599786121</v>
      </c>
      <c r="E240" s="307">
        <f t="shared" ca="1" si="96"/>
        <v>65.326156101827564</v>
      </c>
      <c r="F240" s="304">
        <f t="shared" ca="1" si="97"/>
        <v>65.846174386564286</v>
      </c>
      <c r="G240" s="306">
        <f t="shared" ca="1" si="98"/>
        <v>20.701098315623405</v>
      </c>
      <c r="H240" s="307">
        <f t="shared" ca="1" si="99"/>
        <v>188.22861743127078</v>
      </c>
      <c r="I240" s="304">
        <f t="shared" ca="1" si="100"/>
        <v>189.36353368999218</v>
      </c>
      <c r="J240" s="306">
        <f t="shared" ca="1" si="101"/>
        <v>23.924073155545301</v>
      </c>
      <c r="K240" s="307">
        <f t="shared" ca="1" si="102"/>
        <v>230.28009681403012</v>
      </c>
      <c r="L240" s="304">
        <f t="shared" ca="1" si="87"/>
        <v>231.51951162921662</v>
      </c>
      <c r="M240" s="306">
        <f t="shared" ca="1" si="103"/>
        <v>1.4612580571329588</v>
      </c>
      <c r="N240" s="304">
        <f t="shared" ca="1" si="104"/>
        <v>83.723919453205056</v>
      </c>
      <c r="P240" s="310">
        <f t="shared" ca="1" si="105"/>
        <v>8</v>
      </c>
      <c r="Q240" s="304">
        <f t="shared" ca="1" si="106"/>
        <v>857.51388888888982</v>
      </c>
      <c r="R240" s="306">
        <f t="shared" ca="1" si="107"/>
        <v>0.42955637109716893</v>
      </c>
      <c r="S240" s="307">
        <f t="shared" ca="1" si="108"/>
        <v>9.8532492965381575</v>
      </c>
      <c r="T240" s="304">
        <f t="shared" ca="1" si="88"/>
        <v>96.660375599039327</v>
      </c>
      <c r="U240" s="311">
        <f t="shared" ca="1" si="89"/>
        <v>0</v>
      </c>
      <c r="V240" s="306">
        <f t="shared" ca="1" si="90"/>
        <v>1.197111793089646</v>
      </c>
      <c r="W240" s="304">
        <f t="shared" ca="1" si="91"/>
        <v>113.48600587932994</v>
      </c>
      <c r="Y240" s="314" t="str">
        <f t="shared" ca="1" si="109"/>
        <v/>
      </c>
      <c r="Z240" s="315" t="str">
        <f t="shared" ca="1" si="110"/>
        <v/>
      </c>
      <c r="AA240" s="316" t="str">
        <f t="shared" ca="1" si="111"/>
        <v/>
      </c>
      <c r="AC240" s="310" t="e">
        <f t="shared" ca="1" si="112"/>
        <v>#N/A</v>
      </c>
      <c r="AD240" s="323" t="e">
        <f t="shared" ca="1" si="113"/>
        <v>#N/A</v>
      </c>
      <c r="AE240" s="324">
        <f t="shared" ca="1" si="92"/>
        <v>230.28009681403012</v>
      </c>
      <c r="AG240" s="306">
        <f t="shared" ca="1" si="114"/>
        <v>65.837449633199313</v>
      </c>
      <c r="AH240" s="304">
        <f t="shared" ca="1" si="115"/>
        <v>75.588715851400011</v>
      </c>
    </row>
    <row r="241" spans="1:34" x14ac:dyDescent="0.2">
      <c r="A241" s="347">
        <f t="shared" ca="1" si="93"/>
        <v>0.01</v>
      </c>
      <c r="B241" s="304">
        <f t="shared" ca="1" si="94"/>
        <v>2.3699999999999934</v>
      </c>
      <c r="D241" s="306">
        <f t="shared" ca="1" si="95"/>
        <v>8.242427424270824</v>
      </c>
      <c r="E241" s="307">
        <f t="shared" ca="1" si="96"/>
        <v>65.135816627380521</v>
      </c>
      <c r="F241" s="304">
        <f t="shared" ca="1" si="97"/>
        <v>65.655252779652841</v>
      </c>
      <c r="G241" s="306">
        <f t="shared" ca="1" si="98"/>
        <v>20.783522589866113</v>
      </c>
      <c r="H241" s="307">
        <f t="shared" ca="1" si="99"/>
        <v>188.87997559754459</v>
      </c>
      <c r="I241" s="304">
        <f t="shared" ca="1" si="100"/>
        <v>190.01999892898777</v>
      </c>
      <c r="J241" s="306">
        <f t="shared" ca="1" si="101"/>
        <v>24.131496260072748</v>
      </c>
      <c r="K241" s="307">
        <f t="shared" ca="1" si="102"/>
        <v>232.1656397791742</v>
      </c>
      <c r="L241" s="304">
        <f t="shared" ca="1" si="87"/>
        <v>233.41639489509552</v>
      </c>
      <c r="M241" s="306">
        <f t="shared" ca="1" si="103"/>
        <v>1.4612016197671616</v>
      </c>
      <c r="N241" s="304">
        <f t="shared" ca="1" si="104"/>
        <v>83.720685830338041</v>
      </c>
      <c r="P241" s="310">
        <f t="shared" ca="1" si="105"/>
        <v>8</v>
      </c>
      <c r="Q241" s="304">
        <f t="shared" ca="1" si="106"/>
        <v>856.07500000000095</v>
      </c>
      <c r="R241" s="306">
        <f t="shared" ca="1" si="107"/>
        <v>0.42883558523290261</v>
      </c>
      <c r="S241" s="307">
        <f t="shared" ca="1" si="108"/>
        <v>9.8489609406858278</v>
      </c>
      <c r="T241" s="304">
        <f t="shared" ca="1" si="88"/>
        <v>96.61830682812797</v>
      </c>
      <c r="U241" s="311">
        <f t="shared" ca="1" si="89"/>
        <v>0</v>
      </c>
      <c r="V241" s="306">
        <f t="shared" ca="1" si="90"/>
        <v>1.1968860636282739</v>
      </c>
      <c r="W241" s="304">
        <f t="shared" ca="1" si="91"/>
        <v>114.25266429454744</v>
      </c>
      <c r="Y241" s="314" t="str">
        <f t="shared" ca="1" si="109"/>
        <v/>
      </c>
      <c r="Z241" s="315" t="str">
        <f t="shared" ca="1" si="110"/>
        <v/>
      </c>
      <c r="AA241" s="316" t="str">
        <f t="shared" ca="1" si="111"/>
        <v/>
      </c>
      <c r="AC241" s="310" t="e">
        <f t="shared" ca="1" si="112"/>
        <v>#N/A</v>
      </c>
      <c r="AD241" s="323" t="e">
        <f t="shared" ca="1" si="113"/>
        <v>#N/A</v>
      </c>
      <c r="AE241" s="324">
        <f t="shared" ca="1" si="92"/>
        <v>232.1656397791742</v>
      </c>
      <c r="AG241" s="306">
        <f t="shared" ca="1" si="114"/>
        <v>65.646493637200308</v>
      </c>
      <c r="AH241" s="304">
        <f t="shared" ca="1" si="115"/>
        <v>75.397699167741976</v>
      </c>
    </row>
    <row r="242" spans="1:34" x14ac:dyDescent="0.2">
      <c r="A242" s="347">
        <f t="shared" ca="1" si="93"/>
        <v>0.01</v>
      </c>
      <c r="B242" s="304">
        <f t="shared" ca="1" si="94"/>
        <v>2.3799999999999932</v>
      </c>
      <c r="D242" s="306">
        <f t="shared" ca="1" si="95"/>
        <v>8.225739505673161</v>
      </c>
      <c r="E242" s="307">
        <f t="shared" ca="1" si="96"/>
        <v>64.945252406580309</v>
      </c>
      <c r="F242" s="304">
        <f t="shared" ca="1" si="97"/>
        <v>65.46410161737208</v>
      </c>
      <c r="G242" s="306">
        <f t="shared" ca="1" si="98"/>
        <v>20.865779984922845</v>
      </c>
      <c r="H242" s="307">
        <f t="shared" ca="1" si="99"/>
        <v>189.52942812161038</v>
      </c>
      <c r="I242" s="304">
        <f t="shared" ca="1" si="100"/>
        <v>190.67455230964586</v>
      </c>
      <c r="J242" s="306">
        <f t="shared" ca="1" si="101"/>
        <v>24.339742772946693</v>
      </c>
      <c r="K242" s="307">
        <f t="shared" ca="1" si="102"/>
        <v>234.05768679776997</v>
      </c>
      <c r="L242" s="304">
        <f t="shared" ca="1" si="87"/>
        <v>235.31983305147952</v>
      </c>
      <c r="M242" s="306">
        <f t="shared" ca="1" si="103"/>
        <v>1.4611453472789622</v>
      </c>
      <c r="N242" s="304">
        <f t="shared" ca="1" si="104"/>
        <v>83.717461654261513</v>
      </c>
      <c r="P242" s="310">
        <f t="shared" ca="1" si="105"/>
        <v>8</v>
      </c>
      <c r="Q242" s="304">
        <f t="shared" ca="1" si="106"/>
        <v>854.63611111111209</v>
      </c>
      <c r="R242" s="306">
        <f t="shared" ca="1" si="107"/>
        <v>0.42811479936863633</v>
      </c>
      <c r="S242" s="307">
        <f t="shared" ca="1" si="108"/>
        <v>9.8446797926921423</v>
      </c>
      <c r="T242" s="304">
        <f t="shared" ca="1" si="88"/>
        <v>96.576308766309921</v>
      </c>
      <c r="U242" s="311">
        <f t="shared" ca="1" si="89"/>
        <v>0</v>
      </c>
      <c r="V242" s="306">
        <f t="shared" ca="1" si="90"/>
        <v>1.1966595978161765</v>
      </c>
      <c r="W242" s="304">
        <f t="shared" ca="1" si="91"/>
        <v>115.01937482603815</v>
      </c>
      <c r="Y242" s="314" t="str">
        <f t="shared" ca="1" si="109"/>
        <v/>
      </c>
      <c r="Z242" s="315" t="str">
        <f t="shared" ca="1" si="110"/>
        <v/>
      </c>
      <c r="AA242" s="316" t="str">
        <f t="shared" ca="1" si="111"/>
        <v/>
      </c>
      <c r="AC242" s="310" t="e">
        <f t="shared" ca="1" si="112"/>
        <v>#N/A</v>
      </c>
      <c r="AD242" s="323" t="e">
        <f t="shared" ca="1" si="113"/>
        <v>#N/A</v>
      </c>
      <c r="AE242" s="324">
        <f t="shared" ca="1" si="92"/>
        <v>234.05768679776997</v>
      </c>
      <c r="AG242" s="306">
        <f t="shared" ca="1" si="114"/>
        <v>65.455307876377276</v>
      </c>
      <c r="AH242" s="304">
        <f t="shared" ca="1" si="115"/>
        <v>75.206452866670446</v>
      </c>
    </row>
    <row r="243" spans="1:34" x14ac:dyDescent="0.2">
      <c r="A243" s="347">
        <f t="shared" ca="1" si="93"/>
        <v>0.01</v>
      </c>
      <c r="B243" s="304">
        <f t="shared" ca="1" si="94"/>
        <v>2.389999999999993</v>
      </c>
      <c r="D243" s="306">
        <f t="shared" ca="1" si="95"/>
        <v>8.2089930068989627</v>
      </c>
      <c r="E243" s="307">
        <f t="shared" ca="1" si="96"/>
        <v>64.754466373942321</v>
      </c>
      <c r="F243" s="304">
        <f t="shared" ca="1" si="97"/>
        <v>65.272723871164928</v>
      </c>
      <c r="G243" s="306">
        <f t="shared" ca="1" si="98"/>
        <v>20.947869914991834</v>
      </c>
      <c r="H243" s="307">
        <f t="shared" ca="1" si="99"/>
        <v>190.17697278534979</v>
      </c>
      <c r="I243" s="304">
        <f t="shared" ca="1" si="100"/>
        <v>191.3271915640197</v>
      </c>
      <c r="J243" s="306">
        <f t="shared" ca="1" si="101"/>
        <v>24.548811022446266</v>
      </c>
      <c r="K243" s="307">
        <f t="shared" ca="1" si="102"/>
        <v>235.95621880230479</v>
      </c>
      <c r="L243" s="304">
        <f t="shared" ca="1" si="87"/>
        <v>237.22980696804714</v>
      </c>
      <c r="M243" s="306">
        <f t="shared" ca="1" si="103"/>
        <v>1.4610892380631111</v>
      </c>
      <c r="N243" s="304">
        <f t="shared" ca="1" si="104"/>
        <v>83.714246833001468</v>
      </c>
      <c r="P243" s="310">
        <f t="shared" ca="1" si="105"/>
        <v>8</v>
      </c>
      <c r="Q243" s="304">
        <f t="shared" ca="1" si="106"/>
        <v>853.19722222222322</v>
      </c>
      <c r="R243" s="306">
        <f t="shared" ca="1" si="107"/>
        <v>0.42739401350437001</v>
      </c>
      <c r="S243" s="307">
        <f t="shared" ca="1" si="108"/>
        <v>9.8404058525570992</v>
      </c>
      <c r="T243" s="304">
        <f t="shared" ca="1" si="88"/>
        <v>96.534381413585152</v>
      </c>
      <c r="U243" s="311">
        <f t="shared" ca="1" si="89"/>
        <v>0</v>
      </c>
      <c r="V243" s="306">
        <f t="shared" ca="1" si="90"/>
        <v>1.1964323983598804</v>
      </c>
      <c r="W243" s="304">
        <f t="shared" ca="1" si="91"/>
        <v>115.78610954739248</v>
      </c>
      <c r="Y243" s="314" t="str">
        <f t="shared" ca="1" si="109"/>
        <v/>
      </c>
      <c r="Z243" s="315" t="str">
        <f t="shared" ca="1" si="110"/>
        <v/>
      </c>
      <c r="AA243" s="316" t="str">
        <f t="shared" ca="1" si="111"/>
        <v/>
      </c>
      <c r="AC243" s="310" t="e">
        <f t="shared" ca="1" si="112"/>
        <v>#N/A</v>
      </c>
      <c r="AD243" s="323" t="e">
        <f t="shared" ca="1" si="113"/>
        <v>#N/A</v>
      </c>
      <c r="AE243" s="324">
        <f t="shared" ca="1" si="92"/>
        <v>235.95621880230479</v>
      </c>
      <c r="AG243" s="306">
        <f t="shared" ca="1" si="114"/>
        <v>65.263895320149302</v>
      </c>
      <c r="AH243" s="304">
        <f t="shared" ca="1" si="115"/>
        <v>75.014979916134692</v>
      </c>
    </row>
    <row r="244" spans="1:34" x14ac:dyDescent="0.2">
      <c r="A244" s="347">
        <f t="shared" ca="1" si="93"/>
        <v>0.01</v>
      </c>
      <c r="B244" s="304">
        <f t="shared" ca="1" si="94"/>
        <v>2.3999999999999928</v>
      </c>
      <c r="D244" s="306">
        <f t="shared" ca="1" si="95"/>
        <v>8.1921884284489597</v>
      </c>
      <c r="E244" s="307">
        <f t="shared" ca="1" si="96"/>
        <v>64.563461460852395</v>
      </c>
      <c r="F244" s="304">
        <f t="shared" ca="1" si="97"/>
        <v>65.081122509174548</v>
      </c>
      <c r="G244" s="306">
        <f t="shared" ca="1" si="98"/>
        <v>21.029791799276325</v>
      </c>
      <c r="H244" s="307">
        <f t="shared" ca="1" si="99"/>
        <v>190.82260739995831</v>
      </c>
      <c r="I244" s="304">
        <f t="shared" ca="1" si="100"/>
        <v>191.97791445382339</v>
      </c>
      <c r="J244" s="306">
        <f t="shared" ca="1" si="101"/>
        <v>24.758699331017606</v>
      </c>
      <c r="K244" s="307">
        <f t="shared" ca="1" si="102"/>
        <v>237.86121670323132</v>
      </c>
      <c r="L244" s="304">
        <f t="shared" ca="1" si="87"/>
        <v>239.14629749194384</v>
      </c>
      <c r="M244" s="306">
        <f t="shared" ca="1" si="103"/>
        <v>1.4610332905341448</v>
      </c>
      <c r="N244" s="304">
        <f t="shared" ca="1" si="104"/>
        <v>83.711041275717506</v>
      </c>
      <c r="P244" s="310">
        <f t="shared" ca="1" si="105"/>
        <v>8</v>
      </c>
      <c r="Q244" s="304">
        <f t="shared" ca="1" si="106"/>
        <v>851.75833333333435</v>
      </c>
      <c r="R244" s="306">
        <f t="shared" ca="1" si="107"/>
        <v>0.42667322764010368</v>
      </c>
      <c r="S244" s="307">
        <f t="shared" ca="1" si="108"/>
        <v>9.8361391202806985</v>
      </c>
      <c r="T244" s="304">
        <f t="shared" ca="1" si="88"/>
        <v>96.492524769953661</v>
      </c>
      <c r="U244" s="311">
        <f t="shared" ca="1" si="89"/>
        <v>0</v>
      </c>
      <c r="V244" s="306">
        <f t="shared" ca="1" si="90"/>
        <v>1.1962044679680908</v>
      </c>
      <c r="W244" s="304">
        <f t="shared" ca="1" si="91"/>
        <v>116.55284062622519</v>
      </c>
      <c r="Y244" s="314" t="str">
        <f t="shared" ca="1" si="109"/>
        <v/>
      </c>
      <c r="Z244" s="315" t="str">
        <f t="shared" ca="1" si="110"/>
        <v/>
      </c>
      <c r="AA244" s="316" t="str">
        <f t="shared" ca="1" si="111"/>
        <v/>
      </c>
      <c r="AC244" s="310" t="e">
        <f t="shared" ca="1" si="112"/>
        <v>#N/A</v>
      </c>
      <c r="AD244" s="323" t="e">
        <f t="shared" ca="1" si="113"/>
        <v>#N/A</v>
      </c>
      <c r="AE244" s="324">
        <f t="shared" ca="1" si="92"/>
        <v>237.86121670323132</v>
      </c>
      <c r="AG244" s="306">
        <f t="shared" ca="1" si="114"/>
        <v>65.072258934615931</v>
      </c>
      <c r="AH244" s="304">
        <f t="shared" ca="1" si="115"/>
        <v>74.823283280781723</v>
      </c>
    </row>
    <row r="245" spans="1:34" x14ac:dyDescent="0.2">
      <c r="A245" s="347">
        <f t="shared" ca="1" si="93"/>
        <v>0.01</v>
      </c>
      <c r="B245" s="304">
        <f t="shared" ca="1" si="94"/>
        <v>2.4099999999999926</v>
      </c>
      <c r="D245" s="306">
        <f t="shared" ca="1" si="95"/>
        <v>8.1753262686328299</v>
      </c>
      <c r="E245" s="307">
        <f t="shared" ca="1" si="96"/>
        <v>64.3722405954382</v>
      </c>
      <c r="F245" s="304">
        <f t="shared" ca="1" si="97"/>
        <v>64.889300496118608</v>
      </c>
      <c r="G245" s="306">
        <f t="shared" ca="1" si="98"/>
        <v>21.111545061962651</v>
      </c>
      <c r="H245" s="307">
        <f t="shared" ca="1" si="99"/>
        <v>191.46632980591269</v>
      </c>
      <c r="I245" s="304">
        <f t="shared" ca="1" si="100"/>
        <v>192.6267187703975</v>
      </c>
      <c r="J245" s="306">
        <f t="shared" ca="1" si="101"/>
        <v>24.969406015323802</v>
      </c>
      <c r="K245" s="307">
        <f t="shared" ca="1" si="102"/>
        <v>239.77266138926066</v>
      </c>
      <c r="L245" s="304">
        <f t="shared" ca="1" si="87"/>
        <v>241.06928544807846</v>
      </c>
      <c r="M245" s="306">
        <f t="shared" ca="1" si="103"/>
        <v>1.4609775031260492</v>
      </c>
      <c r="N245" s="304">
        <f t="shared" ca="1" si="104"/>
        <v>83.707844892683653</v>
      </c>
      <c r="P245" s="310">
        <f t="shared" ca="1" si="105"/>
        <v>8</v>
      </c>
      <c r="Q245" s="304">
        <f t="shared" ca="1" si="106"/>
        <v>850.31944444444548</v>
      </c>
      <c r="R245" s="306">
        <f t="shared" ca="1" si="107"/>
        <v>0.42595244177583741</v>
      </c>
      <c r="S245" s="307">
        <f t="shared" ca="1" si="108"/>
        <v>9.8318795958629401</v>
      </c>
      <c r="T245" s="304">
        <f t="shared" ca="1" si="88"/>
        <v>96.45073883541545</v>
      </c>
      <c r="U245" s="311">
        <f t="shared" ca="1" si="89"/>
        <v>0</v>
      </c>
      <c r="V245" s="306">
        <f t="shared" ca="1" si="90"/>
        <v>1.1959758093516371</v>
      </c>
      <c r="W245" s="304">
        <f t="shared" ca="1" si="91"/>
        <v>117.31954032512398</v>
      </c>
      <c r="Y245" s="314" t="str">
        <f t="shared" ca="1" si="109"/>
        <v/>
      </c>
      <c r="Z245" s="315" t="str">
        <f t="shared" ca="1" si="110"/>
        <v/>
      </c>
      <c r="AA245" s="316" t="str">
        <f t="shared" ca="1" si="111"/>
        <v/>
      </c>
      <c r="AC245" s="310" t="e">
        <f t="shared" ca="1" si="112"/>
        <v>#N/A</v>
      </c>
      <c r="AD245" s="323" t="e">
        <f t="shared" ca="1" si="113"/>
        <v>#N/A</v>
      </c>
      <c r="AE245" s="324">
        <f t="shared" ca="1" si="92"/>
        <v>239.77266138926066</v>
      </c>
      <c r="AG245" s="306">
        <f t="shared" ca="1" si="114"/>
        <v>64.880401682431142</v>
      </c>
      <c r="AH245" s="304">
        <f t="shared" ca="1" si="115"/>
        <v>74.631365921829925</v>
      </c>
    </row>
    <row r="246" spans="1:34" x14ac:dyDescent="0.2">
      <c r="A246" s="347">
        <f t="shared" ca="1" si="93"/>
        <v>0.01</v>
      </c>
      <c r="B246" s="304">
        <f t="shared" ca="1" si="94"/>
        <v>2.4199999999999924</v>
      </c>
      <c r="D246" s="306">
        <f t="shared" ca="1" si="95"/>
        <v>8.1549981818008668</v>
      </c>
      <c r="E246" s="307">
        <f t="shared" ca="1" si="96"/>
        <v>64.149890991424527</v>
      </c>
      <c r="F246" s="304">
        <f t="shared" ca="1" si="97"/>
        <v>64.666162013504589</v>
      </c>
      <c r="G246" s="306">
        <f t="shared" ca="1" si="98"/>
        <v>21.193095043780659</v>
      </c>
      <c r="H246" s="307">
        <f t="shared" ca="1" si="99"/>
        <v>192.10782871582694</v>
      </c>
      <c r="I246" s="304">
        <f t="shared" ca="1" si="100"/>
        <v>193.27329130390527</v>
      </c>
      <c r="J246" s="306">
        <f t="shared" ca="1" si="101"/>
        <v>25.180929215852519</v>
      </c>
      <c r="K246" s="307">
        <f t="shared" ca="1" si="102"/>
        <v>241.69053218186937</v>
      </c>
      <c r="L246" s="304">
        <f t="shared" ca="1" si="87"/>
        <v>242.99875008429368</v>
      </c>
      <c r="M246" s="306">
        <f t="shared" ca="1" si="103"/>
        <v>1.460921874202409</v>
      </c>
      <c r="N246" s="304">
        <f t="shared" ca="1" si="104"/>
        <v>83.704657590140215</v>
      </c>
      <c r="P246" s="310">
        <f t="shared" ca="1" si="105"/>
        <v>9</v>
      </c>
      <c r="Q246" s="304">
        <f t="shared" ca="1" si="106"/>
        <v>848.57500000000164</v>
      </c>
      <c r="R246" s="306">
        <f t="shared" ca="1" si="107"/>
        <v>0.42507859327630249</v>
      </c>
      <c r="S246" s="307">
        <f t="shared" ca="1" si="108"/>
        <v>9.827628809930177</v>
      </c>
      <c r="T246" s="304">
        <f t="shared" ca="1" si="88"/>
        <v>96.409038625415036</v>
      </c>
      <c r="U246" s="311">
        <f t="shared" ca="1" si="89"/>
        <v>0</v>
      </c>
      <c r="V246" s="306">
        <f t="shared" ca="1" si="90"/>
        <v>1.1957464254082857</v>
      </c>
      <c r="W246" s="304">
        <f t="shared" ca="1" si="91"/>
        <v>118.08580095439372</v>
      </c>
      <c r="Y246" s="314" t="str">
        <f t="shared" ca="1" si="109"/>
        <v/>
      </c>
      <c r="Z246" s="315" t="str">
        <f t="shared" ca="1" si="110"/>
        <v/>
      </c>
      <c r="AA246" s="316" t="str">
        <f t="shared" ca="1" si="111"/>
        <v/>
      </c>
      <c r="AC246" s="310" t="e">
        <f t="shared" ca="1" si="112"/>
        <v>#N/A</v>
      </c>
      <c r="AD246" s="323" t="e">
        <f t="shared" ca="1" si="113"/>
        <v>#N/A</v>
      </c>
      <c r="AE246" s="324">
        <f t="shared" ca="1" si="92"/>
        <v>241.69053218186937</v>
      </c>
      <c r="AG246" s="306">
        <f t="shared" ca="1" si="114"/>
        <v>64.657223445820136</v>
      </c>
      <c r="AH246" s="304">
        <f t="shared" ca="1" si="115"/>
        <v>74.408127720085616</v>
      </c>
    </row>
    <row r="247" spans="1:34" x14ac:dyDescent="0.2">
      <c r="A247" s="347">
        <f t="shared" ca="1" si="93"/>
        <v>0.01</v>
      </c>
      <c r="B247" s="304">
        <f t="shared" ca="1" si="94"/>
        <v>2.4299999999999922</v>
      </c>
      <c r="D247" s="306">
        <f t="shared" ca="1" si="95"/>
        <v>8.1311980759650044</v>
      </c>
      <c r="E247" s="307">
        <f t="shared" ca="1" si="96"/>
        <v>63.896403147111414</v>
      </c>
      <c r="F247" s="304">
        <f t="shared" ca="1" si="97"/>
        <v>64.411697053320722</v>
      </c>
      <c r="G247" s="306">
        <f t="shared" ca="1" si="98"/>
        <v>21.274407024540309</v>
      </c>
      <c r="H247" s="307">
        <f t="shared" ca="1" si="99"/>
        <v>192.74679274729806</v>
      </c>
      <c r="I247" s="304">
        <f t="shared" ca="1" si="100"/>
        <v>193.91731874336463</v>
      </c>
      <c r="J247" s="306">
        <f t="shared" ca="1" si="101"/>
        <v>25.393266726194124</v>
      </c>
      <c r="K247" s="307">
        <f t="shared" ca="1" si="102"/>
        <v>243.614805289185</v>
      </c>
      <c r="L247" s="304">
        <f t="shared" ca="1" si="87"/>
        <v>244.93466751588099</v>
      </c>
      <c r="M247" s="306">
        <f t="shared" ca="1" si="103"/>
        <v>1.4608664020581996</v>
      </c>
      <c r="N247" s="304">
        <f t="shared" ca="1" si="104"/>
        <v>83.701479270396476</v>
      </c>
      <c r="P247" s="310">
        <f t="shared" ca="1" si="105"/>
        <v>9</v>
      </c>
      <c r="Q247" s="304">
        <f t="shared" ca="1" si="106"/>
        <v>846.52500000000168</v>
      </c>
      <c r="R247" s="306">
        <f t="shared" ca="1" si="107"/>
        <v>0.42405168214149835</v>
      </c>
      <c r="S247" s="307">
        <f t="shared" ca="1" si="108"/>
        <v>9.8233882931087617</v>
      </c>
      <c r="T247" s="304">
        <f t="shared" ca="1" si="88"/>
        <v>96.367439155396951</v>
      </c>
      <c r="U247" s="311">
        <f t="shared" ca="1" si="89"/>
        <v>0</v>
      </c>
      <c r="V247" s="306">
        <f t="shared" ca="1" si="90"/>
        <v>1.1955163194074137</v>
      </c>
      <c r="W247" s="304">
        <f t="shared" ca="1" si="91"/>
        <v>118.85121002221776</v>
      </c>
      <c r="Y247" s="314" t="str">
        <f t="shared" ca="1" si="109"/>
        <v/>
      </c>
      <c r="Z247" s="315" t="str">
        <f t="shared" ca="1" si="110"/>
        <v/>
      </c>
      <c r="AA247" s="316" t="str">
        <f t="shared" ca="1" si="111"/>
        <v/>
      </c>
      <c r="AC247" s="310" t="e">
        <f t="shared" ca="1" si="112"/>
        <v>#N/A</v>
      </c>
      <c r="AD247" s="323" t="e">
        <f t="shared" ca="1" si="113"/>
        <v>#N/A</v>
      </c>
      <c r="AE247" s="324">
        <f t="shared" ca="1" si="92"/>
        <v>243.614805289185</v>
      </c>
      <c r="AG247" s="306">
        <f t="shared" ca="1" si="114"/>
        <v>64.402714110218739</v>
      </c>
      <c r="AH247" s="304">
        <f t="shared" ca="1" si="115"/>
        <v>74.153558559485816</v>
      </c>
    </row>
    <row r="248" spans="1:34" x14ac:dyDescent="0.2">
      <c r="A248" s="347">
        <f t="shared" ca="1" si="93"/>
        <v>0.01</v>
      </c>
      <c r="B248" s="304">
        <f t="shared" ca="1" si="94"/>
        <v>2.439999999999992</v>
      </c>
      <c r="D248" s="306">
        <f t="shared" ca="1" si="95"/>
        <v>8.1073351901517636</v>
      </c>
      <c r="E248" s="307">
        <f t="shared" ca="1" si="96"/>
        <v>63.642710283605339</v>
      </c>
      <c r="F248" s="304">
        <f t="shared" ca="1" si="97"/>
        <v>64.157021877019801</v>
      </c>
      <c r="G248" s="306">
        <f t="shared" ca="1" si="98"/>
        <v>21.355480376441825</v>
      </c>
      <c r="H248" s="307">
        <f t="shared" ca="1" si="99"/>
        <v>193.38321985013411</v>
      </c>
      <c r="I248" s="304">
        <f t="shared" ca="1" si="100"/>
        <v>194.55879898301669</v>
      </c>
      <c r="J248" s="306">
        <f t="shared" ca="1" si="101"/>
        <v>25.606416163199036</v>
      </c>
      <c r="K248" s="307">
        <f t="shared" ca="1" si="102"/>
        <v>245.54545535217216</v>
      </c>
      <c r="L248" s="304">
        <f t="shared" ca="1" si="87"/>
        <v>246.87701228107184</v>
      </c>
      <c r="M248" s="306">
        <f t="shared" ca="1" si="103"/>
        <v>1.460811085010026</v>
      </c>
      <c r="N248" s="304">
        <f t="shared" ca="1" si="104"/>
        <v>83.698309837001005</v>
      </c>
      <c r="P248" s="310">
        <f t="shared" ca="1" si="105"/>
        <v>9</v>
      </c>
      <c r="Q248" s="304">
        <f t="shared" ca="1" si="106"/>
        <v>844.47500000000173</v>
      </c>
      <c r="R248" s="306">
        <f t="shared" ca="1" si="107"/>
        <v>0.42302477100669422</v>
      </c>
      <c r="S248" s="307">
        <f t="shared" ca="1" si="108"/>
        <v>9.8191580453986944</v>
      </c>
      <c r="T248" s="304">
        <f t="shared" ca="1" si="88"/>
        <v>96.325940425361196</v>
      </c>
      <c r="U248" s="311">
        <f t="shared" ca="1" si="89"/>
        <v>0</v>
      </c>
      <c r="V248" s="306">
        <f t="shared" ca="1" si="90"/>
        <v>1.1952854948047953</v>
      </c>
      <c r="W248" s="304">
        <f t="shared" ca="1" si="91"/>
        <v>119.61573305515959</v>
      </c>
      <c r="Y248" s="314" t="str">
        <f t="shared" ca="1" si="109"/>
        <v/>
      </c>
      <c r="Z248" s="315" t="str">
        <f t="shared" ca="1" si="110"/>
        <v/>
      </c>
      <c r="AA248" s="316" t="str">
        <f t="shared" ca="1" si="111"/>
        <v/>
      </c>
      <c r="AC248" s="310" t="e">
        <f t="shared" ca="1" si="112"/>
        <v>#N/A</v>
      </c>
      <c r="AD248" s="323" t="e">
        <f t="shared" ca="1" si="113"/>
        <v>#N/A</v>
      </c>
      <c r="AE248" s="324">
        <f t="shared" ca="1" si="92"/>
        <v>245.54545535217216</v>
      </c>
      <c r="AG248" s="306">
        <f t="shared" ca="1" si="114"/>
        <v>64.147994197943319</v>
      </c>
      <c r="AH248" s="304">
        <f t="shared" ca="1" si="115"/>
        <v>73.898778960769945</v>
      </c>
    </row>
    <row r="249" spans="1:34" x14ac:dyDescent="0.2">
      <c r="A249" s="347">
        <f t="shared" ca="1" si="93"/>
        <v>0.01</v>
      </c>
      <c r="B249" s="304">
        <f t="shared" ca="1" si="94"/>
        <v>2.4499999999999917</v>
      </c>
      <c r="D249" s="306">
        <f t="shared" ca="1" si="95"/>
        <v>8.0834101757815091</v>
      </c>
      <c r="E249" s="307">
        <f t="shared" ca="1" si="96"/>
        <v>63.388816397799062</v>
      </c>
      <c r="F249" s="304">
        <f t="shared" ca="1" si="97"/>
        <v>63.902140530531582</v>
      </c>
      <c r="G249" s="306">
        <f t="shared" ca="1" si="98"/>
        <v>21.436314478199641</v>
      </c>
      <c r="H249" s="307">
        <f t="shared" ca="1" si="99"/>
        <v>194.0171080141121</v>
      </c>
      <c r="I249" s="304">
        <f t="shared" ca="1" si="100"/>
        <v>195.19772995751748</v>
      </c>
      <c r="J249" s="306">
        <f t="shared" ca="1" si="101"/>
        <v>25.820375137472244</v>
      </c>
      <c r="K249" s="307">
        <f t="shared" ca="1" si="102"/>
        <v>247.48245699149339</v>
      </c>
      <c r="L249" s="304">
        <f t="shared" ca="1" si="87"/>
        <v>248.82575889723751</v>
      </c>
      <c r="M249" s="306">
        <f t="shared" ca="1" si="103"/>
        <v>1.4607559213957355</v>
      </c>
      <c r="N249" s="304">
        <f t="shared" ca="1" si="104"/>
        <v>83.695149194719477</v>
      </c>
      <c r="P249" s="310">
        <f t="shared" ca="1" si="105"/>
        <v>9</v>
      </c>
      <c r="Q249" s="304">
        <f t="shared" ca="1" si="106"/>
        <v>842.42500000000177</v>
      </c>
      <c r="R249" s="306">
        <f t="shared" ca="1" si="107"/>
        <v>0.42199785987189015</v>
      </c>
      <c r="S249" s="307">
        <f t="shared" ca="1" si="108"/>
        <v>9.814938066799975</v>
      </c>
      <c r="T249" s="304">
        <f t="shared" ca="1" si="88"/>
        <v>96.284542435307756</v>
      </c>
      <c r="U249" s="311">
        <f t="shared" ca="1" si="89"/>
        <v>0</v>
      </c>
      <c r="V249" s="306">
        <f t="shared" ca="1" si="90"/>
        <v>1.1950539550575194</v>
      </c>
      <c r="W249" s="304">
        <f t="shared" ca="1" si="91"/>
        <v>120.37933575546407</v>
      </c>
      <c r="Y249" s="314" t="str">
        <f t="shared" ca="1" si="109"/>
        <v/>
      </c>
      <c r="Z249" s="315" t="str">
        <f t="shared" ca="1" si="110"/>
        <v/>
      </c>
      <c r="AA249" s="316" t="str">
        <f t="shared" ca="1" si="111"/>
        <v/>
      </c>
      <c r="AC249" s="310" t="e">
        <f t="shared" ca="1" si="112"/>
        <v>#N/A</v>
      </c>
      <c r="AD249" s="323" t="e">
        <f t="shared" ca="1" si="113"/>
        <v>#N/A</v>
      </c>
      <c r="AE249" s="324">
        <f t="shared" ca="1" si="92"/>
        <v>247.48245699149339</v>
      </c>
      <c r="AG249" s="306">
        <f t="shared" ca="1" si="114"/>
        <v>63.893067750506169</v>
      </c>
      <c r="AH249" s="304">
        <f t="shared" ca="1" si="115"/>
        <v>73.643792963892253</v>
      </c>
    </row>
    <row r="250" spans="1:34" x14ac:dyDescent="0.2">
      <c r="A250" s="347">
        <f t="shared" ca="1" si="93"/>
        <v>0.01</v>
      </c>
      <c r="B250" s="304">
        <f t="shared" ca="1" si="94"/>
        <v>2.4599999999999915</v>
      </c>
      <c r="D250" s="306">
        <f t="shared" ca="1" si="95"/>
        <v>8.0594236810342643</v>
      </c>
      <c r="E250" s="307">
        <f t="shared" ca="1" si="96"/>
        <v>63.134725477177454</v>
      </c>
      <c r="F250" s="304">
        <f t="shared" ca="1" si="97"/>
        <v>63.647057050180848</v>
      </c>
      <c r="G250" s="306">
        <f t="shared" ca="1" si="98"/>
        <v>21.516908715009983</v>
      </c>
      <c r="H250" s="307">
        <f t="shared" ca="1" si="99"/>
        <v>194.64845526888388</v>
      </c>
      <c r="I250" s="304">
        <f t="shared" ca="1" si="100"/>
        <v>195.83410964184142</v>
      </c>
      <c r="J250" s="306">
        <f t="shared" ca="1" si="101"/>
        <v>26.03514125343829</v>
      </c>
      <c r="K250" s="307">
        <f t="shared" ca="1" si="102"/>
        <v>249.42578480790837</v>
      </c>
      <c r="L250" s="304">
        <f t="shared" ca="1" si="87"/>
        <v>250.78088186129241</v>
      </c>
      <c r="M250" s="306">
        <f t="shared" ca="1" si="103"/>
        <v>1.4607009095740386</v>
      </c>
      <c r="N250" s="304">
        <f t="shared" ca="1" si="104"/>
        <v>83.691997249512923</v>
      </c>
      <c r="P250" s="310">
        <f t="shared" ca="1" si="105"/>
        <v>9</v>
      </c>
      <c r="Q250" s="304">
        <f t="shared" ca="1" si="106"/>
        <v>840.37500000000182</v>
      </c>
      <c r="R250" s="306">
        <f t="shared" ca="1" si="107"/>
        <v>0.42097094873708601</v>
      </c>
      <c r="S250" s="307">
        <f t="shared" ca="1" si="108"/>
        <v>9.8107283573126036</v>
      </c>
      <c r="T250" s="304">
        <f t="shared" ca="1" si="88"/>
        <v>96.243245185236646</v>
      </c>
      <c r="U250" s="311">
        <f t="shared" ca="1" si="89"/>
        <v>0</v>
      </c>
      <c r="V250" s="306">
        <f t="shared" ca="1" si="90"/>
        <v>1.1948217036239202</v>
      </c>
      <c r="W250" s="304">
        <f t="shared" ca="1" si="91"/>
        <v>121.14198400213843</v>
      </c>
      <c r="Y250" s="314" t="str">
        <f t="shared" ca="1" si="109"/>
        <v/>
      </c>
      <c r="Z250" s="315" t="str">
        <f t="shared" ca="1" si="110"/>
        <v/>
      </c>
      <c r="AA250" s="316" t="str">
        <f t="shared" ca="1" si="111"/>
        <v/>
      </c>
      <c r="AC250" s="310" t="e">
        <f t="shared" ca="1" si="112"/>
        <v>#N/A</v>
      </c>
      <c r="AD250" s="323" t="e">
        <f t="shared" ca="1" si="113"/>
        <v>#N/A</v>
      </c>
      <c r="AE250" s="324">
        <f t="shared" ca="1" si="92"/>
        <v>249.42578480790837</v>
      </c>
      <c r="AG250" s="306">
        <f t="shared" ca="1" si="114"/>
        <v>63.637938799749641</v>
      </c>
      <c r="AH250" s="304">
        <f t="shared" ca="1" si="115"/>
        <v>73.38860459915557</v>
      </c>
    </row>
    <row r="251" spans="1:34" x14ac:dyDescent="0.2">
      <c r="A251" s="347">
        <f t="shared" ca="1" si="93"/>
        <v>0.01</v>
      </c>
      <c r="B251" s="304">
        <f t="shared" ca="1" si="94"/>
        <v>2.4699999999999913</v>
      </c>
      <c r="D251" s="306">
        <f t="shared" ca="1" si="95"/>
        <v>8.0353763508730651</v>
      </c>
      <c r="E251" s="307">
        <f t="shared" ca="1" si="96"/>
        <v>62.880441499641677</v>
      </c>
      <c r="F251" s="304">
        <f t="shared" ca="1" si="97"/>
        <v>63.391775462515874</v>
      </c>
      <c r="G251" s="306">
        <f t="shared" ca="1" si="98"/>
        <v>21.597262478518715</v>
      </c>
      <c r="H251" s="307">
        <f t="shared" ca="1" si="99"/>
        <v>195.27725968388029</v>
      </c>
      <c r="I251" s="304">
        <f t="shared" ca="1" si="100"/>
        <v>196.46793605118279</v>
      </c>
      <c r="J251" s="306">
        <f t="shared" ca="1" si="101"/>
        <v>26.250712109405935</v>
      </c>
      <c r="K251" s="307">
        <f t="shared" ca="1" si="102"/>
        <v>251.37541338267218</v>
      </c>
      <c r="L251" s="304">
        <f t="shared" ca="1" si="87"/>
        <v>252.74235565009721</v>
      </c>
      <c r="M251" s="306">
        <f t="shared" ca="1" si="103"/>
        <v>1.4606460479241379</v>
      </c>
      <c r="N251" s="304">
        <f t="shared" ca="1" si="104"/>
        <v>83.688853908516478</v>
      </c>
      <c r="P251" s="310">
        <f t="shared" ca="1" si="105"/>
        <v>9</v>
      </c>
      <c r="Q251" s="304">
        <f t="shared" ca="1" si="106"/>
        <v>838.32500000000175</v>
      </c>
      <c r="R251" s="306">
        <f t="shared" ca="1" si="107"/>
        <v>0.41994403760228183</v>
      </c>
      <c r="S251" s="307">
        <f t="shared" ca="1" si="108"/>
        <v>9.8065289169365801</v>
      </c>
      <c r="T251" s="304">
        <f t="shared" ca="1" si="88"/>
        <v>96.20204867514785</v>
      </c>
      <c r="U251" s="311">
        <f t="shared" ca="1" si="89"/>
        <v>0</v>
      </c>
      <c r="V251" s="306">
        <f t="shared" ca="1" si="90"/>
        <v>1.1945887439635057</v>
      </c>
      <c r="W251" s="304">
        <f t="shared" ca="1" si="91"/>
        <v>121.9036438520146</v>
      </c>
      <c r="Y251" s="314" t="str">
        <f t="shared" ca="1" si="109"/>
        <v/>
      </c>
      <c r="Z251" s="315" t="str">
        <f t="shared" ca="1" si="110"/>
        <v/>
      </c>
      <c r="AA251" s="316" t="str">
        <f t="shared" ca="1" si="111"/>
        <v/>
      </c>
      <c r="AC251" s="310" t="e">
        <f t="shared" ca="1" si="112"/>
        <v>#N/A</v>
      </c>
      <c r="AD251" s="323" t="e">
        <f t="shared" ca="1" si="113"/>
        <v>#N/A</v>
      </c>
      <c r="AE251" s="324">
        <f t="shared" ca="1" si="92"/>
        <v>251.37541338267218</v>
      </c>
      <c r="AG251" s="306">
        <f t="shared" ca="1" si="114"/>
        <v>63.382611367673313</v>
      </c>
      <c r="AH251" s="304">
        <f t="shared" ca="1" si="115"/>
        <v>73.133217887038171</v>
      </c>
    </row>
    <row r="252" spans="1:34" x14ac:dyDescent="0.2">
      <c r="A252" s="347">
        <f t="shared" ca="1" si="93"/>
        <v>0.01</v>
      </c>
      <c r="B252" s="304">
        <f t="shared" ca="1" si="94"/>
        <v>2.4799999999999911</v>
      </c>
      <c r="D252" s="306">
        <f t="shared" ca="1" si="95"/>
        <v>8.0112688270664716</v>
      </c>
      <c r="E252" s="307">
        <f t="shared" ca="1" si="96"/>
        <v>62.625968433335046</v>
      </c>
      <c r="F252" s="304">
        <f t="shared" ca="1" si="97"/>
        <v>63.13629978413848</v>
      </c>
      <c r="G252" s="306">
        <f t="shared" ca="1" si="98"/>
        <v>21.677375166789378</v>
      </c>
      <c r="H252" s="307">
        <f t="shared" ca="1" si="99"/>
        <v>195.90351936821364</v>
      </c>
      <c r="I252" s="304">
        <f t="shared" ca="1" si="100"/>
        <v>197.09920724085572</v>
      </c>
      <c r="J252" s="306">
        <f t="shared" ca="1" si="101"/>
        <v>26.467085297632476</v>
      </c>
      <c r="K252" s="307">
        <f t="shared" ca="1" si="102"/>
        <v>253.33131727793264</v>
      </c>
      <c r="L252" s="304">
        <f t="shared" ca="1" si="87"/>
        <v>254.71015472086057</v>
      </c>
      <c r="M252" s="306">
        <f t="shared" ca="1" si="103"/>
        <v>1.4605913348453659</v>
      </c>
      <c r="N252" s="304">
        <f t="shared" ca="1" si="104"/>
        <v>83.685719080018671</v>
      </c>
      <c r="P252" s="310">
        <f t="shared" ca="1" si="105"/>
        <v>9</v>
      </c>
      <c r="Q252" s="304">
        <f t="shared" ca="1" si="106"/>
        <v>836.2750000000018</v>
      </c>
      <c r="R252" s="306">
        <f t="shared" ca="1" si="107"/>
        <v>0.41891712646747775</v>
      </c>
      <c r="S252" s="307">
        <f t="shared" ca="1" si="108"/>
        <v>9.8023397456719046</v>
      </c>
      <c r="T252" s="304">
        <f t="shared" ca="1" si="88"/>
        <v>96.160952905041384</v>
      </c>
      <c r="U252" s="311">
        <f t="shared" ca="1" si="89"/>
        <v>0</v>
      </c>
      <c r="V252" s="306">
        <f t="shared" ca="1" si="90"/>
        <v>1.1943550795368929</v>
      </c>
      <c r="W252" s="304">
        <f t="shared" ca="1" si="91"/>
        <v>122.66428154079337</v>
      </c>
      <c r="Y252" s="314" t="str">
        <f t="shared" ca="1" si="109"/>
        <v/>
      </c>
      <c r="Z252" s="315" t="str">
        <f t="shared" ca="1" si="110"/>
        <v/>
      </c>
      <c r="AA252" s="316" t="str">
        <f t="shared" ca="1" si="111"/>
        <v/>
      </c>
      <c r="AC252" s="310" t="e">
        <f t="shared" ca="1" si="112"/>
        <v>#N/A</v>
      </c>
      <c r="AD252" s="323" t="e">
        <f t="shared" ca="1" si="113"/>
        <v>#N/A</v>
      </c>
      <c r="AE252" s="324">
        <f t="shared" ca="1" si="92"/>
        <v>253.33131727793264</v>
      </c>
      <c r="AG252" s="306">
        <f t="shared" ca="1" si="114"/>
        <v>63.127089466262653</v>
      </c>
      <c r="AH252" s="304">
        <f t="shared" ca="1" si="115"/>
        <v>72.877636838022113</v>
      </c>
    </row>
    <row r="253" spans="1:34" x14ac:dyDescent="0.2">
      <c r="A253" s="347">
        <f t="shared" ca="1" si="93"/>
        <v>0.01</v>
      </c>
      <c r="B253" s="304">
        <f t="shared" ca="1" si="94"/>
        <v>2.4899999999999909</v>
      </c>
      <c r="D253" s="306">
        <f t="shared" ca="1" si="95"/>
        <v>7.9871017482101809</v>
      </c>
      <c r="E253" s="307">
        <f t="shared" ca="1" si="96"/>
        <v>62.371310236470578</v>
      </c>
      <c r="F253" s="304">
        <f t="shared" ca="1" si="97"/>
        <v>62.880634021535769</v>
      </c>
      <c r="G253" s="306">
        <f t="shared" ca="1" si="98"/>
        <v>21.75724618427148</v>
      </c>
      <c r="H253" s="307">
        <f t="shared" ca="1" si="99"/>
        <v>196.52723247057835</v>
      </c>
      <c r="I253" s="304">
        <f t="shared" ca="1" si="100"/>
        <v>197.72792130619223</v>
      </c>
      <c r="J253" s="306">
        <f t="shared" ca="1" si="101"/>
        <v>26.68425840438778</v>
      </c>
      <c r="K253" s="307">
        <f t="shared" ca="1" si="102"/>
        <v>255.29347103712661</v>
      </c>
      <c r="L253" s="304">
        <f t="shared" ca="1" si="87"/>
        <v>256.68425351153962</v>
      </c>
      <c r="M253" s="306">
        <f t="shared" ca="1" si="103"/>
        <v>1.4605367687568289</v>
      </c>
      <c r="N253" s="304">
        <f t="shared" ca="1" si="104"/>
        <v>83.682592673440979</v>
      </c>
      <c r="P253" s="310">
        <f t="shared" ca="1" si="105"/>
        <v>9</v>
      </c>
      <c r="Q253" s="304">
        <f t="shared" ca="1" si="106"/>
        <v>834.22500000000184</v>
      </c>
      <c r="R253" s="306">
        <f t="shared" ca="1" si="107"/>
        <v>0.41789021533267362</v>
      </c>
      <c r="S253" s="307">
        <f t="shared" ca="1" si="108"/>
        <v>9.798160843518577</v>
      </c>
      <c r="T253" s="304">
        <f t="shared" ca="1" si="88"/>
        <v>96.119957874917247</v>
      </c>
      <c r="U253" s="311">
        <f t="shared" ca="1" si="89"/>
        <v>0</v>
      </c>
      <c r="V253" s="306">
        <f t="shared" ca="1" si="90"/>
        <v>1.1941207138057361</v>
      </c>
      <c r="W253" s="304">
        <f t="shared" ca="1" si="91"/>
        <v>123.4238634840692</v>
      </c>
      <c r="Y253" s="314" t="str">
        <f t="shared" ca="1" si="109"/>
        <v/>
      </c>
      <c r="Z253" s="315" t="str">
        <f t="shared" ca="1" si="110"/>
        <v/>
      </c>
      <c r="AA253" s="316" t="str">
        <f t="shared" ca="1" si="111"/>
        <v/>
      </c>
      <c r="AC253" s="310" t="e">
        <f t="shared" ca="1" si="112"/>
        <v>#N/A</v>
      </c>
      <c r="AD253" s="323" t="e">
        <f t="shared" ca="1" si="113"/>
        <v>#N/A</v>
      </c>
      <c r="AE253" s="324">
        <f t="shared" ca="1" si="92"/>
        <v>255.29347103712661</v>
      </c>
      <c r="AG253" s="306">
        <f t="shared" ca="1" si="114"/>
        <v>62.871377097319396</v>
      </c>
      <c r="AH253" s="304">
        <f t="shared" ca="1" si="115"/>
        <v>72.621865452423307</v>
      </c>
    </row>
    <row r="254" spans="1:34" x14ac:dyDescent="0.2">
      <c r="A254" s="347">
        <f t="shared" ca="1" si="93"/>
        <v>0.01</v>
      </c>
      <c r="B254" s="304">
        <f t="shared" ca="1" si="94"/>
        <v>2.4999999999999907</v>
      </c>
      <c r="D254" s="306">
        <f t="shared" ca="1" si="95"/>
        <v>7.9628757497480303</v>
      </c>
      <c r="E254" s="307">
        <f t="shared" ca="1" si="96"/>
        <v>62.116470857160152</v>
      </c>
      <c r="F254" s="304">
        <f t="shared" ca="1" si="97"/>
        <v>62.624782170913392</v>
      </c>
      <c r="G254" s="306">
        <f t="shared" ca="1" si="98"/>
        <v>21.836874941768961</v>
      </c>
      <c r="H254" s="307">
        <f t="shared" ca="1" si="99"/>
        <v>197.14839717914995</v>
      </c>
      <c r="I254" s="304">
        <f t="shared" ca="1" si="100"/>
        <v>198.35407638243868</v>
      </c>
      <c r="J254" s="306">
        <f t="shared" ca="1" si="101"/>
        <v>26.902229010017983</v>
      </c>
      <c r="K254" s="307">
        <f t="shared" ca="1" si="102"/>
        <v>257.26184918537524</v>
      </c>
      <c r="L254" s="304">
        <f t="shared" ca="1" si="87"/>
        <v>258.66462644123993</v>
      </c>
      <c r="M254" s="306">
        <f t="shared" ca="1" si="103"/>
        <v>1.4604823480970619</v>
      </c>
      <c r="N254" s="304">
        <f t="shared" ca="1" si="104"/>
        <v>83.679474599317999</v>
      </c>
      <c r="P254" s="310">
        <f t="shared" ca="1" si="105"/>
        <v>9</v>
      </c>
      <c r="Q254" s="304">
        <f t="shared" ca="1" si="106"/>
        <v>832.17500000000189</v>
      </c>
      <c r="R254" s="306">
        <f t="shared" ca="1" si="107"/>
        <v>0.41686330419786954</v>
      </c>
      <c r="S254" s="307">
        <f t="shared" ca="1" si="108"/>
        <v>9.7939922104765991</v>
      </c>
      <c r="T254" s="304">
        <f t="shared" ca="1" si="88"/>
        <v>96.07906358477544</v>
      </c>
      <c r="U254" s="311">
        <f t="shared" ca="1" si="89"/>
        <v>0</v>
      </c>
      <c r="V254" s="306">
        <f t="shared" ca="1" si="90"/>
        <v>1.1938856502326589</v>
      </c>
      <c r="W254" s="304">
        <f t="shared" ca="1" si="91"/>
        <v>124.18235627833694</v>
      </c>
      <c r="Y254" s="314" t="str">
        <f t="shared" ca="1" si="109"/>
        <v/>
      </c>
      <c r="Z254" s="315" t="str">
        <f t="shared" ca="1" si="110"/>
        <v/>
      </c>
      <c r="AA254" s="316" t="str">
        <f t="shared" ca="1" si="111"/>
        <v/>
      </c>
      <c r="AC254" s="310" t="e">
        <f t="shared" ca="1" si="112"/>
        <v>#N/A</v>
      </c>
      <c r="AD254" s="323" t="e">
        <f t="shared" ca="1" si="113"/>
        <v>#N/A</v>
      </c>
      <c r="AE254" s="324">
        <f t="shared" ca="1" si="92"/>
        <v>257.26184918537524</v>
      </c>
      <c r="AG254" s="306">
        <f t="shared" ca="1" si="114"/>
        <v>62.615478252293357</v>
      </c>
      <c r="AH254" s="304">
        <f t="shared" ca="1" si="115"/>
        <v>72.365907720223021</v>
      </c>
    </row>
    <row r="255" spans="1:34" x14ac:dyDescent="0.2">
      <c r="A255" s="347">
        <f t="shared" ca="1" si="93"/>
        <v>0.01</v>
      </c>
      <c r="B255" s="304">
        <f t="shared" ca="1" si="94"/>
        <v>2.5099999999999905</v>
      </c>
      <c r="D255" s="306">
        <f t="shared" ca="1" si="95"/>
        <v>7.9385914639919966</v>
      </c>
      <c r="E255" s="307">
        <f t="shared" ca="1" si="96"/>
        <v>61.861454233245695</v>
      </c>
      <c r="F255" s="304">
        <f t="shared" ca="1" si="97"/>
        <v>62.368748218030788</v>
      </c>
      <c r="G255" s="306">
        <f t="shared" ca="1" si="98"/>
        <v>21.916260856408883</v>
      </c>
      <c r="H255" s="307">
        <f t="shared" ca="1" si="99"/>
        <v>197.76701172148242</v>
      </c>
      <c r="I255" s="304">
        <f t="shared" ca="1" si="100"/>
        <v>198.97767064465077</v>
      </c>
      <c r="J255" s="306">
        <f t="shared" ca="1" si="101"/>
        <v>27.120994689008871</v>
      </c>
      <c r="K255" s="307">
        <f t="shared" ca="1" si="102"/>
        <v>259.23642622987842</v>
      </c>
      <c r="L255" s="304">
        <f t="shared" ca="1" si="87"/>
        <v>260.65124791061419</v>
      </c>
      <c r="M255" s="306">
        <f t="shared" ca="1" si="103"/>
        <v>1.460428071323687</v>
      </c>
      <c r="N255" s="304">
        <f t="shared" ca="1" si="104"/>
        <v>83.676364769278038</v>
      </c>
      <c r="P255" s="310">
        <f t="shared" ca="1" si="105"/>
        <v>9</v>
      </c>
      <c r="Q255" s="304">
        <f t="shared" ca="1" si="106"/>
        <v>830.12500000000193</v>
      </c>
      <c r="R255" s="306">
        <f t="shared" ca="1" si="107"/>
        <v>0.41583639306306541</v>
      </c>
      <c r="S255" s="307">
        <f t="shared" ca="1" si="108"/>
        <v>9.7898338465459691</v>
      </c>
      <c r="T255" s="304">
        <f t="shared" ca="1" si="88"/>
        <v>96.038270034615962</v>
      </c>
      <c r="U255" s="311">
        <f t="shared" ca="1" si="89"/>
        <v>0</v>
      </c>
      <c r="V255" s="306">
        <f t="shared" ca="1" si="90"/>
        <v>1.1936498922811871</v>
      </c>
      <c r="W255" s="304">
        <f t="shared" ca="1" si="91"/>
        <v>124.93972670198012</v>
      </c>
      <c r="Y255" s="314" t="str">
        <f t="shared" ca="1" si="109"/>
        <v/>
      </c>
      <c r="Z255" s="315" t="str">
        <f t="shared" ca="1" si="110"/>
        <v/>
      </c>
      <c r="AA255" s="316" t="str">
        <f t="shared" ca="1" si="111"/>
        <v/>
      </c>
      <c r="AC255" s="310" t="e">
        <f t="shared" ca="1" si="112"/>
        <v>#N/A</v>
      </c>
      <c r="AD255" s="323" t="e">
        <f t="shared" ca="1" si="113"/>
        <v>#N/A</v>
      </c>
      <c r="AE255" s="324">
        <f t="shared" ca="1" si="92"/>
        <v>259.23642622987842</v>
      </c>
      <c r="AG255" s="306">
        <f t="shared" ca="1" si="114"/>
        <v>62.359396912116253</v>
      </c>
      <c r="AH255" s="304">
        <f t="shared" ca="1" si="115"/>
        <v>72.109767620901394</v>
      </c>
    </row>
    <row r="256" spans="1:34" x14ac:dyDescent="0.2">
      <c r="A256" s="347">
        <f t="shared" ca="1" si="93"/>
        <v>0.01</v>
      </c>
      <c r="B256" s="304">
        <f t="shared" ca="1" si="94"/>
        <v>2.5199999999999902</v>
      </c>
      <c r="D256" s="306">
        <f t="shared" ca="1" si="95"/>
        <v>7.9142495201416638</v>
      </c>
      <c r="E256" s="307">
        <f t="shared" ca="1" si="96"/>
        <v>61.606264292131542</v>
      </c>
      <c r="F256" s="304">
        <f t="shared" ca="1" si="97"/>
        <v>62.112536138037584</v>
      </c>
      <c r="G256" s="306">
        <f t="shared" ca="1" si="98"/>
        <v>21.9954033516103</v>
      </c>
      <c r="H256" s="307">
        <f t="shared" ca="1" si="99"/>
        <v>198.38307436440374</v>
      </c>
      <c r="I256" s="304">
        <f t="shared" ca="1" si="100"/>
        <v>199.59870230758659</v>
      </c>
      <c r="J256" s="306">
        <f t="shared" ca="1" si="101"/>
        <v>27.340553010048968</v>
      </c>
      <c r="K256" s="307">
        <f t="shared" ca="1" si="102"/>
        <v>261.21717666030787</v>
      </c>
      <c r="L256" s="304">
        <f t="shared" ca="1" si="87"/>
        <v>262.64409230225948</v>
      </c>
      <c r="M256" s="306">
        <f t="shared" ca="1" si="103"/>
        <v>1.4603739369130819</v>
      </c>
      <c r="N256" s="304">
        <f t="shared" ca="1" si="104"/>
        <v>83.673263096023931</v>
      </c>
      <c r="P256" s="310">
        <f t="shared" ca="1" si="105"/>
        <v>9</v>
      </c>
      <c r="Q256" s="304">
        <f t="shared" ca="1" si="106"/>
        <v>828.07500000000198</v>
      </c>
      <c r="R256" s="306">
        <f t="shared" ca="1" si="107"/>
        <v>0.41480948192826128</v>
      </c>
      <c r="S256" s="307">
        <f t="shared" ca="1" si="108"/>
        <v>9.7856857517266871</v>
      </c>
      <c r="T256" s="304">
        <f t="shared" ca="1" si="88"/>
        <v>95.9975772244388</v>
      </c>
      <c r="U256" s="311">
        <f t="shared" ca="1" si="89"/>
        <v>0</v>
      </c>
      <c r="V256" s="306">
        <f t="shared" ca="1" si="90"/>
        <v>1.1934134434156811</v>
      </c>
      <c r="W256" s="304">
        <f t="shared" ca="1" si="91"/>
        <v>125.69594171624043</v>
      </c>
      <c r="Y256" s="314" t="str">
        <f t="shared" ca="1" si="109"/>
        <v/>
      </c>
      <c r="Z256" s="315" t="str">
        <f t="shared" ca="1" si="110"/>
        <v/>
      </c>
      <c r="AA256" s="316" t="str">
        <f t="shared" ca="1" si="111"/>
        <v/>
      </c>
      <c r="AC256" s="310" t="e">
        <f t="shared" ca="1" si="112"/>
        <v>#N/A</v>
      </c>
      <c r="AD256" s="323" t="e">
        <f t="shared" ca="1" si="113"/>
        <v>#N/A</v>
      </c>
      <c r="AE256" s="324">
        <f t="shared" ca="1" si="92"/>
        <v>261.21717666030787</v>
      </c>
      <c r="AG256" s="306">
        <f t="shared" ca="1" si="114"/>
        <v>62.103137047036583</v>
      </c>
      <c r="AH256" s="304">
        <f t="shared" ca="1" si="115"/>
        <v>71.853449123272057</v>
      </c>
    </row>
    <row r="257" spans="1:34" x14ac:dyDescent="0.2">
      <c r="A257" s="347">
        <f t="shared" ca="1" si="93"/>
        <v>0.01</v>
      </c>
      <c r="B257" s="304">
        <f t="shared" ca="1" si="94"/>
        <v>2.52999999999999</v>
      </c>
      <c r="D257" s="306">
        <f t="shared" ca="1" si="95"/>
        <v>7.8898505443028792</v>
      </c>
      <c r="E257" s="307">
        <f t="shared" ca="1" si="96"/>
        <v>61.350904950619054</v>
      </c>
      <c r="F257" s="304">
        <f t="shared" ca="1" si="97"/>
        <v>61.856149895312186</v>
      </c>
      <c r="G257" s="306">
        <f t="shared" ca="1" si="98"/>
        <v>22.074301857053328</v>
      </c>
      <c r="H257" s="307">
        <f t="shared" ca="1" si="99"/>
        <v>198.99658341390992</v>
      </c>
      <c r="I257" s="304">
        <f t="shared" ca="1" si="100"/>
        <v>200.21716962559807</v>
      </c>
      <c r="J257" s="306">
        <f t="shared" ca="1" si="101"/>
        <v>27.560901536092285</v>
      </c>
      <c r="K257" s="307">
        <f t="shared" ca="1" si="102"/>
        <v>263.20407494919942</v>
      </c>
      <c r="L257" s="304">
        <f t="shared" ca="1" si="87"/>
        <v>264.6431339811142</v>
      </c>
      <c r="M257" s="306">
        <f t="shared" ca="1" si="103"/>
        <v>1.4603199433600553</v>
      </c>
      <c r="N257" s="304">
        <f t="shared" ca="1" si="104"/>
        <v>83.670169493314603</v>
      </c>
      <c r="P257" s="310">
        <f t="shared" ca="1" si="105"/>
        <v>9</v>
      </c>
      <c r="Q257" s="304">
        <f t="shared" ca="1" si="106"/>
        <v>826.02500000000202</v>
      </c>
      <c r="R257" s="306">
        <f t="shared" ca="1" si="107"/>
        <v>0.41378257079345721</v>
      </c>
      <c r="S257" s="307">
        <f t="shared" ca="1" si="108"/>
        <v>9.781547926018753</v>
      </c>
      <c r="T257" s="304">
        <f t="shared" ca="1" si="88"/>
        <v>95.956985154243966</v>
      </c>
      <c r="U257" s="311">
        <f t="shared" ca="1" si="89"/>
        <v>0</v>
      </c>
      <c r="V257" s="306">
        <f t="shared" ca="1" si="90"/>
        <v>1.1931763071012669</v>
      </c>
      <c r="W257" s="304">
        <f t="shared" ca="1" si="91"/>
        <v>126.45096846616835</v>
      </c>
      <c r="Y257" s="314" t="str">
        <f t="shared" ca="1" si="109"/>
        <v/>
      </c>
      <c r="Z257" s="315" t="str">
        <f t="shared" ca="1" si="110"/>
        <v/>
      </c>
      <c r="AA257" s="316" t="str">
        <f t="shared" ca="1" si="111"/>
        <v/>
      </c>
      <c r="AC257" s="310" t="e">
        <f t="shared" ca="1" si="112"/>
        <v>#N/A</v>
      </c>
      <c r="AD257" s="323" t="e">
        <f t="shared" ca="1" si="113"/>
        <v>#N/A</v>
      </c>
      <c r="AE257" s="324">
        <f t="shared" ca="1" si="92"/>
        <v>263.20407494919942</v>
      </c>
      <c r="AG257" s="306">
        <f t="shared" ca="1" si="114"/>
        <v>61.846702616456753</v>
      </c>
      <c r="AH257" s="304">
        <f t="shared" ca="1" si="115"/>
        <v>71.596956185318902</v>
      </c>
    </row>
    <row r="258" spans="1:34" x14ac:dyDescent="0.2">
      <c r="A258" s="347">
        <f t="shared" ca="1" si="93"/>
        <v>0.01</v>
      </c>
      <c r="B258" s="304">
        <f t="shared" ca="1" si="94"/>
        <v>2.5399999999999898</v>
      </c>
      <c r="D258" s="306">
        <f t="shared" ca="1" si="95"/>
        <v>7.8653951595056588</v>
      </c>
      <c r="E258" s="307">
        <f t="shared" ca="1" si="96"/>
        <v>61.095380114742468</v>
      </c>
      <c r="F258" s="304">
        <f t="shared" ca="1" si="97"/>
        <v>61.599593443301593</v>
      </c>
      <c r="G258" s="306">
        <f t="shared" ca="1" si="98"/>
        <v>22.152955808648386</v>
      </c>
      <c r="H258" s="307">
        <f t="shared" ca="1" si="99"/>
        <v>199.60753721505733</v>
      </c>
      <c r="I258" s="304">
        <f t="shared" ca="1" si="100"/>
        <v>200.83307089252116</v>
      </c>
      <c r="J258" s="306">
        <f t="shared" ca="1" si="101"/>
        <v>27.782037824420794</v>
      </c>
      <c r="K258" s="307">
        <f t="shared" ca="1" si="102"/>
        <v>265.19709555234425</v>
      </c>
      <c r="L258" s="304">
        <f t="shared" ca="1" si="87"/>
        <v>266.64834729485341</v>
      </c>
      <c r="M258" s="306">
        <f t="shared" ca="1" si="103"/>
        <v>1.4602660891775268</v>
      </c>
      <c r="N258" s="304">
        <f t="shared" ca="1" si="104"/>
        <v>83.667083875946588</v>
      </c>
      <c r="P258" s="310">
        <f t="shared" ca="1" si="105"/>
        <v>9</v>
      </c>
      <c r="Q258" s="304">
        <f t="shared" ca="1" si="106"/>
        <v>823.97500000000207</v>
      </c>
      <c r="R258" s="306">
        <f t="shared" ca="1" si="107"/>
        <v>0.41275565965865307</v>
      </c>
      <c r="S258" s="307">
        <f t="shared" ca="1" si="108"/>
        <v>9.7774203694221669</v>
      </c>
      <c r="T258" s="304">
        <f t="shared" ca="1" si="88"/>
        <v>95.916493824031463</v>
      </c>
      <c r="U258" s="311">
        <f t="shared" ca="1" si="89"/>
        <v>0</v>
      </c>
      <c r="V258" s="306">
        <f t="shared" ca="1" si="90"/>
        <v>1.1929384868037707</v>
      </c>
      <c r="W258" s="304">
        <f t="shared" ca="1" si="91"/>
        <v>127.20477428155631</v>
      </c>
      <c r="Y258" s="314" t="str">
        <f t="shared" ca="1" si="109"/>
        <v/>
      </c>
      <c r="Z258" s="315" t="str">
        <f t="shared" ca="1" si="110"/>
        <v/>
      </c>
      <c r="AA258" s="316" t="str">
        <f t="shared" ca="1" si="111"/>
        <v/>
      </c>
      <c r="AC258" s="310" t="e">
        <f t="shared" ca="1" si="112"/>
        <v>#N/A</v>
      </c>
      <c r="AD258" s="323" t="e">
        <f t="shared" ca="1" si="113"/>
        <v>#N/A</v>
      </c>
      <c r="AE258" s="324">
        <f t="shared" ca="1" si="92"/>
        <v>265.19709555234425</v>
      </c>
      <c r="AG258" s="306">
        <f t="shared" ca="1" si="114"/>
        <v>61.590097568771284</v>
      </c>
      <c r="AH258" s="304">
        <f t="shared" ca="1" si="115"/>
        <v>71.34029275403411</v>
      </c>
    </row>
    <row r="259" spans="1:34" x14ac:dyDescent="0.2">
      <c r="A259" s="347">
        <f t="shared" ca="1" si="93"/>
        <v>0.01</v>
      </c>
      <c r="B259" s="304">
        <f t="shared" ca="1" si="94"/>
        <v>2.5499999999999896</v>
      </c>
      <c r="D259" s="306">
        <f t="shared" ca="1" si="95"/>
        <v>7.8408839857216348</v>
      </c>
      <c r="E259" s="307">
        <f t="shared" ca="1" si="96"/>
        <v>60.839693679606896</v>
      </c>
      <c r="F259" s="304">
        <f t="shared" ca="1" si="97"/>
        <v>61.34287072436328</v>
      </c>
      <c r="G259" s="306">
        <f t="shared" ca="1" si="98"/>
        <v>22.231364648505604</v>
      </c>
      <c r="H259" s="307">
        <f t="shared" ca="1" si="99"/>
        <v>200.21593415185339</v>
      </c>
      <c r="I259" s="304">
        <f t="shared" ca="1" si="100"/>
        <v>201.44640444156383</v>
      </c>
      <c r="J259" s="306">
        <f t="shared" ca="1" si="101"/>
        <v>28.003959426706565</v>
      </c>
      <c r="K259" s="307">
        <f t="shared" ca="1" si="102"/>
        <v>267.19621290917883</v>
      </c>
      <c r="L259" s="304">
        <f t="shared" ca="1" si="87"/>
        <v>268.65970657428301</v>
      </c>
      <c r="M259" s="306">
        <f t="shared" ca="1" si="103"/>
        <v>1.4602123728962173</v>
      </c>
      <c r="N259" s="304">
        <f t="shared" ca="1" si="104"/>
        <v>83.664006159736417</v>
      </c>
      <c r="P259" s="310">
        <f t="shared" ca="1" si="105"/>
        <v>9</v>
      </c>
      <c r="Q259" s="304">
        <f t="shared" ca="1" si="106"/>
        <v>821.92500000000211</v>
      </c>
      <c r="R259" s="306">
        <f t="shared" ca="1" si="107"/>
        <v>0.41172874852384894</v>
      </c>
      <c r="S259" s="307">
        <f t="shared" ca="1" si="108"/>
        <v>9.7733030819369286</v>
      </c>
      <c r="T259" s="304">
        <f t="shared" ca="1" si="88"/>
        <v>95.876103233801274</v>
      </c>
      <c r="U259" s="311">
        <f t="shared" ca="1" si="89"/>
        <v>0</v>
      </c>
      <c r="V259" s="306">
        <f t="shared" ca="1" si="90"/>
        <v>1.1926999859896499</v>
      </c>
      <c r="W259" s="304">
        <f t="shared" ca="1" si="91"/>
        <v>127.95732667785195</v>
      </c>
      <c r="Y259" s="314" t="str">
        <f t="shared" ca="1" si="109"/>
        <v/>
      </c>
      <c r="Z259" s="315" t="str">
        <f t="shared" ca="1" si="110"/>
        <v/>
      </c>
      <c r="AA259" s="316" t="str">
        <f t="shared" ca="1" si="111"/>
        <v/>
      </c>
      <c r="AC259" s="310" t="e">
        <f t="shared" ca="1" si="112"/>
        <v>#N/A</v>
      </c>
      <c r="AD259" s="323" t="e">
        <f t="shared" ca="1" si="113"/>
        <v>#N/A</v>
      </c>
      <c r="AE259" s="324">
        <f t="shared" ca="1" si="92"/>
        <v>267.19621290917883</v>
      </c>
      <c r="AG259" s="306">
        <f t="shared" ca="1" si="114"/>
        <v>61.333325841207142</v>
      </c>
      <c r="AH259" s="304">
        <f t="shared" ca="1" si="115"/>
        <v>71.083462765258091</v>
      </c>
    </row>
    <row r="260" spans="1:34" x14ac:dyDescent="0.2">
      <c r="A260" s="347">
        <f t="shared" ca="1" si="93"/>
        <v>0.01</v>
      </c>
      <c r="B260" s="304">
        <f t="shared" ca="1" si="94"/>
        <v>2.5599999999999894</v>
      </c>
      <c r="D260" s="306">
        <f t="shared" ca="1" si="95"/>
        <v>7.8163176398805589</v>
      </c>
      <c r="E260" s="307">
        <f t="shared" ca="1" si="96"/>
        <v>60.583849529227777</v>
      </c>
      <c r="F260" s="304">
        <f t="shared" ca="1" si="97"/>
        <v>61.085985669608547</v>
      </c>
      <c r="G260" s="306">
        <f t="shared" ca="1" si="98"/>
        <v>22.309527824904411</v>
      </c>
      <c r="H260" s="307">
        <f t="shared" ca="1" si="99"/>
        <v>200.82177264714568</v>
      </c>
      <c r="I260" s="304">
        <f t="shared" ca="1" si="100"/>
        <v>202.0571686451932</v>
      </c>
      <c r="J260" s="306">
        <f t="shared" ca="1" si="101"/>
        <v>28.226663889073617</v>
      </c>
      <c r="K260" s="307">
        <f t="shared" ca="1" si="102"/>
        <v>269.20140144317384</v>
      </c>
      <c r="L260" s="304">
        <f t="shared" ref="L260:L323" ca="1" si="116">SQRT(pos_x^2+pos_z^2)</f>
        <v>270.67718613373302</v>
      </c>
      <c r="M260" s="306">
        <f t="shared" ca="1" si="103"/>
        <v>1.4601587930643423</v>
      </c>
      <c r="N260" s="304">
        <f t="shared" ca="1" si="104"/>
        <v>83.660936261502954</v>
      </c>
      <c r="P260" s="310">
        <f t="shared" ca="1" si="105"/>
        <v>9</v>
      </c>
      <c r="Q260" s="304">
        <f t="shared" ca="1" si="106"/>
        <v>819.87500000000216</v>
      </c>
      <c r="R260" s="306">
        <f t="shared" ca="1" si="107"/>
        <v>0.41070183738904487</v>
      </c>
      <c r="S260" s="307">
        <f t="shared" ca="1" si="108"/>
        <v>9.7691960635630384</v>
      </c>
      <c r="T260" s="304">
        <f t="shared" ref="T260:T323" ca="1" si="117">m*g</f>
        <v>95.835813383553415</v>
      </c>
      <c r="U260" s="311">
        <f t="shared" ref="U260:U323" ca="1" si="118">IF(pos_xz&lt;L_rampe,Poids*COS(Beta),0)</f>
        <v>0</v>
      </c>
      <c r="V260" s="306">
        <f t="shared" ref="V260:V323" ca="1" si="119">Rho_moyen*(20000-Alt_rampe-pos_z)/(20000+Alt_rampe+pos_z)</f>
        <v>1.1924608081259278</v>
      </c>
      <c r="W260" s="304">
        <f t="shared" ref="W260:W323" ca="1" si="120">1/2*Rho*Sref*Cx*vit_xz^2</f>
        <v>128.70859335705447</v>
      </c>
      <c r="Y260" s="314" t="str">
        <f t="shared" ca="1" si="109"/>
        <v/>
      </c>
      <c r="Z260" s="315" t="str">
        <f t="shared" ca="1" si="110"/>
        <v/>
      </c>
      <c r="AA260" s="316" t="str">
        <f t="shared" ca="1" si="111"/>
        <v/>
      </c>
      <c r="AC260" s="310" t="e">
        <f t="shared" ca="1" si="112"/>
        <v>#N/A</v>
      </c>
      <c r="AD260" s="323" t="e">
        <f t="shared" ca="1" si="113"/>
        <v>#N/A</v>
      </c>
      <c r="AE260" s="324">
        <f t="shared" ref="AE260:AE323" ca="1" si="121">IF(t&lt;T_para, pos_z, NA())</f>
        <v>269.20140144317384</v>
      </c>
      <c r="AG260" s="306">
        <f t="shared" ca="1" si="114"/>
        <v>61.076391359665401</v>
      </c>
      <c r="AH260" s="304">
        <f t="shared" ca="1" si="115"/>
        <v>70.826470143520979</v>
      </c>
    </row>
    <row r="261" spans="1:34" x14ac:dyDescent="0.2">
      <c r="A261" s="347">
        <f t="shared" ref="A261:A324" ca="1" si="122">IF(B260+0.01&lt;=T_ini+ROUNDUP(Temps_fin_propu,0), 0.01, IF(K260&gt;0, 0.1, 0.0001))</f>
        <v>0.01</v>
      </c>
      <c r="B261" s="304">
        <f t="shared" ref="B261:B324" ca="1" si="123">B260+pas</f>
        <v>2.5699999999999892</v>
      </c>
      <c r="D261" s="306">
        <f t="shared" ref="D261:D324" ca="1" si="124">IF(AND(L260&lt;L_rampe,Poussee&lt;Poids*SIN(M260)),0,(-W260+Poussee)/m*COS(M260)-U260/m*SIN(M260))</f>
        <v>7.7916967358865055</v>
      </c>
      <c r="E261" s="307">
        <f t="shared" ref="E261:E324" ca="1" si="125">IF(AND(L260&lt;L_rampe,Poussee&lt;Poids*SIN(M260)),0,(-W260+Poussee)/m*SIN(M260)+U260/m*COS(M260)-Poids/m)</f>
        <v>60.327851536372009</v>
      </c>
      <c r="F261" s="304">
        <f t="shared" ref="F261:F324" ca="1" si="126">SQRT(acc_x^2+acc_z^2)</f>
        <v>60.828942198747519</v>
      </c>
      <c r="G261" s="306">
        <f t="shared" ref="G261:G324" ca="1" si="127">G260+acc_x*pas</f>
        <v>22.387444792263274</v>
      </c>
      <c r="H261" s="307">
        <f t="shared" ref="H261:H324" ca="1" si="128">H260+acc_z*pas</f>
        <v>201.42505116250939</v>
      </c>
      <c r="I261" s="304">
        <f t="shared" ref="I261:I324" ca="1" si="129">SQRT(vit_x^2+vit_z^2)</f>
        <v>202.6653619150203</v>
      </c>
      <c r="J261" s="306">
        <f t="shared" ref="J261:J324" ca="1" si="130">J260+0.5*(vit_x+G260)*pas*(K260&gt;=0)</f>
        <v>28.450148752159457</v>
      </c>
      <c r="K261" s="307">
        <f t="shared" ref="K261:K324" ca="1" si="131">K260+0.5*(vit_z+H260)*pas</f>
        <v>271.21263556222209</v>
      </c>
      <c r="L261" s="304">
        <f t="shared" ca="1" si="116"/>
        <v>272.70076027144972</v>
      </c>
      <c r="M261" s="306">
        <f t="shared" ref="M261:M324" ca="1" si="132">IF(AND(L260&gt;L_rampe,G261&gt;0),ATAN2(G261,H261),$M$4)</f>
        <v>1.4601053482473147</v>
      </c>
      <c r="N261" s="304">
        <f t="shared" ref="N261:N324" ca="1" si="133">DEGREES(Beta)</f>
        <v>83.657874099050431</v>
      </c>
      <c r="P261" s="310">
        <f t="shared" ref="P261:P324" ca="1" si="134">MATCH(t-pas/2-T_ini,CdP_t)</f>
        <v>9</v>
      </c>
      <c r="Q261" s="304">
        <f t="shared" ref="Q261:Q324" ca="1" si="135">(INDEX(CdP,2,i_P+1)-INDEX(CdP,2,i_P+0))/(INDEX(CdP,1,i_P+1)-INDEX(CdP,1,i_P+0))*(t-pas/2-T_ini-INDEX(CdP,1,i_P+0))+INDEX(CdP,2,i_P+0)</f>
        <v>817.82500000000221</v>
      </c>
      <c r="R261" s="306">
        <f t="shared" ref="R261:R324" ca="1" si="136">Poussee/(g*ISP)</f>
        <v>0.40967492625424073</v>
      </c>
      <c r="S261" s="307">
        <f t="shared" ref="S261:S324" ca="1" si="137">S260-Débit*pas</f>
        <v>9.765099314300496</v>
      </c>
      <c r="T261" s="304">
        <f t="shared" ca="1" si="117"/>
        <v>95.795624273287871</v>
      </c>
      <c r="U261" s="311">
        <f t="shared" ca="1" si="118"/>
        <v>0</v>
      </c>
      <c r="V261" s="306">
        <f t="shared" ca="1" si="119"/>
        <v>1.1922209566801276</v>
      </c>
      <c r="W261" s="304">
        <f t="shared" ca="1" si="120"/>
        <v>129.45854220859096</v>
      </c>
      <c r="Y261" s="314" t="str">
        <f t="shared" ref="Y261:Y324" ca="1" si="138">IF(AND(pos_z&lt;=0,K260&gt;0),"Impact balistique","") &amp; IF(AND(H262&lt;0,vit_z&gt;=0),"Apogée","") &amp; IF(AND(Poussee=0,Q260&gt;0),"Fin de propulsion","") &amp; IF(AND(L262&gt;L_rampe,pos_xz&lt;=L_rampe),"Sortie de rampe","")</f>
        <v/>
      </c>
      <c r="Z261" s="315" t="str">
        <f t="shared" ref="Z261:Z324" ca="1" si="139">IF(ABS(t-T_para)&lt;pas/2,"Para","")</f>
        <v/>
      </c>
      <c r="AA261" s="316" t="str">
        <f t="shared" ref="AA261:AA324" ca="1" si="140">IF(ABS(t-T_satellite)&lt;pas/2,"Satellite","")</f>
        <v/>
      </c>
      <c r="AC261" s="310" t="e">
        <f t="shared" ref="AC261:AC324" ca="1" si="141">IF(ABS(t-ROUND(t,0))&lt;0.001,t,NA())</f>
        <v>#N/A</v>
      </c>
      <c r="AD261" s="323" t="e">
        <f t="shared" ref="AD261:AD324" ca="1" si="142">IF(ABS(t-ROUND(t,0))&lt;0.001,pos_x,NA())</f>
        <v>#N/A</v>
      </c>
      <c r="AE261" s="324">
        <f t="shared" ca="1" si="121"/>
        <v>271.21263556222209</v>
      </c>
      <c r="AG261" s="306">
        <f t="shared" ref="AG261:AG324" ca="1" si="143">IF(AND(L260&lt;L_rampe,Poussee&lt;Poids*SIN(M260)),0,(-W260+Poussee)/m-Poids*SIN(M260)/m)</f>
        <v>60.819298038564696</v>
      </c>
      <c r="AH261" s="304">
        <f t="shared" ref="AH261:AH324" ca="1" si="144">IF(AND(L260&lt;L_rampe,Poussee&lt;Poids*SIN(M260)), g*SIN(M260), (-W260+Poussee)/m)</f>
        <v>70.569318801885757</v>
      </c>
    </row>
    <row r="262" spans="1:34" x14ac:dyDescent="0.2">
      <c r="A262" s="347">
        <f t="shared" ca="1" si="122"/>
        <v>0.01</v>
      </c>
      <c r="B262" s="304">
        <f t="shared" ca="1" si="123"/>
        <v>2.579999999999989</v>
      </c>
      <c r="D262" s="306">
        <f t="shared" ca="1" si="124"/>
        <v>7.7670218846331567</v>
      </c>
      <c r="E262" s="307">
        <f t="shared" ca="1" si="125"/>
        <v>60.071703562401183</v>
      </c>
      <c r="F262" s="304">
        <f t="shared" ca="1" si="126"/>
        <v>60.571744219936186</v>
      </c>
      <c r="G262" s="306">
        <f t="shared" ca="1" si="127"/>
        <v>22.465115011109607</v>
      </c>
      <c r="H262" s="307">
        <f t="shared" ca="1" si="128"/>
        <v>202.02576819813339</v>
      </c>
      <c r="I262" s="304">
        <f t="shared" ca="1" si="129"/>
        <v>203.27098270168398</v>
      </c>
      <c r="J262" s="306">
        <f t="shared" ca="1" si="130"/>
        <v>28.67441155117632</v>
      </c>
      <c r="K262" s="307">
        <f t="shared" ca="1" si="131"/>
        <v>273.22988965902528</v>
      </c>
      <c r="L262" s="304">
        <f t="shared" ca="1" si="116"/>
        <v>274.73040326998643</v>
      </c>
      <c r="M262" s="306">
        <f t="shared" ca="1" si="132"/>
        <v>1.4600520370274515</v>
      </c>
      <c r="N262" s="304">
        <f t="shared" ca="1" si="133"/>
        <v>83.654819591151565</v>
      </c>
      <c r="P262" s="310">
        <f t="shared" ca="1" si="134"/>
        <v>9</v>
      </c>
      <c r="Q262" s="304">
        <f t="shared" ca="1" si="135"/>
        <v>815.77500000000225</v>
      </c>
      <c r="R262" s="306">
        <f t="shared" ca="1" si="136"/>
        <v>0.4086480151194366</v>
      </c>
      <c r="S262" s="307">
        <f t="shared" ca="1" si="137"/>
        <v>9.7610128341493017</v>
      </c>
      <c r="T262" s="304">
        <f t="shared" ca="1" si="117"/>
        <v>95.755535903004656</v>
      </c>
      <c r="U262" s="311">
        <f t="shared" ca="1" si="118"/>
        <v>0</v>
      </c>
      <c r="V262" s="306">
        <f t="shared" ca="1" si="119"/>
        <v>1.1919804351202044</v>
      </c>
      <c r="W262" s="304">
        <f t="shared" ca="1" si="120"/>
        <v>130.2071413101757</v>
      </c>
      <c r="Y262" s="314" t="str">
        <f t="shared" ca="1" si="138"/>
        <v/>
      </c>
      <c r="Z262" s="315" t="str">
        <f t="shared" ca="1" si="139"/>
        <v/>
      </c>
      <c r="AA262" s="316" t="str">
        <f t="shared" ca="1" si="140"/>
        <v/>
      </c>
      <c r="AC262" s="310" t="e">
        <f t="shared" ca="1" si="141"/>
        <v>#N/A</v>
      </c>
      <c r="AD262" s="323" t="e">
        <f t="shared" ca="1" si="142"/>
        <v>#N/A</v>
      </c>
      <c r="AE262" s="324">
        <f t="shared" ca="1" si="121"/>
        <v>273.22988965902528</v>
      </c>
      <c r="AG262" s="306">
        <f t="shared" ca="1" si="143"/>
        <v>60.562049780686387</v>
      </c>
      <c r="AH262" s="304">
        <f t="shared" ca="1" si="144"/>
        <v>70.312012641793189</v>
      </c>
    </row>
    <row r="263" spans="1:34" x14ac:dyDescent="0.2">
      <c r="A263" s="347">
        <f t="shared" ca="1" si="122"/>
        <v>0.01</v>
      </c>
      <c r="B263" s="304">
        <f t="shared" ca="1" si="123"/>
        <v>2.5899999999999888</v>
      </c>
      <c r="D263" s="306">
        <f t="shared" ca="1" si="124"/>
        <v>7.7422936940187892</v>
      </c>
      <c r="E263" s="307">
        <f t="shared" ca="1" si="125"/>
        <v>59.815409457116075</v>
      </c>
      <c r="F263" s="304">
        <f t="shared" ca="1" si="126"/>
        <v>60.314395629624727</v>
      </c>
      <c r="G263" s="306">
        <f t="shared" ca="1" si="127"/>
        <v>22.542537948049794</v>
      </c>
      <c r="H263" s="307">
        <f t="shared" ca="1" si="128"/>
        <v>202.62392229270455</v>
      </c>
      <c r="I263" s="304">
        <f t="shared" ca="1" si="129"/>
        <v>203.87402949473295</v>
      </c>
      <c r="J263" s="306">
        <f t="shared" ca="1" si="130"/>
        <v>28.899449815972115</v>
      </c>
      <c r="K263" s="307">
        <f t="shared" ca="1" si="131"/>
        <v>275.25313811147947</v>
      </c>
      <c r="L263" s="304">
        <f t="shared" ca="1" si="116"/>
        <v>276.76608939659332</v>
      </c>
      <c r="M263" s="306">
        <f t="shared" ca="1" si="132"/>
        <v>1.4599988580036873</v>
      </c>
      <c r="N263" s="304">
        <f t="shared" ca="1" si="133"/>
        <v>83.651772657531254</v>
      </c>
      <c r="P263" s="310">
        <f t="shared" ca="1" si="134"/>
        <v>9</v>
      </c>
      <c r="Q263" s="304">
        <f t="shared" ca="1" si="135"/>
        <v>813.7250000000023</v>
      </c>
      <c r="R263" s="306">
        <f t="shared" ca="1" si="136"/>
        <v>0.40762110398463253</v>
      </c>
      <c r="S263" s="307">
        <f t="shared" ca="1" si="137"/>
        <v>9.7569366231094552</v>
      </c>
      <c r="T263" s="304">
        <f t="shared" ca="1" si="117"/>
        <v>95.715548272703757</v>
      </c>
      <c r="U263" s="311">
        <f t="shared" ca="1" si="118"/>
        <v>0</v>
      </c>
      <c r="V263" s="306">
        <f t="shared" ca="1" si="119"/>
        <v>1.191739246914481</v>
      </c>
      <c r="W263" s="304">
        <f t="shared" ca="1" si="120"/>
        <v>130.95435892865032</v>
      </c>
      <c r="Y263" s="314" t="str">
        <f t="shared" ca="1" si="138"/>
        <v/>
      </c>
      <c r="Z263" s="315" t="str">
        <f t="shared" ca="1" si="139"/>
        <v/>
      </c>
      <c r="AA263" s="316" t="str">
        <f t="shared" ca="1" si="140"/>
        <v/>
      </c>
      <c r="AC263" s="310" t="e">
        <f t="shared" ca="1" si="141"/>
        <v>#N/A</v>
      </c>
      <c r="AD263" s="323" t="e">
        <f t="shared" ca="1" si="142"/>
        <v>#N/A</v>
      </c>
      <c r="AE263" s="324">
        <f t="shared" ca="1" si="121"/>
        <v>275.25313811147947</v>
      </c>
      <c r="AG263" s="306">
        <f t="shared" ca="1" si="143"/>
        <v>60.304650477021276</v>
      </c>
      <c r="AH263" s="304">
        <f t="shared" ca="1" si="144"/>
        <v>70.054555552908283</v>
      </c>
    </row>
    <row r="264" spans="1:34" x14ac:dyDescent="0.2">
      <c r="A264" s="347">
        <f t="shared" ca="1" si="122"/>
        <v>0.01</v>
      </c>
      <c r="B264" s="304">
        <f t="shared" ca="1" si="123"/>
        <v>2.5999999999999885</v>
      </c>
      <c r="D264" s="306">
        <f t="shared" ca="1" si="124"/>
        <v>7.7175127689604954</v>
      </c>
      <c r="E264" s="307">
        <f t="shared" ca="1" si="125"/>
        <v>59.558973058603186</v>
      </c>
      <c r="F264" s="304">
        <f t="shared" ca="1" si="126"/>
        <v>60.056900312407805</v>
      </c>
      <c r="G264" s="306">
        <f t="shared" ca="1" si="127"/>
        <v>22.619713075739398</v>
      </c>
      <c r="H264" s="307">
        <f t="shared" ca="1" si="128"/>
        <v>203.21951202329058</v>
      </c>
      <c r="I264" s="304">
        <f t="shared" ca="1" si="129"/>
        <v>204.47450082250626</v>
      </c>
      <c r="J264" s="306">
        <f t="shared" ca="1" si="130"/>
        <v>29.12526107109106</v>
      </c>
      <c r="K264" s="307">
        <f t="shared" ca="1" si="131"/>
        <v>277.28235528305947</v>
      </c>
      <c r="L264" s="304">
        <f t="shared" ca="1" si="116"/>
        <v>278.80779290360596</v>
      </c>
      <c r="M264" s="306">
        <f t="shared" ca="1" si="132"/>
        <v>1.4599458097912956</v>
      </c>
      <c r="N264" s="304">
        <f t="shared" ca="1" si="133"/>
        <v>83.648733218850495</v>
      </c>
      <c r="P264" s="310">
        <f t="shared" ca="1" si="134"/>
        <v>9</v>
      </c>
      <c r="Q264" s="304">
        <f t="shared" ca="1" si="135"/>
        <v>811.67500000000234</v>
      </c>
      <c r="R264" s="306">
        <f t="shared" ca="1" si="136"/>
        <v>0.4065941928498284</v>
      </c>
      <c r="S264" s="307">
        <f t="shared" ca="1" si="137"/>
        <v>9.7528706811809567</v>
      </c>
      <c r="T264" s="304">
        <f t="shared" ca="1" si="117"/>
        <v>95.675661382385186</v>
      </c>
      <c r="U264" s="311">
        <f t="shared" ca="1" si="118"/>
        <v>0</v>
      </c>
      <c r="V264" s="306">
        <f t="shared" ca="1" si="119"/>
        <v>1.1914973955315813</v>
      </c>
      <c r="W264" s="304">
        <f t="shared" ca="1" si="120"/>
        <v>131.70016352080575</v>
      </c>
      <c r="Y264" s="314" t="str">
        <f t="shared" ca="1" si="138"/>
        <v/>
      </c>
      <c r="Z264" s="315" t="str">
        <f t="shared" ca="1" si="139"/>
        <v/>
      </c>
      <c r="AA264" s="316" t="str">
        <f t="shared" ca="1" si="140"/>
        <v/>
      </c>
      <c r="AC264" s="310" t="e">
        <f t="shared" ca="1" si="141"/>
        <v>#N/A</v>
      </c>
      <c r="AD264" s="323" t="e">
        <f t="shared" ca="1" si="142"/>
        <v>#N/A</v>
      </c>
      <c r="AE264" s="324">
        <f t="shared" ca="1" si="121"/>
        <v>277.28235528305947</v>
      </c>
      <c r="AG264" s="306">
        <f t="shared" ca="1" si="143"/>
        <v>60.047104006618056</v>
      </c>
      <c r="AH264" s="304">
        <f t="shared" ca="1" si="144"/>
        <v>69.796951412968482</v>
      </c>
    </row>
    <row r="265" spans="1:34" x14ac:dyDescent="0.2">
      <c r="A265" s="347">
        <f t="shared" ca="1" si="122"/>
        <v>0.01</v>
      </c>
      <c r="B265" s="304">
        <f t="shared" ca="1" si="123"/>
        <v>2.6099999999999883</v>
      </c>
      <c r="D265" s="306">
        <f t="shared" ca="1" si="124"/>
        <v>7.6926797114079228</v>
      </c>
      <c r="E265" s="307">
        <f t="shared" ca="1" si="125"/>
        <v>59.302398193082965</v>
      </c>
      <c r="F265" s="304">
        <f t="shared" ca="1" si="126"/>
        <v>59.799262140876593</v>
      </c>
      <c r="G265" s="306">
        <f t="shared" ca="1" si="127"/>
        <v>22.696639872853478</v>
      </c>
      <c r="H265" s="307">
        <f t="shared" ca="1" si="128"/>
        <v>203.8125360052214</v>
      </c>
      <c r="I265" s="304">
        <f t="shared" ca="1" si="129"/>
        <v>205.07239525201257</v>
      </c>
      <c r="J265" s="306">
        <f t="shared" ca="1" si="130"/>
        <v>29.351842835834024</v>
      </c>
      <c r="K265" s="307">
        <f t="shared" ca="1" si="131"/>
        <v>279.31751552320202</v>
      </c>
      <c r="L265" s="304">
        <f t="shared" ca="1" si="116"/>
        <v>280.85548802883255</v>
      </c>
      <c r="M265" s="306">
        <f t="shared" ca="1" si="132"/>
        <v>1.459892891021612</v>
      </c>
      <c r="N265" s="304">
        <f t="shared" ca="1" si="133"/>
        <v>83.645701196690595</v>
      </c>
      <c r="P265" s="310">
        <f t="shared" ca="1" si="134"/>
        <v>9</v>
      </c>
      <c r="Q265" s="304">
        <f t="shared" ca="1" si="135"/>
        <v>809.62500000000239</v>
      </c>
      <c r="R265" s="306">
        <f t="shared" ca="1" si="136"/>
        <v>0.40556728171502426</v>
      </c>
      <c r="S265" s="307">
        <f t="shared" ca="1" si="137"/>
        <v>9.7488150083638061</v>
      </c>
      <c r="T265" s="304">
        <f t="shared" ca="1" si="117"/>
        <v>95.635875232048946</v>
      </c>
      <c r="U265" s="311">
        <f t="shared" ca="1" si="118"/>
        <v>0</v>
      </c>
      <c r="V265" s="306">
        <f t="shared" ca="1" si="119"/>
        <v>1.1912548844403659</v>
      </c>
      <c r="W265" s="304">
        <f t="shared" ca="1" si="120"/>
        <v>132.44452373418622</v>
      </c>
      <c r="Y265" s="314" t="str">
        <f t="shared" ca="1" si="138"/>
        <v/>
      </c>
      <c r="Z265" s="315" t="str">
        <f t="shared" ca="1" si="139"/>
        <v/>
      </c>
      <c r="AA265" s="316" t="str">
        <f t="shared" ca="1" si="140"/>
        <v/>
      </c>
      <c r="AC265" s="310" t="e">
        <f t="shared" ca="1" si="141"/>
        <v>#N/A</v>
      </c>
      <c r="AD265" s="323" t="e">
        <f t="shared" ca="1" si="142"/>
        <v>#N/A</v>
      </c>
      <c r="AE265" s="324">
        <f t="shared" ca="1" si="121"/>
        <v>279.31751552320202</v>
      </c>
      <c r="AG265" s="306">
        <f t="shared" ca="1" si="143"/>
        <v>59.789414236433537</v>
      </c>
      <c r="AH265" s="304">
        <f t="shared" ca="1" si="144"/>
        <v>69.539204087633649</v>
      </c>
    </row>
    <row r="266" spans="1:34" x14ac:dyDescent="0.2">
      <c r="A266" s="347">
        <f t="shared" ca="1" si="122"/>
        <v>0.01</v>
      </c>
      <c r="B266" s="304">
        <f t="shared" ca="1" si="123"/>
        <v>2.6199999999999881</v>
      </c>
      <c r="D266" s="306">
        <f t="shared" ca="1" si="124"/>
        <v>7.6677951203565753</v>
      </c>
      <c r="E266" s="307">
        <f t="shared" ca="1" si="125"/>
        <v>59.045688674759703</v>
      </c>
      <c r="F266" s="304">
        <f t="shared" ca="1" si="126"/>
        <v>59.541484975472436</v>
      </c>
      <c r="G266" s="306">
        <f t="shared" ca="1" si="127"/>
        <v>22.773317824057042</v>
      </c>
      <c r="H266" s="307">
        <f t="shared" ca="1" si="128"/>
        <v>204.40299289196901</v>
      </c>
      <c r="I266" s="304">
        <f t="shared" ca="1" si="129"/>
        <v>205.66771138880759</v>
      </c>
      <c r="J266" s="306">
        <f t="shared" ca="1" si="130"/>
        <v>29.579192624318576</v>
      </c>
      <c r="K266" s="307">
        <f t="shared" ca="1" si="131"/>
        <v>281.35859316768796</v>
      </c>
      <c r="L266" s="304">
        <f t="shared" ca="1" si="116"/>
        <v>282.9091489959402</v>
      </c>
      <c r="M266" s="306">
        <f t="shared" ca="1" si="132"/>
        <v>1.4598401003417667</v>
      </c>
      <c r="N266" s="304">
        <f t="shared" ca="1" si="133"/>
        <v>83.642676513537836</v>
      </c>
      <c r="P266" s="310">
        <f t="shared" ca="1" si="134"/>
        <v>9</v>
      </c>
      <c r="Q266" s="304">
        <f t="shared" ca="1" si="135"/>
        <v>807.57500000000243</v>
      </c>
      <c r="R266" s="306">
        <f t="shared" ca="1" si="136"/>
        <v>0.40454037058022019</v>
      </c>
      <c r="S266" s="307">
        <f t="shared" ca="1" si="137"/>
        <v>9.7447696046580035</v>
      </c>
      <c r="T266" s="304">
        <f t="shared" ca="1" si="117"/>
        <v>95.59618982169502</v>
      </c>
      <c r="U266" s="311">
        <f t="shared" ca="1" si="118"/>
        <v>0</v>
      </c>
      <c r="V266" s="306">
        <f t="shared" ca="1" si="119"/>
        <v>1.1910117171098662</v>
      </c>
      <c r="W266" s="304">
        <f t="shared" ca="1" si="120"/>
        <v>133.18740840787441</v>
      </c>
      <c r="Y266" s="314" t="str">
        <f t="shared" ca="1" si="138"/>
        <v/>
      </c>
      <c r="Z266" s="315" t="str">
        <f t="shared" ca="1" si="139"/>
        <v/>
      </c>
      <c r="AA266" s="316" t="str">
        <f t="shared" ca="1" si="140"/>
        <v/>
      </c>
      <c r="AC266" s="310" t="e">
        <f t="shared" ca="1" si="141"/>
        <v>#N/A</v>
      </c>
      <c r="AD266" s="323" t="e">
        <f t="shared" ca="1" si="142"/>
        <v>#N/A</v>
      </c>
      <c r="AE266" s="324">
        <f t="shared" ca="1" si="121"/>
        <v>281.35859316768796</v>
      </c>
      <c r="AG266" s="306">
        <f t="shared" ca="1" si="143"/>
        <v>59.531585021184362</v>
      </c>
      <c r="AH266" s="304">
        <f t="shared" ca="1" si="144"/>
        <v>69.281317430337566</v>
      </c>
    </row>
    <row r="267" spans="1:34" x14ac:dyDescent="0.2">
      <c r="A267" s="347">
        <f t="shared" ca="1" si="122"/>
        <v>0.01</v>
      </c>
      <c r="B267" s="304">
        <f t="shared" ca="1" si="123"/>
        <v>2.6299999999999879</v>
      </c>
      <c r="D267" s="306">
        <f t="shared" ca="1" si="124"/>
        <v>7.6428595918604749</v>
      </c>
      <c r="E267" s="307">
        <f t="shared" ca="1" si="125"/>
        <v>58.788848305673255</v>
      </c>
      <c r="F267" s="304">
        <f t="shared" ca="1" si="126"/>
        <v>59.283572664342309</v>
      </c>
      <c r="G267" s="306">
        <f t="shared" ca="1" si="127"/>
        <v>22.849746419975645</v>
      </c>
      <c r="H267" s="307">
        <f t="shared" ca="1" si="128"/>
        <v>204.99088137502574</v>
      </c>
      <c r="I267" s="304">
        <f t="shared" ca="1" si="129"/>
        <v>206.26044787687013</v>
      </c>
      <c r="J267" s="306">
        <f t="shared" ca="1" si="130"/>
        <v>29.807307945538739</v>
      </c>
      <c r="K267" s="307">
        <f t="shared" ca="1" si="131"/>
        <v>283.40556253902292</v>
      </c>
      <c r="L267" s="304">
        <f t="shared" ca="1" si="116"/>
        <v>284.96875001483971</v>
      </c>
      <c r="M267" s="306">
        <f t="shared" ca="1" si="132"/>
        <v>1.459787436414421</v>
      </c>
      <c r="N267" s="304">
        <f t="shared" ca="1" si="133"/>
        <v>83.639659092768341</v>
      </c>
      <c r="P267" s="310">
        <f t="shared" ca="1" si="134"/>
        <v>9</v>
      </c>
      <c r="Q267" s="304">
        <f t="shared" ca="1" si="135"/>
        <v>805.52500000000248</v>
      </c>
      <c r="R267" s="306">
        <f t="shared" ca="1" si="136"/>
        <v>0.40351345944541606</v>
      </c>
      <c r="S267" s="307">
        <f t="shared" ca="1" si="137"/>
        <v>9.7407344700635488</v>
      </c>
      <c r="T267" s="304">
        <f t="shared" ca="1" si="117"/>
        <v>95.556605151323424</v>
      </c>
      <c r="U267" s="311">
        <f t="shared" ca="1" si="118"/>
        <v>0</v>
      </c>
      <c r="V267" s="306">
        <f t="shared" ca="1" si="119"/>
        <v>1.1907678970092193</v>
      </c>
      <c r="W267" s="304">
        <f t="shared" ca="1" si="120"/>
        <v>133.92878657325872</v>
      </c>
      <c r="Y267" s="314" t="str">
        <f t="shared" ca="1" si="138"/>
        <v/>
      </c>
      <c r="Z267" s="315" t="str">
        <f t="shared" ca="1" si="139"/>
        <v/>
      </c>
      <c r="AA267" s="316" t="str">
        <f t="shared" ca="1" si="140"/>
        <v/>
      </c>
      <c r="AC267" s="310" t="e">
        <f t="shared" ca="1" si="141"/>
        <v>#N/A</v>
      </c>
      <c r="AD267" s="323" t="e">
        <f t="shared" ca="1" si="142"/>
        <v>#N/A</v>
      </c>
      <c r="AE267" s="324">
        <f t="shared" ca="1" si="121"/>
        <v>283.40556253902292</v>
      </c>
      <c r="AG267" s="306">
        <f t="shared" ca="1" si="143"/>
        <v>59.273620203200608</v>
      </c>
      <c r="AH267" s="304">
        <f t="shared" ca="1" si="144"/>
        <v>69.023295282141262</v>
      </c>
    </row>
    <row r="268" spans="1:34" x14ac:dyDescent="0.2">
      <c r="A268" s="347">
        <f t="shared" ca="1" si="122"/>
        <v>0.01</v>
      </c>
      <c r="B268" s="304">
        <f t="shared" ca="1" si="123"/>
        <v>2.6399999999999877</v>
      </c>
      <c r="D268" s="306">
        <f t="shared" ca="1" si="124"/>
        <v>7.6178737190443959</v>
      </c>
      <c r="E268" s="307">
        <f t="shared" ca="1" si="125"/>
        <v>58.531880875552474</v>
      </c>
      <c r="F268" s="304">
        <f t="shared" ca="1" si="126"/>
        <v>59.025529043195981</v>
      </c>
      <c r="G268" s="306">
        <f t="shared" ca="1" si="127"/>
        <v>22.925925157166088</v>
      </c>
      <c r="H268" s="307">
        <f t="shared" ca="1" si="128"/>
        <v>205.57620018378125</v>
      </c>
      <c r="I268" s="304">
        <f t="shared" ca="1" si="129"/>
        <v>206.85060339847715</v>
      </c>
      <c r="J268" s="306">
        <f t="shared" ca="1" si="130"/>
        <v>30.036186303424447</v>
      </c>
      <c r="K268" s="307">
        <f t="shared" ca="1" si="131"/>
        <v>285.45839794681694</v>
      </c>
      <c r="L268" s="304">
        <f t="shared" ca="1" si="116"/>
        <v>287.03426528206927</v>
      </c>
      <c r="M268" s="306">
        <f t="shared" ca="1" si="132"/>
        <v>1.4597348979175084</v>
      </c>
      <c r="N268" s="304">
        <f t="shared" ca="1" si="133"/>
        <v>83.636648858633293</v>
      </c>
      <c r="P268" s="310">
        <f t="shared" ca="1" si="134"/>
        <v>9</v>
      </c>
      <c r="Q268" s="304">
        <f t="shared" ca="1" si="135"/>
        <v>803.47500000000252</v>
      </c>
      <c r="R268" s="306">
        <f t="shared" ca="1" si="136"/>
        <v>0.40248654831061198</v>
      </c>
      <c r="S268" s="307">
        <f t="shared" ca="1" si="137"/>
        <v>9.736709604580442</v>
      </c>
      <c r="T268" s="304">
        <f t="shared" ca="1" si="117"/>
        <v>95.517121220934143</v>
      </c>
      <c r="U268" s="311">
        <f t="shared" ca="1" si="118"/>
        <v>0</v>
      </c>
      <c r="V268" s="306">
        <f t="shared" ca="1" si="119"/>
        <v>1.1905234276076069</v>
      </c>
      <c r="W268" s="304">
        <f t="shared" ca="1" si="120"/>
        <v>134.66862745478298</v>
      </c>
      <c r="Y268" s="314" t="str">
        <f t="shared" ca="1" si="138"/>
        <v/>
      </c>
      <c r="Z268" s="315" t="str">
        <f t="shared" ca="1" si="139"/>
        <v/>
      </c>
      <c r="AA268" s="316" t="str">
        <f t="shared" ca="1" si="140"/>
        <v/>
      </c>
      <c r="AC268" s="310" t="e">
        <f t="shared" ca="1" si="141"/>
        <v>#N/A</v>
      </c>
      <c r="AD268" s="323" t="e">
        <f t="shared" ca="1" si="142"/>
        <v>#N/A</v>
      </c>
      <c r="AE268" s="324">
        <f t="shared" ca="1" si="121"/>
        <v>285.45839794681694</v>
      </c>
      <c r="AG268" s="306">
        <f t="shared" ca="1" si="143"/>
        <v>59.015523612280965</v>
      </c>
      <c r="AH268" s="304">
        <f t="shared" ca="1" si="144"/>
        <v>68.765141471588009</v>
      </c>
    </row>
    <row r="269" spans="1:34" x14ac:dyDescent="0.2">
      <c r="A269" s="347">
        <f t="shared" ca="1" si="122"/>
        <v>0.01</v>
      </c>
      <c r="B269" s="304">
        <f t="shared" ca="1" si="123"/>
        <v>2.6499999999999875</v>
      </c>
      <c r="D269" s="306">
        <f t="shared" ca="1" si="124"/>
        <v>7.5928380921156737</v>
      </c>
      <c r="E269" s="307">
        <f t="shared" ca="1" si="125"/>
        <v>58.274790161670367</v>
      </c>
      <c r="F269" s="304">
        <f t="shared" ca="1" si="126"/>
        <v>58.767357935164966</v>
      </c>
      <c r="G269" s="306">
        <f t="shared" ca="1" si="127"/>
        <v>23.001853538087243</v>
      </c>
      <c r="H269" s="307">
        <f t="shared" ca="1" si="128"/>
        <v>206.15894808539795</v>
      </c>
      <c r="I269" s="304">
        <f t="shared" ca="1" si="129"/>
        <v>207.43817667407663</v>
      </c>
      <c r="J269" s="306">
        <f t="shared" ca="1" si="130"/>
        <v>30.265825196900714</v>
      </c>
      <c r="K269" s="307">
        <f t="shared" ca="1" si="131"/>
        <v>287.51707368816284</v>
      </c>
      <c r="L269" s="304">
        <f t="shared" ca="1" si="116"/>
        <v>289.10566898117685</v>
      </c>
      <c r="M269" s="306">
        <f t="shared" ca="1" si="132"/>
        <v>1.4596824835439828</v>
      </c>
      <c r="N269" s="304">
        <f t="shared" ca="1" si="133"/>
        <v>83.633645736244446</v>
      </c>
      <c r="P269" s="310">
        <f t="shared" ca="1" si="134"/>
        <v>9</v>
      </c>
      <c r="Q269" s="304">
        <f t="shared" ca="1" si="135"/>
        <v>801.42500000000257</v>
      </c>
      <c r="R269" s="306">
        <f t="shared" ca="1" si="136"/>
        <v>0.40145963717580785</v>
      </c>
      <c r="S269" s="307">
        <f t="shared" ca="1" si="137"/>
        <v>9.7326950082086832</v>
      </c>
      <c r="T269" s="304">
        <f t="shared" ca="1" si="117"/>
        <v>95.477738030527192</v>
      </c>
      <c r="U269" s="311">
        <f t="shared" ca="1" si="118"/>
        <v>0</v>
      </c>
      <c r="V269" s="306">
        <f t="shared" ca="1" si="119"/>
        <v>1.1902783123741847</v>
      </c>
      <c r="W269" s="304">
        <f t="shared" ca="1" si="120"/>
        <v>135.40690047067636</v>
      </c>
      <c r="Y269" s="314" t="str">
        <f t="shared" ca="1" si="138"/>
        <v/>
      </c>
      <c r="Z269" s="315" t="str">
        <f t="shared" ca="1" si="139"/>
        <v/>
      </c>
      <c r="AA269" s="316" t="str">
        <f t="shared" ca="1" si="140"/>
        <v/>
      </c>
      <c r="AC269" s="310" t="e">
        <f t="shared" ca="1" si="141"/>
        <v>#N/A</v>
      </c>
      <c r="AD269" s="323" t="e">
        <f t="shared" ca="1" si="142"/>
        <v>#N/A</v>
      </c>
      <c r="AE269" s="324">
        <f t="shared" ca="1" si="121"/>
        <v>287.51707368816284</v>
      </c>
      <c r="AG269" s="306">
        <f t="shared" ca="1" si="143"/>
        <v>58.757299065549617</v>
      </c>
      <c r="AH269" s="304">
        <f t="shared" ca="1" si="144"/>
        <v>68.506859814559945</v>
      </c>
    </row>
    <row r="270" spans="1:34" x14ac:dyDescent="0.2">
      <c r="A270" s="347">
        <f t="shared" ca="1" si="122"/>
        <v>0.01</v>
      </c>
      <c r="B270" s="304">
        <f t="shared" ca="1" si="123"/>
        <v>2.6599999999999873</v>
      </c>
      <c r="D270" s="306">
        <f t="shared" ca="1" si="124"/>
        <v>7.567753298375469</v>
      </c>
      <c r="E270" s="307">
        <f t="shared" ca="1" si="125"/>
        <v>58.017579928701082</v>
      </c>
      <c r="F270" s="304">
        <f t="shared" ca="1" si="126"/>
        <v>58.509063150663174</v>
      </c>
      <c r="G270" s="306">
        <f t="shared" ca="1" si="127"/>
        <v>23.077531071070997</v>
      </c>
      <c r="H270" s="307">
        <f t="shared" ca="1" si="128"/>
        <v>206.73912388468497</v>
      </c>
      <c r="I270" s="304">
        <f t="shared" ca="1" si="129"/>
        <v>208.02316646215962</v>
      </c>
      <c r="J270" s="306">
        <f t="shared" ca="1" si="130"/>
        <v>30.496222119946506</v>
      </c>
      <c r="K270" s="307">
        <f t="shared" ca="1" si="131"/>
        <v>289.58156404801326</v>
      </c>
      <c r="L270" s="304">
        <f t="shared" ca="1" si="116"/>
        <v>291.18293528310124</v>
      </c>
      <c r="M270" s="306">
        <f t="shared" ca="1" si="132"/>
        <v>1.45963019200157</v>
      </c>
      <c r="N270" s="304">
        <f t="shared" ca="1" si="133"/>
        <v>83.630649651559963</v>
      </c>
      <c r="P270" s="310">
        <f t="shared" ca="1" si="134"/>
        <v>9</v>
      </c>
      <c r="Q270" s="304">
        <f t="shared" ca="1" si="135"/>
        <v>799.37500000000261</v>
      </c>
      <c r="R270" s="306">
        <f t="shared" ca="1" si="136"/>
        <v>0.40043272604100372</v>
      </c>
      <c r="S270" s="307">
        <f t="shared" ca="1" si="137"/>
        <v>9.7286906809482723</v>
      </c>
      <c r="T270" s="304">
        <f t="shared" ca="1" si="117"/>
        <v>95.438455580102556</v>
      </c>
      <c r="U270" s="311">
        <f t="shared" ca="1" si="118"/>
        <v>0</v>
      </c>
      <c r="V270" s="306">
        <f t="shared" ca="1" si="119"/>
        <v>1.1900325547780255</v>
      </c>
      <c r="W270" s="304">
        <f t="shared" ca="1" si="120"/>
        <v>136.14357523366718</v>
      </c>
      <c r="Y270" s="314" t="str">
        <f t="shared" ca="1" si="138"/>
        <v/>
      </c>
      <c r="Z270" s="315" t="str">
        <f t="shared" ca="1" si="139"/>
        <v/>
      </c>
      <c r="AA270" s="316" t="str">
        <f t="shared" ca="1" si="140"/>
        <v/>
      </c>
      <c r="AC270" s="310" t="e">
        <f t="shared" ca="1" si="141"/>
        <v>#N/A</v>
      </c>
      <c r="AD270" s="323" t="e">
        <f t="shared" ca="1" si="142"/>
        <v>#N/A</v>
      </c>
      <c r="AE270" s="324">
        <f t="shared" ca="1" si="121"/>
        <v>289.58156404801326</v>
      </c>
      <c r="AG270" s="306">
        <f t="shared" ca="1" si="143"/>
        <v>58.498950367314961</v>
      </c>
      <c r="AH270" s="304">
        <f t="shared" ca="1" si="144"/>
        <v>68.248454114136578</v>
      </c>
    </row>
    <row r="271" spans="1:34" x14ac:dyDescent="0.2">
      <c r="A271" s="347">
        <f t="shared" ca="1" si="122"/>
        <v>0.01</v>
      </c>
      <c r="B271" s="304">
        <f t="shared" ca="1" si="123"/>
        <v>2.6699999999999871</v>
      </c>
      <c r="D271" s="306">
        <f t="shared" ca="1" si="124"/>
        <v>7.5426199222296502</v>
      </c>
      <c r="E271" s="307">
        <f t="shared" ca="1" si="125"/>
        <v>57.76025392857855</v>
      </c>
      <c r="F271" s="304">
        <f t="shared" ca="1" si="126"/>
        <v>58.250648487249386</v>
      </c>
      <c r="G271" s="306">
        <f t="shared" ca="1" si="127"/>
        <v>23.152957270293292</v>
      </c>
      <c r="H271" s="307">
        <f t="shared" ca="1" si="128"/>
        <v>207.31672642397075</v>
      </c>
      <c r="I271" s="304">
        <f t="shared" ca="1" si="129"/>
        <v>208.60557155913062</v>
      </c>
      <c r="J271" s="306">
        <f t="shared" ca="1" si="130"/>
        <v>30.727374561653328</v>
      </c>
      <c r="K271" s="307">
        <f t="shared" ca="1" si="131"/>
        <v>291.65184329955656</v>
      </c>
      <c r="L271" s="304">
        <f t="shared" ca="1" si="116"/>
        <v>293.26603834655185</v>
      </c>
      <c r="M271" s="306">
        <f t="shared" ca="1" si="132"/>
        <v>1.4595780220125254</v>
      </c>
      <c r="N271" s="304">
        <f t="shared" ca="1" si="133"/>
        <v>83.627660531370466</v>
      </c>
      <c r="P271" s="310">
        <f t="shared" ca="1" si="134"/>
        <v>9</v>
      </c>
      <c r="Q271" s="304">
        <f t="shared" ca="1" si="135"/>
        <v>797.32500000000266</v>
      </c>
      <c r="R271" s="306">
        <f t="shared" ca="1" si="136"/>
        <v>0.39940581490619964</v>
      </c>
      <c r="S271" s="307">
        <f t="shared" ca="1" si="137"/>
        <v>9.7246966227992111</v>
      </c>
      <c r="T271" s="304">
        <f t="shared" ca="1" si="117"/>
        <v>95.399273869660263</v>
      </c>
      <c r="U271" s="311">
        <f t="shared" ca="1" si="118"/>
        <v>0</v>
      </c>
      <c r="V271" s="306">
        <f t="shared" ca="1" si="119"/>
        <v>1.1897861582880518</v>
      </c>
      <c r="W271" s="304">
        <f t="shared" ca="1" si="120"/>
        <v>136.87862155167738</v>
      </c>
      <c r="Y271" s="314" t="str">
        <f t="shared" ca="1" si="138"/>
        <v/>
      </c>
      <c r="Z271" s="315" t="str">
        <f t="shared" ca="1" si="139"/>
        <v/>
      </c>
      <c r="AA271" s="316" t="str">
        <f t="shared" ca="1" si="140"/>
        <v/>
      </c>
      <c r="AC271" s="310" t="e">
        <f t="shared" ca="1" si="141"/>
        <v>#N/A</v>
      </c>
      <c r="AD271" s="323" t="e">
        <f t="shared" ca="1" si="142"/>
        <v>#N/A</v>
      </c>
      <c r="AE271" s="324">
        <f t="shared" ca="1" si="121"/>
        <v>291.65184329955656</v>
      </c>
      <c r="AG271" s="306">
        <f t="shared" ca="1" si="143"/>
        <v>58.24048130892978</v>
      </c>
      <c r="AH271" s="304">
        <f t="shared" ca="1" si="144"/>
        <v>67.989928160454767</v>
      </c>
    </row>
    <row r="272" spans="1:34" x14ac:dyDescent="0.2">
      <c r="A272" s="347">
        <f t="shared" ca="1" si="122"/>
        <v>0.01</v>
      </c>
      <c r="B272" s="304">
        <f t="shared" ca="1" si="123"/>
        <v>2.6799999999999868</v>
      </c>
      <c r="D272" s="306">
        <f t="shared" ca="1" si="124"/>
        <v>7.5174385451992451</v>
      </c>
      <c r="E272" s="307">
        <f t="shared" ca="1" si="125"/>
        <v>57.502815900357035</v>
      </c>
      <c r="F272" s="304">
        <f t="shared" ca="1" si="126"/>
        <v>57.99211772949149</v>
      </c>
      <c r="G272" s="306">
        <f t="shared" ca="1" si="127"/>
        <v>23.228131655745283</v>
      </c>
      <c r="H272" s="307">
        <f t="shared" ca="1" si="128"/>
        <v>207.89175458297433</v>
      </c>
      <c r="I272" s="304">
        <f t="shared" ca="1" si="129"/>
        <v>209.18539079917664</v>
      </c>
      <c r="J272" s="306">
        <f t="shared" ca="1" si="130"/>
        <v>30.959280006283521</v>
      </c>
      <c r="K272" s="307">
        <f t="shared" ca="1" si="131"/>
        <v>293.7278857045913</v>
      </c>
      <c r="L272" s="304">
        <f t="shared" ca="1" si="116"/>
        <v>295.3549523183874</v>
      </c>
      <c r="M272" s="306">
        <f t="shared" ca="1" si="132"/>
        <v>1.4595259723133958</v>
      </c>
      <c r="N272" s="304">
        <f t="shared" ca="1" si="133"/>
        <v>83.624678303285421</v>
      </c>
      <c r="P272" s="310">
        <f t="shared" ca="1" si="134"/>
        <v>9</v>
      </c>
      <c r="Q272" s="304">
        <f t="shared" ca="1" si="135"/>
        <v>795.27500000000271</v>
      </c>
      <c r="R272" s="306">
        <f t="shared" ca="1" si="136"/>
        <v>0.39837890377139551</v>
      </c>
      <c r="S272" s="307">
        <f t="shared" ca="1" si="137"/>
        <v>9.7207128337614979</v>
      </c>
      <c r="T272" s="304">
        <f t="shared" ca="1" si="117"/>
        <v>95.3601928992003</v>
      </c>
      <c r="U272" s="311">
        <f t="shared" ca="1" si="118"/>
        <v>0</v>
      </c>
      <c r="V272" s="306">
        <f t="shared" ca="1" si="119"/>
        <v>1.1895391263729727</v>
      </c>
      <c r="W272" s="304">
        <f t="shared" ca="1" si="120"/>
        <v>137.61200942849928</v>
      </c>
      <c r="Y272" s="314" t="str">
        <f t="shared" ca="1" si="138"/>
        <v/>
      </c>
      <c r="Z272" s="315" t="str">
        <f t="shared" ca="1" si="139"/>
        <v/>
      </c>
      <c r="AA272" s="316" t="str">
        <f t="shared" ca="1" si="140"/>
        <v/>
      </c>
      <c r="AC272" s="310" t="e">
        <f t="shared" ca="1" si="141"/>
        <v>#N/A</v>
      </c>
      <c r="AD272" s="323" t="e">
        <f t="shared" ca="1" si="142"/>
        <v>#N/A</v>
      </c>
      <c r="AE272" s="324">
        <f t="shared" ca="1" si="121"/>
        <v>293.7278857045913</v>
      </c>
      <c r="AG272" s="306">
        <f t="shared" ca="1" si="143"/>
        <v>57.981895668653436</v>
      </c>
      <c r="AH272" s="304">
        <f t="shared" ca="1" si="144"/>
        <v>67.731285730570676</v>
      </c>
    </row>
    <row r="273" spans="1:34" x14ac:dyDescent="0.2">
      <c r="A273" s="347">
        <f t="shared" ca="1" si="122"/>
        <v>0.01</v>
      </c>
      <c r="B273" s="304">
        <f t="shared" ca="1" si="123"/>
        <v>2.6899999999999866</v>
      </c>
      <c r="D273" s="306">
        <f t="shared" ca="1" si="124"/>
        <v>7.4922097459304995</v>
      </c>
      <c r="E273" s="307">
        <f t="shared" ca="1" si="125"/>
        <v>57.245269570073262</v>
      </c>
      <c r="F273" s="304">
        <f t="shared" ca="1" si="126"/>
        <v>57.733474648832384</v>
      </c>
      <c r="G273" s="306">
        <f t="shared" ca="1" si="127"/>
        <v>23.303053753204587</v>
      </c>
      <c r="H273" s="307">
        <f t="shared" ca="1" si="128"/>
        <v>208.46420727867505</v>
      </c>
      <c r="I273" s="304">
        <f t="shared" ca="1" si="129"/>
        <v>209.76262305413502</v>
      </c>
      <c r="J273" s="306">
        <f t="shared" ca="1" si="130"/>
        <v>31.191935933328271</v>
      </c>
      <c r="K273" s="307">
        <f t="shared" ca="1" si="131"/>
        <v>295.80966551389957</v>
      </c>
      <c r="L273" s="304">
        <f t="shared" ca="1" si="116"/>
        <v>297.44965133399302</v>
      </c>
      <c r="M273" s="306">
        <f t="shared" ca="1" si="132"/>
        <v>1.4594740416547864</v>
      </c>
      <c r="N273" s="304">
        <f t="shared" ca="1" si="133"/>
        <v>83.621702895719764</v>
      </c>
      <c r="P273" s="310">
        <f t="shared" ca="1" si="134"/>
        <v>9</v>
      </c>
      <c r="Q273" s="304">
        <f t="shared" ca="1" si="135"/>
        <v>793.22500000000275</v>
      </c>
      <c r="R273" s="306">
        <f t="shared" ca="1" si="136"/>
        <v>0.39735199263659138</v>
      </c>
      <c r="S273" s="307">
        <f t="shared" ca="1" si="137"/>
        <v>9.7167393138351326</v>
      </c>
      <c r="T273" s="304">
        <f t="shared" ca="1" si="117"/>
        <v>95.321212668722652</v>
      </c>
      <c r="U273" s="311">
        <f t="shared" ca="1" si="118"/>
        <v>0</v>
      </c>
      <c r="V273" s="306">
        <f t="shared" ca="1" si="119"/>
        <v>1.1892914625012228</v>
      </c>
      <c r="W273" s="304">
        <f t="shared" ca="1" si="120"/>
        <v>138.34370906445488</v>
      </c>
      <c r="Y273" s="314" t="str">
        <f t="shared" ca="1" si="138"/>
        <v/>
      </c>
      <c r="Z273" s="315" t="str">
        <f t="shared" ca="1" si="139"/>
        <v/>
      </c>
      <c r="AA273" s="316" t="str">
        <f t="shared" ca="1" si="140"/>
        <v/>
      </c>
      <c r="AC273" s="310" t="e">
        <f t="shared" ca="1" si="141"/>
        <v>#N/A</v>
      </c>
      <c r="AD273" s="323" t="e">
        <f t="shared" ca="1" si="142"/>
        <v>#N/A</v>
      </c>
      <c r="AE273" s="324">
        <f t="shared" ca="1" si="121"/>
        <v>295.80966551389957</v>
      </c>
      <c r="AG273" s="306">
        <f t="shared" ca="1" si="143"/>
        <v>57.723197211515483</v>
      </c>
      <c r="AH273" s="304">
        <f t="shared" ca="1" si="144"/>
        <v>67.472530588323195</v>
      </c>
    </row>
    <row r="274" spans="1:34" x14ac:dyDescent="0.2">
      <c r="A274" s="347">
        <f t="shared" ca="1" si="122"/>
        <v>0.01</v>
      </c>
      <c r="B274" s="304">
        <f t="shared" ca="1" si="123"/>
        <v>2.6999999999999864</v>
      </c>
      <c r="D274" s="306">
        <f t="shared" ca="1" si="124"/>
        <v>7.4669341002044805</v>
      </c>
      <c r="E274" s="307">
        <f t="shared" ca="1" si="125"/>
        <v>56.987618650610386</v>
      </c>
      <c r="F274" s="304">
        <f t="shared" ca="1" si="126"/>
        <v>57.474723003457733</v>
      </c>
      <c r="G274" s="306">
        <f t="shared" ca="1" si="127"/>
        <v>23.377723094206633</v>
      </c>
      <c r="H274" s="307">
        <f t="shared" ca="1" si="128"/>
        <v>209.03408346518114</v>
      </c>
      <c r="I274" s="304">
        <f t="shared" ca="1" si="129"/>
        <v>210.33726723335957</v>
      </c>
      <c r="J274" s="306">
        <f t="shared" ca="1" si="130"/>
        <v>31.425339817565327</v>
      </c>
      <c r="K274" s="307">
        <f t="shared" ca="1" si="131"/>
        <v>297.89715696761886</v>
      </c>
      <c r="L274" s="304">
        <f t="shared" ca="1" si="116"/>
        <v>299.55010951765581</v>
      </c>
      <c r="M274" s="306">
        <f t="shared" ca="1" si="132"/>
        <v>1.4594222288011323</v>
      </c>
      <c r="N274" s="304">
        <f t="shared" ca="1" si="133"/>
        <v>83.618734237880858</v>
      </c>
      <c r="P274" s="310">
        <f t="shared" ca="1" si="134"/>
        <v>9</v>
      </c>
      <c r="Q274" s="304">
        <f t="shared" ca="1" si="135"/>
        <v>791.1750000000028</v>
      </c>
      <c r="R274" s="306">
        <f t="shared" ca="1" si="136"/>
        <v>0.3963250815017873</v>
      </c>
      <c r="S274" s="307">
        <f t="shared" ca="1" si="137"/>
        <v>9.7127760630201152</v>
      </c>
      <c r="T274" s="304">
        <f t="shared" ca="1" si="117"/>
        <v>95.282333178227333</v>
      </c>
      <c r="U274" s="311">
        <f t="shared" ca="1" si="118"/>
        <v>0</v>
      </c>
      <c r="V274" s="306">
        <f t="shared" ca="1" si="119"/>
        <v>1.1890431701408966</v>
      </c>
      <c r="W274" s="304">
        <f t="shared" ca="1" si="120"/>
        <v>139.07369085703644</v>
      </c>
      <c r="Y274" s="314" t="str">
        <f t="shared" ca="1" si="138"/>
        <v/>
      </c>
      <c r="Z274" s="315" t="str">
        <f t="shared" ca="1" si="139"/>
        <v/>
      </c>
      <c r="AA274" s="316" t="str">
        <f t="shared" ca="1" si="140"/>
        <v/>
      </c>
      <c r="AC274" s="310" t="e">
        <f t="shared" ca="1" si="141"/>
        <v>#N/A</v>
      </c>
      <c r="AD274" s="323" t="e">
        <f t="shared" ca="1" si="142"/>
        <v>#N/A</v>
      </c>
      <c r="AE274" s="324">
        <f t="shared" ca="1" si="121"/>
        <v>297.89715696761886</v>
      </c>
      <c r="AG274" s="306">
        <f t="shared" ca="1" si="143"/>
        <v>57.464389689181175</v>
      </c>
      <c r="AH274" s="304">
        <f t="shared" ca="1" si="144"/>
        <v>67.213666484199251</v>
      </c>
    </row>
    <row r="275" spans="1:34" x14ac:dyDescent="0.2">
      <c r="A275" s="347">
        <f t="shared" ca="1" si="122"/>
        <v>0.01</v>
      </c>
      <c r="B275" s="304">
        <f t="shared" ca="1" si="123"/>
        <v>2.7099999999999862</v>
      </c>
      <c r="D275" s="306">
        <f t="shared" ca="1" si="124"/>
        <v>7.4416121809464153</v>
      </c>
      <c r="E275" s="307">
        <f t="shared" ca="1" si="125"/>
        <v>56.729866841563847</v>
      </c>
      <c r="F275" s="304">
        <f t="shared" ca="1" si="126"/>
        <v>57.215866538165571</v>
      </c>
      <c r="G275" s="306">
        <f t="shared" ca="1" si="127"/>
        <v>23.452139216016096</v>
      </c>
      <c r="H275" s="307">
        <f t="shared" ca="1" si="128"/>
        <v>209.60138213359679</v>
      </c>
      <c r="I275" s="304">
        <f t="shared" ca="1" si="129"/>
        <v>210.90932228358579</v>
      </c>
      <c r="J275" s="306">
        <f t="shared" ca="1" si="130"/>
        <v>31.659489129116441</v>
      </c>
      <c r="K275" s="307">
        <f t="shared" ca="1" si="131"/>
        <v>299.99033429561274</v>
      </c>
      <c r="L275" s="304">
        <f t="shared" ca="1" si="116"/>
        <v>301.65630098294008</v>
      </c>
      <c r="M275" s="306">
        <f t="shared" ca="1" si="132"/>
        <v>1.4593705325304744</v>
      </c>
      <c r="N275" s="304">
        <f t="shared" ca="1" si="133"/>
        <v>83.615772259755602</v>
      </c>
      <c r="P275" s="310">
        <f t="shared" ca="1" si="134"/>
        <v>9</v>
      </c>
      <c r="Q275" s="304">
        <f t="shared" ca="1" si="135"/>
        <v>789.12500000000284</v>
      </c>
      <c r="R275" s="306">
        <f t="shared" ca="1" si="136"/>
        <v>0.39529817036698317</v>
      </c>
      <c r="S275" s="307">
        <f t="shared" ca="1" si="137"/>
        <v>9.7088230813164458</v>
      </c>
      <c r="T275" s="304">
        <f t="shared" ca="1" si="117"/>
        <v>95.243554427714344</v>
      </c>
      <c r="U275" s="311">
        <f t="shared" ca="1" si="118"/>
        <v>0</v>
      </c>
      <c r="V275" s="306">
        <f t="shared" ca="1" si="119"/>
        <v>1.1887942527596895</v>
      </c>
      <c r="W275" s="304">
        <f t="shared" ca="1" si="120"/>
        <v>139.80192540153021</v>
      </c>
      <c r="Y275" s="314" t="str">
        <f t="shared" ca="1" si="138"/>
        <v/>
      </c>
      <c r="Z275" s="315" t="str">
        <f t="shared" ca="1" si="139"/>
        <v/>
      </c>
      <c r="AA275" s="316" t="str">
        <f t="shared" ca="1" si="140"/>
        <v/>
      </c>
      <c r="AC275" s="310" t="e">
        <f t="shared" ca="1" si="141"/>
        <v>#N/A</v>
      </c>
      <c r="AD275" s="323" t="e">
        <f t="shared" ca="1" si="142"/>
        <v>#N/A</v>
      </c>
      <c r="AE275" s="324">
        <f t="shared" ca="1" si="121"/>
        <v>299.99033429561274</v>
      </c>
      <c r="AG275" s="306">
        <f t="shared" ca="1" si="143"/>
        <v>57.205476839818715</v>
      </c>
      <c r="AH275" s="304">
        <f t="shared" ca="1" si="144"/>
        <v>66.954697155200833</v>
      </c>
    </row>
    <row r="276" spans="1:34" x14ac:dyDescent="0.2">
      <c r="A276" s="347">
        <f t="shared" ca="1" si="122"/>
        <v>0.01</v>
      </c>
      <c r="B276" s="304">
        <f t="shared" ca="1" si="123"/>
        <v>2.719999999999986</v>
      </c>
      <c r="D276" s="306">
        <f t="shared" ca="1" si="124"/>
        <v>7.4162445582345091</v>
      </c>
      <c r="E276" s="307">
        <f t="shared" ca="1" si="125"/>
        <v>56.472017829108694</v>
      </c>
      <c r="F276" s="304">
        <f t="shared" ca="1" si="126"/>
        <v>56.956908984237494</v>
      </c>
      <c r="G276" s="306">
        <f t="shared" ca="1" si="127"/>
        <v>23.526301661598442</v>
      </c>
      <c r="H276" s="307">
        <f t="shared" ca="1" si="128"/>
        <v>210.16610231188787</v>
      </c>
      <c r="I276" s="304">
        <f t="shared" ca="1" si="129"/>
        <v>211.47878718879454</v>
      </c>
      <c r="J276" s="306">
        <f t="shared" ca="1" si="130"/>
        <v>31.894381333504512</v>
      </c>
      <c r="K276" s="307">
        <f t="shared" ca="1" si="131"/>
        <v>302.08917171784014</v>
      </c>
      <c r="L276" s="304">
        <f t="shared" ca="1" si="116"/>
        <v>303.76819983305973</v>
      </c>
      <c r="M276" s="306">
        <f t="shared" ca="1" si="132"/>
        <v>1.4593189516342402</v>
      </c>
      <c r="N276" s="304">
        <f t="shared" ca="1" si="133"/>
        <v>83.612816892097868</v>
      </c>
      <c r="P276" s="310">
        <f t="shared" ca="1" si="134"/>
        <v>9</v>
      </c>
      <c r="Q276" s="304">
        <f t="shared" ca="1" si="135"/>
        <v>787.07500000000289</v>
      </c>
      <c r="R276" s="306">
        <f t="shared" ca="1" si="136"/>
        <v>0.39427125923217904</v>
      </c>
      <c r="S276" s="307">
        <f t="shared" ca="1" si="137"/>
        <v>9.7048803687241243</v>
      </c>
      <c r="T276" s="304">
        <f t="shared" ca="1" si="117"/>
        <v>95.204876417183669</v>
      </c>
      <c r="U276" s="311">
        <f t="shared" ca="1" si="118"/>
        <v>0</v>
      </c>
      <c r="V276" s="306">
        <f t="shared" ca="1" si="119"/>
        <v>1.1885447138248344</v>
      </c>
      <c r="W276" s="304">
        <f t="shared" ca="1" si="120"/>
        <v>140.52838349162178</v>
      </c>
      <c r="Y276" s="314" t="str">
        <f t="shared" ca="1" si="138"/>
        <v/>
      </c>
      <c r="Z276" s="315" t="str">
        <f t="shared" ca="1" si="139"/>
        <v/>
      </c>
      <c r="AA276" s="316" t="str">
        <f t="shared" ca="1" si="140"/>
        <v/>
      </c>
      <c r="AC276" s="310" t="e">
        <f t="shared" ca="1" si="141"/>
        <v>#N/A</v>
      </c>
      <c r="AD276" s="323" t="e">
        <f t="shared" ca="1" si="142"/>
        <v>#N/A</v>
      </c>
      <c r="AE276" s="324">
        <f t="shared" ca="1" si="121"/>
        <v>302.08917171784014</v>
      </c>
      <c r="AG276" s="306">
        <f t="shared" ca="1" si="143"/>
        <v>56.946462387967998</v>
      </c>
      <c r="AH276" s="304">
        <f t="shared" ca="1" si="144"/>
        <v>66.695626324713572</v>
      </c>
    </row>
    <row r="277" spans="1:34" x14ac:dyDescent="0.2">
      <c r="A277" s="347">
        <f t="shared" ca="1" si="122"/>
        <v>0.01</v>
      </c>
      <c r="B277" s="304">
        <f t="shared" ca="1" si="123"/>
        <v>2.7299999999999858</v>
      </c>
      <c r="D277" s="306">
        <f t="shared" ca="1" si="124"/>
        <v>7.3908317993085699</v>
      </c>
      <c r="E277" s="307">
        <f t="shared" ca="1" si="125"/>
        <v>56.214075285868972</v>
      </c>
      <c r="F277" s="304">
        <f t="shared" ca="1" si="126"/>
        <v>56.697854059311766</v>
      </c>
      <c r="G277" s="306">
        <f t="shared" ca="1" si="127"/>
        <v>23.600209979591529</v>
      </c>
      <c r="H277" s="307">
        <f t="shared" ca="1" si="128"/>
        <v>210.72824306474655</v>
      </c>
      <c r="I277" s="304">
        <f t="shared" ca="1" si="129"/>
        <v>212.04566097007435</v>
      </c>
      <c r="J277" s="306">
        <f t="shared" ca="1" si="130"/>
        <v>32.130013891710462</v>
      </c>
      <c r="K277" s="307">
        <f t="shared" ca="1" si="131"/>
        <v>304.19364344472331</v>
      </c>
      <c r="L277" s="304">
        <f t="shared" ca="1" si="116"/>
        <v>305.88578016125064</v>
      </c>
      <c r="M277" s="306">
        <f t="shared" ca="1" si="132"/>
        <v>1.4592674849170273</v>
      </c>
      <c r="N277" s="304">
        <f t="shared" ca="1" si="133"/>
        <v>83.609868066416183</v>
      </c>
      <c r="P277" s="310">
        <f t="shared" ca="1" si="134"/>
        <v>9</v>
      </c>
      <c r="Q277" s="304">
        <f t="shared" ca="1" si="135"/>
        <v>785.02500000000293</v>
      </c>
      <c r="R277" s="306">
        <f t="shared" ca="1" si="136"/>
        <v>0.39324434809737496</v>
      </c>
      <c r="S277" s="307">
        <f t="shared" ca="1" si="137"/>
        <v>9.7009479252431507</v>
      </c>
      <c r="T277" s="304">
        <f t="shared" ca="1" si="117"/>
        <v>95.166299146635311</v>
      </c>
      <c r="U277" s="311">
        <f t="shared" ca="1" si="118"/>
        <v>0</v>
      </c>
      <c r="V277" s="306">
        <f t="shared" ca="1" si="119"/>
        <v>1.1882945568030383</v>
      </c>
      <c r="W277" s="304">
        <f t="shared" ca="1" si="120"/>
        <v>141.25303611998348</v>
      </c>
      <c r="Y277" s="314" t="str">
        <f t="shared" ca="1" si="138"/>
        <v/>
      </c>
      <c r="Z277" s="315" t="str">
        <f t="shared" ca="1" si="139"/>
        <v/>
      </c>
      <c r="AA277" s="316" t="str">
        <f t="shared" ca="1" si="140"/>
        <v/>
      </c>
      <c r="AC277" s="310" t="e">
        <f t="shared" ca="1" si="141"/>
        <v>#N/A</v>
      </c>
      <c r="AD277" s="323" t="e">
        <f t="shared" ca="1" si="142"/>
        <v>#N/A</v>
      </c>
      <c r="AE277" s="324">
        <f t="shared" ca="1" si="121"/>
        <v>304.19364344472331</v>
      </c>
      <c r="AG277" s="306">
        <f t="shared" ca="1" si="143"/>
        <v>56.687350044411374</v>
      </c>
      <c r="AH277" s="304">
        <f t="shared" ca="1" si="144"/>
        <v>66.436457702377282</v>
      </c>
    </row>
    <row r="278" spans="1:34" x14ac:dyDescent="0.2">
      <c r="A278" s="347">
        <f t="shared" ca="1" si="122"/>
        <v>0.01</v>
      </c>
      <c r="B278" s="304">
        <f t="shared" ca="1" si="123"/>
        <v>2.7399999999999856</v>
      </c>
      <c r="D278" s="306">
        <f t="shared" ca="1" si="124"/>
        <v>7.3653744685782332</v>
      </c>
      <c r="E278" s="307">
        <f t="shared" ca="1" si="125"/>
        <v>55.956042870788721</v>
      </c>
      <c r="F278" s="304">
        <f t="shared" ca="1" si="126"/>
        <v>56.438705467258274</v>
      </c>
      <c r="G278" s="306">
        <f t="shared" ca="1" si="127"/>
        <v>23.673863724277311</v>
      </c>
      <c r="H278" s="307">
        <f t="shared" ca="1" si="128"/>
        <v>211.28780349345445</v>
      </c>
      <c r="I278" s="304">
        <f t="shared" ca="1" si="129"/>
        <v>212.60994268548276</v>
      </c>
      <c r="J278" s="306">
        <f t="shared" ca="1" si="130"/>
        <v>32.366384260229808</v>
      </c>
      <c r="K278" s="307">
        <f t="shared" ca="1" si="131"/>
        <v>306.30372367751431</v>
      </c>
      <c r="L278" s="304">
        <f t="shared" ca="1" si="116"/>
        <v>308.00901605114075</v>
      </c>
      <c r="M278" s="306">
        <f t="shared" ca="1" si="132"/>
        <v>1.4592161311963938</v>
      </c>
      <c r="N278" s="304">
        <f t="shared" ca="1" si="133"/>
        <v>83.606925714961591</v>
      </c>
      <c r="P278" s="310">
        <f t="shared" ca="1" si="134"/>
        <v>9</v>
      </c>
      <c r="Q278" s="304">
        <f t="shared" ca="1" si="135"/>
        <v>782.97500000000298</v>
      </c>
      <c r="R278" s="306">
        <f t="shared" ca="1" si="136"/>
        <v>0.39221743696257083</v>
      </c>
      <c r="S278" s="307">
        <f t="shared" ca="1" si="137"/>
        <v>9.6970257508735251</v>
      </c>
      <c r="T278" s="304">
        <f t="shared" ca="1" si="117"/>
        <v>95.127822616069281</v>
      </c>
      <c r="U278" s="311">
        <f t="shared" ca="1" si="118"/>
        <v>0</v>
      </c>
      <c r="V278" s="306">
        <f t="shared" ca="1" si="119"/>
        <v>1.1880437851604242</v>
      </c>
      <c r="W278" s="304">
        <f t="shared" ca="1" si="120"/>
        <v>141.97585447884532</v>
      </c>
      <c r="Y278" s="314" t="str">
        <f t="shared" ca="1" si="138"/>
        <v/>
      </c>
      <c r="Z278" s="315" t="str">
        <f t="shared" ca="1" si="139"/>
        <v/>
      </c>
      <c r="AA278" s="316" t="str">
        <f t="shared" ca="1" si="140"/>
        <v/>
      </c>
      <c r="AC278" s="310" t="e">
        <f t="shared" ca="1" si="141"/>
        <v>#N/A</v>
      </c>
      <c r="AD278" s="323" t="e">
        <f t="shared" ca="1" si="142"/>
        <v>#N/A</v>
      </c>
      <c r="AE278" s="324">
        <f t="shared" ca="1" si="121"/>
        <v>306.30372367751431</v>
      </c>
      <c r="AG278" s="306">
        <f t="shared" ca="1" si="143"/>
        <v>56.428143506045906</v>
      </c>
      <c r="AH278" s="304">
        <f t="shared" ca="1" si="144"/>
        <v>66.17719498395806</v>
      </c>
    </row>
    <row r="279" spans="1:34" x14ac:dyDescent="0.2">
      <c r="A279" s="347">
        <f t="shared" ca="1" si="122"/>
        <v>0.01</v>
      </c>
      <c r="B279" s="304">
        <f t="shared" ca="1" si="123"/>
        <v>2.7499999999999853</v>
      </c>
      <c r="D279" s="306">
        <f t="shared" ca="1" si="124"/>
        <v>7.3398731276307938</v>
      </c>
      <c r="E279" s="307">
        <f t="shared" ca="1" si="125"/>
        <v>55.69792422900467</v>
      </c>
      <c r="F279" s="304">
        <f t="shared" ca="1" si="126"/>
        <v>56.17946689805504</v>
      </c>
      <c r="G279" s="306">
        <f t="shared" ca="1" si="127"/>
        <v>23.747262455553617</v>
      </c>
      <c r="H279" s="307">
        <f t="shared" ca="1" si="128"/>
        <v>211.8447827357445</v>
      </c>
      <c r="I279" s="304">
        <f t="shared" ca="1" si="129"/>
        <v>213.17163142990614</v>
      </c>
      <c r="J279" s="306">
        <f t="shared" ca="1" si="130"/>
        <v>32.603489891128959</v>
      </c>
      <c r="K279" s="307">
        <f t="shared" ca="1" si="131"/>
        <v>308.41938660866032</v>
      </c>
      <c r="L279" s="304">
        <f t="shared" ca="1" si="116"/>
        <v>310.13788157711923</v>
      </c>
      <c r="M279" s="306">
        <f t="shared" ca="1" si="132"/>
        <v>1.4591648893026508</v>
      </c>
      <c r="N279" s="304">
        <f t="shared" ca="1" si="133"/>
        <v>83.603989770715856</v>
      </c>
      <c r="P279" s="310">
        <f t="shared" ca="1" si="134"/>
        <v>9</v>
      </c>
      <c r="Q279" s="304">
        <f t="shared" ca="1" si="135"/>
        <v>780.92500000000302</v>
      </c>
      <c r="R279" s="306">
        <f t="shared" ca="1" si="136"/>
        <v>0.3911905258277667</v>
      </c>
      <c r="S279" s="307">
        <f t="shared" ca="1" si="137"/>
        <v>9.6931138456152475</v>
      </c>
      <c r="T279" s="304">
        <f t="shared" ca="1" si="117"/>
        <v>95.089446825485581</v>
      </c>
      <c r="U279" s="311">
        <f t="shared" ca="1" si="118"/>
        <v>0</v>
      </c>
      <c r="V279" s="306">
        <f t="shared" ca="1" si="119"/>
        <v>1.1877924023624666</v>
      </c>
      <c r="W279" s="304">
        <f t="shared" ca="1" si="120"/>
        <v>142.69680996054683</v>
      </c>
      <c r="Y279" s="314" t="str">
        <f t="shared" ca="1" si="138"/>
        <v/>
      </c>
      <c r="Z279" s="315" t="str">
        <f t="shared" ca="1" si="139"/>
        <v/>
      </c>
      <c r="AA279" s="316" t="str">
        <f t="shared" ca="1" si="140"/>
        <v/>
      </c>
      <c r="AC279" s="310" t="e">
        <f t="shared" ca="1" si="141"/>
        <v>#N/A</v>
      </c>
      <c r="AD279" s="323" t="e">
        <f t="shared" ca="1" si="142"/>
        <v>#N/A</v>
      </c>
      <c r="AE279" s="324">
        <f t="shared" ca="1" si="121"/>
        <v>308.41938660866032</v>
      </c>
      <c r="AG279" s="306">
        <f t="shared" ca="1" si="143"/>
        <v>56.168846455757439</v>
      </c>
      <c r="AH279" s="304">
        <f t="shared" ca="1" si="144"/>
        <v>65.91784185122215</v>
      </c>
    </row>
    <row r="280" spans="1:34" x14ac:dyDescent="0.2">
      <c r="A280" s="347">
        <f t="shared" ca="1" si="122"/>
        <v>0.01</v>
      </c>
      <c r="B280" s="304">
        <f t="shared" ca="1" si="123"/>
        <v>2.7599999999999851</v>
      </c>
      <c r="D280" s="306">
        <f t="shared" ca="1" si="124"/>
        <v>7.314328335238832</v>
      </c>
      <c r="E280" s="307">
        <f t="shared" ca="1" si="125"/>
        <v>55.439722991720998</v>
      </c>
      <c r="F280" s="304">
        <f t="shared" ca="1" si="126"/>
        <v>55.920142027666877</v>
      </c>
      <c r="G280" s="306">
        <f t="shared" ca="1" si="127"/>
        <v>23.820405738906004</v>
      </c>
      <c r="H280" s="307">
        <f t="shared" ca="1" si="128"/>
        <v>212.39917996566172</v>
      </c>
      <c r="I280" s="304">
        <f t="shared" ca="1" si="129"/>
        <v>213.7307263349181</v>
      </c>
      <c r="J280" s="306">
        <f t="shared" ca="1" si="130"/>
        <v>32.841328232101255</v>
      </c>
      <c r="K280" s="307">
        <f t="shared" ca="1" si="131"/>
        <v>310.54060642216734</v>
      </c>
      <c r="L280" s="304">
        <f t="shared" ca="1" si="116"/>
        <v>312.27235080470388</v>
      </c>
      <c r="M280" s="306">
        <f t="shared" ca="1" si="132"/>
        <v>1.4591137580786584</v>
      </c>
      <c r="N280" s="304">
        <f t="shared" ca="1" si="133"/>
        <v>83.601060167379757</v>
      </c>
      <c r="P280" s="310">
        <f t="shared" ca="1" si="134"/>
        <v>9</v>
      </c>
      <c r="Q280" s="304">
        <f t="shared" ca="1" si="135"/>
        <v>778.87500000000307</v>
      </c>
      <c r="R280" s="306">
        <f t="shared" ca="1" si="136"/>
        <v>0.39016361469296262</v>
      </c>
      <c r="S280" s="307">
        <f t="shared" ca="1" si="137"/>
        <v>9.6892122094683177</v>
      </c>
      <c r="T280" s="304">
        <f t="shared" ca="1" si="117"/>
        <v>95.051171774884196</v>
      </c>
      <c r="U280" s="311">
        <f t="shared" ca="1" si="118"/>
        <v>0</v>
      </c>
      <c r="V280" s="306">
        <f t="shared" ca="1" si="119"/>
        <v>1.1875404118739341</v>
      </c>
      <c r="W280" s="304">
        <f t="shared" ca="1" si="120"/>
        <v>143.41587415807248</v>
      </c>
      <c r="Y280" s="314" t="str">
        <f t="shared" ca="1" si="138"/>
        <v/>
      </c>
      <c r="Z280" s="315" t="str">
        <f t="shared" ca="1" si="139"/>
        <v/>
      </c>
      <c r="AA280" s="316" t="str">
        <f t="shared" ca="1" si="140"/>
        <v/>
      </c>
      <c r="AC280" s="310" t="e">
        <f t="shared" ca="1" si="141"/>
        <v>#N/A</v>
      </c>
      <c r="AD280" s="323" t="e">
        <f t="shared" ca="1" si="142"/>
        <v>#N/A</v>
      </c>
      <c r="AE280" s="324">
        <f t="shared" ca="1" si="121"/>
        <v>310.54060642216734</v>
      </c>
      <c r="AG280" s="306">
        <f t="shared" ca="1" si="143"/>
        <v>55.909462562296504</v>
      </c>
      <c r="AH280" s="304">
        <f t="shared" ca="1" si="144"/>
        <v>65.658401971811671</v>
      </c>
    </row>
    <row r="281" spans="1:34" x14ac:dyDescent="0.2">
      <c r="A281" s="347">
        <f t="shared" ca="1" si="122"/>
        <v>0.01</v>
      </c>
      <c r="B281" s="304">
        <f t="shared" ca="1" si="123"/>
        <v>2.7699999999999849</v>
      </c>
      <c r="D281" s="306">
        <f t="shared" ca="1" si="124"/>
        <v>7.2887406473675105</v>
      </c>
      <c r="E281" s="307">
        <f t="shared" ca="1" si="125"/>
        <v>55.181442776085404</v>
      </c>
      <c r="F281" s="304">
        <f t="shared" ca="1" si="126"/>
        <v>55.660734517925427</v>
      </c>
      <c r="G281" s="306">
        <f t="shared" ca="1" si="127"/>
        <v>23.89329314537968</v>
      </c>
      <c r="H281" s="307">
        <f t="shared" ca="1" si="128"/>
        <v>212.95099439342258</v>
      </c>
      <c r="I281" s="304">
        <f t="shared" ca="1" si="129"/>
        <v>214.28722656863741</v>
      </c>
      <c r="J281" s="306">
        <f t="shared" ca="1" si="130"/>
        <v>33.079896726522684</v>
      </c>
      <c r="K281" s="307">
        <f t="shared" ca="1" si="131"/>
        <v>312.66735729396277</v>
      </c>
      <c r="L281" s="304">
        <f t="shared" ca="1" si="116"/>
        <v>314.41239779090768</v>
      </c>
      <c r="M281" s="306">
        <f t="shared" ca="1" si="132"/>
        <v>1.459062736379628</v>
      </c>
      <c r="N281" s="304">
        <f t="shared" ca="1" si="133"/>
        <v>83.598136839361729</v>
      </c>
      <c r="P281" s="310">
        <f t="shared" ca="1" si="134"/>
        <v>9</v>
      </c>
      <c r="Q281" s="304">
        <f t="shared" ca="1" si="135"/>
        <v>776.82500000000312</v>
      </c>
      <c r="R281" s="306">
        <f t="shared" ca="1" si="136"/>
        <v>0.38913670355815849</v>
      </c>
      <c r="S281" s="307">
        <f t="shared" ca="1" si="137"/>
        <v>9.6853208424327359</v>
      </c>
      <c r="T281" s="304">
        <f t="shared" ca="1" si="117"/>
        <v>95.01299746426514</v>
      </c>
      <c r="U281" s="311">
        <f t="shared" ca="1" si="118"/>
        <v>0</v>
      </c>
      <c r="V281" s="306">
        <f t="shared" ca="1" si="119"/>
        <v>1.1872878171588266</v>
      </c>
      <c r="W281" s="304">
        <f t="shared" ca="1" si="120"/>
        <v>144.13301886556951</v>
      </c>
      <c r="Y281" s="314" t="str">
        <f t="shared" ca="1" si="138"/>
        <v/>
      </c>
      <c r="Z281" s="315" t="str">
        <f t="shared" ca="1" si="139"/>
        <v/>
      </c>
      <c r="AA281" s="316" t="str">
        <f t="shared" ca="1" si="140"/>
        <v/>
      </c>
      <c r="AC281" s="310" t="e">
        <f t="shared" ca="1" si="141"/>
        <v>#N/A</v>
      </c>
      <c r="AD281" s="323" t="e">
        <f t="shared" ca="1" si="142"/>
        <v>#N/A</v>
      </c>
      <c r="AE281" s="324">
        <f t="shared" ca="1" si="121"/>
        <v>312.66735729396277</v>
      </c>
      <c r="AG281" s="306">
        <f t="shared" ca="1" si="143"/>
        <v>55.649995480155653</v>
      </c>
      <c r="AH281" s="304">
        <f t="shared" ca="1" si="144"/>
        <v>65.398878999121777</v>
      </c>
    </row>
    <row r="282" spans="1:34" x14ac:dyDescent="0.2">
      <c r="A282" s="347">
        <f t="shared" ca="1" si="122"/>
        <v>0.01</v>
      </c>
      <c r="B282" s="304">
        <f t="shared" ca="1" si="123"/>
        <v>2.7799999999999847</v>
      </c>
      <c r="D282" s="306">
        <f t="shared" ca="1" si="124"/>
        <v>7.2631106171815389</v>
      </c>
      <c r="E282" s="307">
        <f t="shared" ca="1" si="125"/>
        <v>54.923087185067317</v>
      </c>
      <c r="F282" s="304">
        <f t="shared" ca="1" si="126"/>
        <v>55.401248016411337</v>
      </c>
      <c r="G282" s="306">
        <f t="shared" ca="1" si="127"/>
        <v>23.965924251551495</v>
      </c>
      <c r="H282" s="307">
        <f t="shared" ca="1" si="128"/>
        <v>213.50022526527326</v>
      </c>
      <c r="I282" s="304">
        <f t="shared" ca="1" si="129"/>
        <v>214.84113133558373</v>
      </c>
      <c r="J282" s="306">
        <f t="shared" ca="1" si="130"/>
        <v>33.319192813507343</v>
      </c>
      <c r="K282" s="307">
        <f t="shared" ca="1" si="131"/>
        <v>314.79961339225622</v>
      </c>
      <c r="L282" s="304">
        <f t="shared" ca="1" si="116"/>
        <v>316.55799658460319</v>
      </c>
      <c r="M282" s="306">
        <f t="shared" ca="1" si="132"/>
        <v>1.4590118230729265</v>
      </c>
      <c r="N282" s="304">
        <f t="shared" ca="1" si="133"/>
        <v>83.595219721766682</v>
      </c>
      <c r="P282" s="310">
        <f t="shared" ca="1" si="134"/>
        <v>9</v>
      </c>
      <c r="Q282" s="304">
        <f t="shared" ca="1" si="135"/>
        <v>774.77500000000316</v>
      </c>
      <c r="R282" s="306">
        <f t="shared" ca="1" si="136"/>
        <v>0.38810979242335442</v>
      </c>
      <c r="S282" s="307">
        <f t="shared" ca="1" si="137"/>
        <v>9.6814397445085021</v>
      </c>
      <c r="T282" s="304">
        <f t="shared" ca="1" si="117"/>
        <v>94.974923893628414</v>
      </c>
      <c r="U282" s="311">
        <f t="shared" ca="1" si="118"/>
        <v>0</v>
      </c>
      <c r="V282" s="306">
        <f t="shared" ca="1" si="119"/>
        <v>1.1870346216803151</v>
      </c>
      <c r="W282" s="304">
        <f t="shared" ca="1" si="120"/>
        <v>144.8482160788478</v>
      </c>
      <c r="Y282" s="314" t="str">
        <f t="shared" ca="1" si="138"/>
        <v/>
      </c>
      <c r="Z282" s="315" t="str">
        <f t="shared" ca="1" si="139"/>
        <v/>
      </c>
      <c r="AA282" s="316" t="str">
        <f t="shared" ca="1" si="140"/>
        <v/>
      </c>
      <c r="AC282" s="310" t="e">
        <f t="shared" ca="1" si="141"/>
        <v>#N/A</v>
      </c>
      <c r="AD282" s="323" t="e">
        <f t="shared" ca="1" si="142"/>
        <v>#N/A</v>
      </c>
      <c r="AE282" s="324">
        <f t="shared" ca="1" si="121"/>
        <v>314.79961339225622</v>
      </c>
      <c r="AG282" s="306">
        <f t="shared" ca="1" si="143"/>
        <v>55.390448849448845</v>
      </c>
      <c r="AH282" s="304">
        <f t="shared" ca="1" si="144"/>
        <v>65.139276572179867</v>
      </c>
    </row>
    <row r="283" spans="1:34" x14ac:dyDescent="0.2">
      <c r="A283" s="347">
        <f t="shared" ca="1" si="122"/>
        <v>0.01</v>
      </c>
      <c r="B283" s="304">
        <f t="shared" ca="1" si="123"/>
        <v>2.7899999999999845</v>
      </c>
      <c r="D283" s="306">
        <f t="shared" ca="1" si="124"/>
        <v>7.2374387950518901</v>
      </c>
      <c r="E283" s="307">
        <f t="shared" ca="1" si="125"/>
        <v>54.664659807337685</v>
      </c>
      <c r="F283" s="304">
        <f t="shared" ca="1" si="126"/>
        <v>55.141686156338039</v>
      </c>
      <c r="G283" s="306">
        <f t="shared" ca="1" si="127"/>
        <v>24.038298639502013</v>
      </c>
      <c r="H283" s="307">
        <f t="shared" ca="1" si="128"/>
        <v>214.04687186334664</v>
      </c>
      <c r="I283" s="304">
        <f t="shared" ca="1" si="129"/>
        <v>215.39243987653285</v>
      </c>
      <c r="J283" s="306">
        <f t="shared" ca="1" si="130"/>
        <v>33.55921392796261</v>
      </c>
      <c r="K283" s="307">
        <f t="shared" ca="1" si="131"/>
        <v>316.9373488778993</v>
      </c>
      <c r="L283" s="304">
        <f t="shared" ca="1" si="116"/>
        <v>318.70912122688617</v>
      </c>
      <c r="M283" s="306">
        <f t="shared" ca="1" si="132"/>
        <v>1.4589610170378846</v>
      </c>
      <c r="N283" s="304">
        <f t="shared" ca="1" si="133"/>
        <v>83.592308750384973</v>
      </c>
      <c r="P283" s="310">
        <f t="shared" ca="1" si="134"/>
        <v>9</v>
      </c>
      <c r="Q283" s="304">
        <f t="shared" ca="1" si="135"/>
        <v>772.72500000000321</v>
      </c>
      <c r="R283" s="306">
        <f t="shared" ca="1" si="136"/>
        <v>0.38708288128855028</v>
      </c>
      <c r="S283" s="307">
        <f t="shared" ca="1" si="137"/>
        <v>9.6775689156956162</v>
      </c>
      <c r="T283" s="304">
        <f t="shared" ca="1" si="117"/>
        <v>94.936951062974003</v>
      </c>
      <c r="U283" s="311">
        <f t="shared" ca="1" si="118"/>
        <v>0</v>
      </c>
      <c r="V283" s="306">
        <f t="shared" ca="1" si="119"/>
        <v>1.186780828900684</v>
      </c>
      <c r="W283" s="304">
        <f t="shared" ca="1" si="120"/>
        <v>145.561437995863</v>
      </c>
      <c r="Y283" s="314" t="str">
        <f t="shared" ca="1" si="138"/>
        <v/>
      </c>
      <c r="Z283" s="315" t="str">
        <f t="shared" ca="1" si="139"/>
        <v/>
      </c>
      <c r="AA283" s="316" t="str">
        <f t="shared" ca="1" si="140"/>
        <v/>
      </c>
      <c r="AC283" s="310" t="e">
        <f t="shared" ca="1" si="141"/>
        <v>#N/A</v>
      </c>
      <c r="AD283" s="323" t="e">
        <f t="shared" ca="1" si="142"/>
        <v>#N/A</v>
      </c>
      <c r="AE283" s="324">
        <f t="shared" ca="1" si="121"/>
        <v>316.9373488778993</v>
      </c>
      <c r="AG283" s="306">
        <f t="shared" ca="1" si="143"/>
        <v>55.13082629579236</v>
      </c>
      <c r="AH283" s="304">
        <f t="shared" ca="1" si="144"/>
        <v>64.879598315526337</v>
      </c>
    </row>
    <row r="284" spans="1:34" x14ac:dyDescent="0.2">
      <c r="A284" s="347">
        <f t="shared" ca="1" si="122"/>
        <v>0.01</v>
      </c>
      <c r="B284" s="304">
        <f t="shared" ca="1" si="123"/>
        <v>2.7999999999999843</v>
      </c>
      <c r="D284" s="306">
        <f t="shared" ca="1" si="124"/>
        <v>7.2117257285622776</v>
      </c>
      <c r="E284" s="307">
        <f t="shared" ca="1" si="125"/>
        <v>54.406164217150689</v>
      </c>
      <c r="F284" s="304">
        <f t="shared" ca="1" si="126"/>
        <v>54.882052556437564</v>
      </c>
      <c r="G284" s="306">
        <f t="shared" ca="1" si="127"/>
        <v>24.110415896787636</v>
      </c>
      <c r="H284" s="307">
        <f t="shared" ca="1" si="128"/>
        <v>214.59093350551814</v>
      </c>
      <c r="I284" s="304">
        <f t="shared" ca="1" si="129"/>
        <v>215.94115146837061</v>
      </c>
      <c r="J284" s="306">
        <f t="shared" ca="1" si="130"/>
        <v>33.799957500644055</v>
      </c>
      <c r="K284" s="307">
        <f t="shared" ca="1" si="131"/>
        <v>319.08053790474361</v>
      </c>
      <c r="L284" s="304">
        <f t="shared" ca="1" si="116"/>
        <v>320.86574575143709</v>
      </c>
      <c r="M284" s="306">
        <f t="shared" ca="1" si="132"/>
        <v>1.4589103171656088</v>
      </c>
      <c r="N284" s="304">
        <f t="shared" ca="1" si="133"/>
        <v>83.589403861681717</v>
      </c>
      <c r="P284" s="310">
        <f t="shared" ca="1" si="134"/>
        <v>9</v>
      </c>
      <c r="Q284" s="304">
        <f t="shared" ca="1" si="135"/>
        <v>770.67500000000325</v>
      </c>
      <c r="R284" s="306">
        <f t="shared" ca="1" si="136"/>
        <v>0.38605597015374615</v>
      </c>
      <c r="S284" s="307">
        <f t="shared" ca="1" si="137"/>
        <v>9.6737083559940782</v>
      </c>
      <c r="T284" s="304">
        <f t="shared" ca="1" si="117"/>
        <v>94.899078972301908</v>
      </c>
      <c r="U284" s="311">
        <f t="shared" ca="1" si="118"/>
        <v>0</v>
      </c>
      <c r="V284" s="306">
        <f t="shared" ca="1" si="119"/>
        <v>1.1865264422812689</v>
      </c>
      <c r="W284" s="304">
        <f t="shared" ca="1" si="120"/>
        <v>146.27265701718241</v>
      </c>
      <c r="Y284" s="314" t="str">
        <f t="shared" ca="1" si="138"/>
        <v/>
      </c>
      <c r="Z284" s="315" t="str">
        <f t="shared" ca="1" si="139"/>
        <v/>
      </c>
      <c r="AA284" s="316" t="str">
        <f t="shared" ca="1" si="140"/>
        <v/>
      </c>
      <c r="AC284" s="310" t="e">
        <f t="shared" ca="1" si="141"/>
        <v>#N/A</v>
      </c>
      <c r="AD284" s="323" t="e">
        <f t="shared" ca="1" si="142"/>
        <v>#N/A</v>
      </c>
      <c r="AE284" s="324">
        <f t="shared" ca="1" si="121"/>
        <v>319.08053790474361</v>
      </c>
      <c r="AG284" s="306">
        <f t="shared" ca="1" si="143"/>
        <v>54.871131430187575</v>
      </c>
      <c r="AH284" s="304">
        <f t="shared" ca="1" si="144"/>
        <v>64.619847839097176</v>
      </c>
    </row>
    <row r="285" spans="1:34" x14ac:dyDescent="0.2">
      <c r="A285" s="347">
        <f t="shared" ca="1" si="122"/>
        <v>0.01</v>
      </c>
      <c r="B285" s="304">
        <f t="shared" ca="1" si="123"/>
        <v>2.8099999999999841</v>
      </c>
      <c r="D285" s="306">
        <f t="shared" ca="1" si="124"/>
        <v>7.1859719625153415</v>
      </c>
      <c r="E285" s="307">
        <f t="shared" ca="1" si="125"/>
        <v>54.147603974226918</v>
      </c>
      <c r="F285" s="304">
        <f t="shared" ca="1" si="126"/>
        <v>54.622350820847792</v>
      </c>
      <c r="G285" s="306">
        <f t="shared" ca="1" si="127"/>
        <v>24.182275616412788</v>
      </c>
      <c r="H285" s="307">
        <f t="shared" ca="1" si="128"/>
        <v>215.1324095452604</v>
      </c>
      <c r="I285" s="304">
        <f t="shared" ca="1" si="129"/>
        <v>216.48726542394544</v>
      </c>
      <c r="J285" s="306">
        <f t="shared" ca="1" si="130"/>
        <v>34.041420958210054</v>
      </c>
      <c r="K285" s="307">
        <f t="shared" ca="1" si="131"/>
        <v>321.22915461999747</v>
      </c>
      <c r="L285" s="304">
        <f t="shared" ca="1" si="116"/>
        <v>323.02784418488187</v>
      </c>
      <c r="M285" s="306">
        <f t="shared" ca="1" si="132"/>
        <v>1.4588597223587976</v>
      </c>
      <c r="N285" s="304">
        <f t="shared" ca="1" si="133"/>
        <v>83.586504992786161</v>
      </c>
      <c r="P285" s="310">
        <f t="shared" ca="1" si="134"/>
        <v>9</v>
      </c>
      <c r="Q285" s="304">
        <f t="shared" ca="1" si="135"/>
        <v>768.6250000000033</v>
      </c>
      <c r="R285" s="306">
        <f t="shared" ca="1" si="136"/>
        <v>0.38502905901894208</v>
      </c>
      <c r="S285" s="307">
        <f t="shared" ca="1" si="137"/>
        <v>9.6698580654038881</v>
      </c>
      <c r="T285" s="304">
        <f t="shared" ca="1" si="117"/>
        <v>94.861307621612141</v>
      </c>
      <c r="U285" s="311">
        <f t="shared" ca="1" si="118"/>
        <v>0</v>
      </c>
      <c r="V285" s="306">
        <f t="shared" ca="1" si="119"/>
        <v>1.1862714652824009</v>
      </c>
      <c r="W285" s="304">
        <f t="shared" ca="1" si="120"/>
        <v>146.98184574643358</v>
      </c>
      <c r="Y285" s="314" t="str">
        <f t="shared" ca="1" si="138"/>
        <v/>
      </c>
      <c r="Z285" s="315" t="str">
        <f t="shared" ca="1" si="139"/>
        <v/>
      </c>
      <c r="AA285" s="316" t="str">
        <f t="shared" ca="1" si="140"/>
        <v/>
      </c>
      <c r="AC285" s="310" t="e">
        <f t="shared" ca="1" si="141"/>
        <v>#N/A</v>
      </c>
      <c r="AD285" s="323" t="e">
        <f t="shared" ca="1" si="142"/>
        <v>#N/A</v>
      </c>
      <c r="AE285" s="324">
        <f t="shared" ca="1" si="121"/>
        <v>321.22915461999747</v>
      </c>
      <c r="AG285" s="306">
        <f t="shared" ca="1" si="143"/>
        <v>54.611367848905282</v>
      </c>
      <c r="AH285" s="304">
        <f t="shared" ca="1" si="144"/>
        <v>64.360028738108127</v>
      </c>
    </row>
    <row r="286" spans="1:34" x14ac:dyDescent="0.2">
      <c r="A286" s="347">
        <f t="shared" ca="1" si="122"/>
        <v>0.01</v>
      </c>
      <c r="B286" s="304">
        <f t="shared" ca="1" si="123"/>
        <v>2.8199999999999839</v>
      </c>
      <c r="D286" s="306">
        <f t="shared" ca="1" si="124"/>
        <v>7.1601780389385921</v>
      </c>
      <c r="E286" s="307">
        <f t="shared" ca="1" si="125"/>
        <v>53.888982623638604</v>
      </c>
      <c r="F286" s="304">
        <f t="shared" ca="1" si="126"/>
        <v>54.362584539001837</v>
      </c>
      <c r="G286" s="306">
        <f t="shared" ca="1" si="127"/>
        <v>24.253877396802174</v>
      </c>
      <c r="H286" s="307">
        <f t="shared" ca="1" si="128"/>
        <v>215.67129937149679</v>
      </c>
      <c r="I286" s="304">
        <f t="shared" ca="1" si="129"/>
        <v>217.03078109192001</v>
      </c>
      <c r="J286" s="306">
        <f t="shared" ca="1" si="130"/>
        <v>34.283601723276128</v>
      </c>
      <c r="K286" s="307">
        <f t="shared" ca="1" si="131"/>
        <v>323.38317316458125</v>
      </c>
      <c r="L286" s="304">
        <f t="shared" ca="1" si="116"/>
        <v>325.19539054715057</v>
      </c>
      <c r="M286" s="306">
        <f t="shared" ca="1" si="132"/>
        <v>1.4588092315315602</v>
      </c>
      <c r="N286" s="304">
        <f t="shared" ca="1" si="133"/>
        <v>83.583612081481334</v>
      </c>
      <c r="P286" s="310">
        <f t="shared" ca="1" si="134"/>
        <v>9</v>
      </c>
      <c r="Q286" s="304">
        <f t="shared" ca="1" si="135"/>
        <v>766.57500000000334</v>
      </c>
      <c r="R286" s="306">
        <f t="shared" ca="1" si="136"/>
        <v>0.38400214788413795</v>
      </c>
      <c r="S286" s="307">
        <f t="shared" ca="1" si="137"/>
        <v>9.666018043925046</v>
      </c>
      <c r="T286" s="304">
        <f t="shared" ca="1" si="117"/>
        <v>94.823637010904704</v>
      </c>
      <c r="U286" s="311">
        <f t="shared" ca="1" si="118"/>
        <v>0</v>
      </c>
      <c r="V286" s="306">
        <f t="shared" ca="1" si="119"/>
        <v>1.1860159013633431</v>
      </c>
      <c r="W286" s="304">
        <f t="shared" ca="1" si="120"/>
        <v>147.6889769907354</v>
      </c>
      <c r="Y286" s="314" t="str">
        <f t="shared" ca="1" si="138"/>
        <v/>
      </c>
      <c r="Z286" s="315" t="str">
        <f t="shared" ca="1" si="139"/>
        <v/>
      </c>
      <c r="AA286" s="316" t="str">
        <f t="shared" ca="1" si="140"/>
        <v/>
      </c>
      <c r="AC286" s="310" t="e">
        <f t="shared" ca="1" si="141"/>
        <v>#N/A</v>
      </c>
      <c r="AD286" s="323" t="e">
        <f t="shared" ca="1" si="142"/>
        <v>#N/A</v>
      </c>
      <c r="AE286" s="324">
        <f t="shared" ca="1" si="121"/>
        <v>323.38317316458125</v>
      </c>
      <c r="AG286" s="306">
        <f t="shared" ca="1" si="143"/>
        <v>54.351539133371901</v>
      </c>
      <c r="AH286" s="304">
        <f t="shared" ca="1" si="144"/>
        <v>64.100144592940751</v>
      </c>
    </row>
    <row r="287" spans="1:34" x14ac:dyDescent="0.2">
      <c r="A287" s="347">
        <f t="shared" ca="1" si="122"/>
        <v>0.01</v>
      </c>
      <c r="B287" s="304">
        <f t="shared" ca="1" si="123"/>
        <v>2.8299999999999836</v>
      </c>
      <c r="D287" s="306">
        <f t="shared" ca="1" si="124"/>
        <v>7.1343444970901366</v>
      </c>
      <c r="E287" s="307">
        <f t="shared" ca="1" si="125"/>
        <v>53.630303695696504</v>
      </c>
      <c r="F287" s="304">
        <f t="shared" ca="1" si="126"/>
        <v>54.102757285519175</v>
      </c>
      <c r="G287" s="306">
        <f t="shared" ca="1" si="127"/>
        <v>24.325220841773074</v>
      </c>
      <c r="H287" s="307">
        <f t="shared" ca="1" si="128"/>
        <v>216.20760240845374</v>
      </c>
      <c r="I287" s="304">
        <f t="shared" ca="1" si="129"/>
        <v>217.57169785662163</v>
      </c>
      <c r="J287" s="306">
        <f t="shared" ca="1" si="130"/>
        <v>34.526497214469003</v>
      </c>
      <c r="K287" s="307">
        <f t="shared" ca="1" si="131"/>
        <v>325.54256767348102</v>
      </c>
      <c r="L287" s="304">
        <f t="shared" ca="1" si="116"/>
        <v>327.36835885183484</v>
      </c>
      <c r="M287" s="306">
        <f t="shared" ca="1" si="132"/>
        <v>1.4587588436092389</v>
      </c>
      <c r="N287" s="304">
        <f t="shared" ca="1" si="133"/>
        <v>83.580725066193892</v>
      </c>
      <c r="P287" s="310">
        <f t="shared" ca="1" si="134"/>
        <v>9</v>
      </c>
      <c r="Q287" s="304">
        <f t="shared" ca="1" si="135"/>
        <v>764.52500000000339</v>
      </c>
      <c r="R287" s="306">
        <f t="shared" ca="1" si="136"/>
        <v>0.38297523674933381</v>
      </c>
      <c r="S287" s="307">
        <f t="shared" ca="1" si="137"/>
        <v>9.6621882915575519</v>
      </c>
      <c r="T287" s="304">
        <f t="shared" ca="1" si="117"/>
        <v>94.786067140179583</v>
      </c>
      <c r="U287" s="311">
        <f t="shared" ca="1" si="118"/>
        <v>0</v>
      </c>
      <c r="V287" s="306">
        <f t="shared" ca="1" si="119"/>
        <v>1.1857597539822369</v>
      </c>
      <c r="W287" s="304">
        <f t="shared" ca="1" si="120"/>
        <v>148.39402376111329</v>
      </c>
      <c r="Y287" s="314" t="str">
        <f t="shared" ca="1" si="138"/>
        <v/>
      </c>
      <c r="Z287" s="315" t="str">
        <f t="shared" ca="1" si="139"/>
        <v/>
      </c>
      <c r="AA287" s="316" t="str">
        <f t="shared" ca="1" si="140"/>
        <v/>
      </c>
      <c r="AC287" s="310" t="e">
        <f t="shared" ca="1" si="141"/>
        <v>#N/A</v>
      </c>
      <c r="AD287" s="323" t="e">
        <f t="shared" ca="1" si="142"/>
        <v>#N/A</v>
      </c>
      <c r="AE287" s="324">
        <f t="shared" ca="1" si="121"/>
        <v>325.54256767348102</v>
      </c>
      <c r="AG287" s="306">
        <f t="shared" ca="1" si="143"/>
        <v>54.091648850057453</v>
      </c>
      <c r="AH287" s="304">
        <f t="shared" ca="1" si="144"/>
        <v>63.840198969030197</v>
      </c>
    </row>
    <row r="288" spans="1:34" x14ac:dyDescent="0.2">
      <c r="A288" s="347">
        <f t="shared" ca="1" si="122"/>
        <v>0.01</v>
      </c>
      <c r="B288" s="304">
        <f t="shared" ca="1" si="123"/>
        <v>2.8399999999999834</v>
      </c>
      <c r="D288" s="306">
        <f t="shared" ca="1" si="124"/>
        <v>7.1125660460579674</v>
      </c>
      <c r="E288" s="307">
        <f t="shared" ca="1" si="125"/>
        <v>53.407960560060346</v>
      </c>
      <c r="F288" s="304">
        <f t="shared" ca="1" si="126"/>
        <v>53.87948447177736</v>
      </c>
      <c r="G288" s="306">
        <f t="shared" ca="1" si="127"/>
        <v>24.396346502233655</v>
      </c>
      <c r="H288" s="307">
        <f t="shared" ca="1" si="128"/>
        <v>216.74168201405433</v>
      </c>
      <c r="I288" s="304">
        <f t="shared" ca="1" si="129"/>
        <v>218.11038133233936</v>
      </c>
      <c r="J288" s="306">
        <f t="shared" ca="1" si="130"/>
        <v>34.770105051189034</v>
      </c>
      <c r="K288" s="307">
        <f t="shared" ca="1" si="131"/>
        <v>327.70731409559357</v>
      </c>
      <c r="L288" s="304">
        <f t="shared" ca="1" si="116"/>
        <v>329.54672493747944</v>
      </c>
      <c r="M288" s="306">
        <f t="shared" ca="1" si="132"/>
        <v>1.4587085576126633</v>
      </c>
      <c r="N288" s="304">
        <f t="shared" ca="1" si="133"/>
        <v>83.577843890821498</v>
      </c>
      <c r="P288" s="310">
        <f t="shared" ca="1" si="134"/>
        <v>10</v>
      </c>
      <c r="Q288" s="304">
        <f t="shared" ca="1" si="135"/>
        <v>762.8285714285737</v>
      </c>
      <c r="R288" s="306">
        <f t="shared" ca="1" si="136"/>
        <v>0.38212544094962603</v>
      </c>
      <c r="S288" s="307">
        <f t="shared" ca="1" si="137"/>
        <v>9.6583670371480554</v>
      </c>
      <c r="T288" s="304">
        <f t="shared" ca="1" si="117"/>
        <v>94.748580634422424</v>
      </c>
      <c r="U288" s="311">
        <f t="shared" ca="1" si="118"/>
        <v>0</v>
      </c>
      <c r="V288" s="306">
        <f t="shared" ca="1" si="119"/>
        <v>1.1855030263802808</v>
      </c>
      <c r="W288" s="304">
        <f t="shared" ca="1" si="120"/>
        <v>149.09745989699817</v>
      </c>
      <c r="Y288" s="314" t="str">
        <f t="shared" ca="1" si="138"/>
        <v/>
      </c>
      <c r="Z288" s="315" t="str">
        <f t="shared" ca="1" si="139"/>
        <v/>
      </c>
      <c r="AA288" s="316" t="str">
        <f t="shared" ca="1" si="140"/>
        <v/>
      </c>
      <c r="AC288" s="310" t="e">
        <f t="shared" ca="1" si="141"/>
        <v>#N/A</v>
      </c>
      <c r="AD288" s="323" t="e">
        <f t="shared" ca="1" si="142"/>
        <v>#N/A</v>
      </c>
      <c r="AE288" s="324">
        <f t="shared" ca="1" si="121"/>
        <v>327.70731409559357</v>
      </c>
      <c r="AG288" s="306">
        <f t="shared" ca="1" si="143"/>
        <v>53.868319995193112</v>
      </c>
      <c r="AH288" s="304">
        <f t="shared" ca="1" si="144"/>
        <v>63.616814861582647</v>
      </c>
    </row>
    <row r="289" spans="1:34" x14ac:dyDescent="0.2">
      <c r="A289" s="347">
        <f t="shared" ca="1" si="122"/>
        <v>0.01</v>
      </c>
      <c r="B289" s="304">
        <f t="shared" ca="1" si="123"/>
        <v>2.8499999999999832</v>
      </c>
      <c r="D289" s="306">
        <f t="shared" ca="1" si="124"/>
        <v>7.094849042264153</v>
      </c>
      <c r="E289" s="307">
        <f t="shared" ca="1" si="125"/>
        <v>53.221959105653113</v>
      </c>
      <c r="F289" s="304">
        <f t="shared" ca="1" si="126"/>
        <v>53.692772455669754</v>
      </c>
      <c r="G289" s="306">
        <f t="shared" ca="1" si="127"/>
        <v>24.467294992656296</v>
      </c>
      <c r="H289" s="307">
        <f t="shared" ca="1" si="128"/>
        <v>217.27390160511086</v>
      </c>
      <c r="I289" s="304">
        <f t="shared" ca="1" si="129"/>
        <v>218.64719719896954</v>
      </c>
      <c r="J289" s="306">
        <f t="shared" ca="1" si="130"/>
        <v>35.014423258663484</v>
      </c>
      <c r="K289" s="307">
        <f t="shared" ca="1" si="131"/>
        <v>329.87739201368942</v>
      </c>
      <c r="L289" s="304">
        <f t="shared" ca="1" si="116"/>
        <v>331.73046829902455</v>
      </c>
      <c r="M289" s="306">
        <f t="shared" ca="1" si="132"/>
        <v>1.4586583726565181</v>
      </c>
      <c r="N289" s="304">
        <f t="shared" ca="1" si="133"/>
        <v>83.57496850463933</v>
      </c>
      <c r="P289" s="310">
        <f t="shared" ca="1" si="134"/>
        <v>10</v>
      </c>
      <c r="Q289" s="304">
        <f t="shared" ca="1" si="135"/>
        <v>761.48571428571654</v>
      </c>
      <c r="R289" s="306">
        <f t="shared" ca="1" si="136"/>
        <v>0.38145276048501564</v>
      </c>
      <c r="S289" s="307">
        <f t="shared" ca="1" si="137"/>
        <v>9.6545525095432048</v>
      </c>
      <c r="T289" s="304">
        <f t="shared" ca="1" si="117"/>
        <v>94.711160118618849</v>
      </c>
      <c r="U289" s="311">
        <f t="shared" ca="1" si="118"/>
        <v>0</v>
      </c>
      <c r="V289" s="306">
        <f t="shared" ca="1" si="119"/>
        <v>1.1852457213661787</v>
      </c>
      <c r="W289" s="304">
        <f t="shared" ca="1" si="120"/>
        <v>149.79976391698628</v>
      </c>
      <c r="Y289" s="314" t="str">
        <f t="shared" ca="1" si="138"/>
        <v/>
      </c>
      <c r="Z289" s="315" t="str">
        <f t="shared" ca="1" si="139"/>
        <v/>
      </c>
      <c r="AA289" s="316" t="str">
        <f t="shared" ca="1" si="140"/>
        <v/>
      </c>
      <c r="AC289" s="310" t="e">
        <f t="shared" ca="1" si="141"/>
        <v>#N/A</v>
      </c>
      <c r="AD289" s="323" t="e">
        <f t="shared" ca="1" si="142"/>
        <v>#N/A</v>
      </c>
      <c r="AE289" s="324">
        <f t="shared" ca="1" si="121"/>
        <v>329.87739201368942</v>
      </c>
      <c r="AG289" s="306">
        <f t="shared" ca="1" si="143"/>
        <v>53.681559129540432</v>
      </c>
      <c r="AH289" s="304">
        <f t="shared" ca="1" si="144"/>
        <v>63.429998830437029</v>
      </c>
    </row>
    <row r="290" spans="1:34" x14ac:dyDescent="0.2">
      <c r="A290" s="347">
        <f t="shared" ca="1" si="122"/>
        <v>0.01</v>
      </c>
      <c r="B290" s="304">
        <f t="shared" ca="1" si="123"/>
        <v>2.859999999999983</v>
      </c>
      <c r="D290" s="306">
        <f t="shared" ca="1" si="124"/>
        <v>7.077098668334644</v>
      </c>
      <c r="E290" s="307">
        <f t="shared" ca="1" si="125"/>
        <v>53.035886321921765</v>
      </c>
      <c r="F290" s="304">
        <f t="shared" ca="1" si="126"/>
        <v>53.505986239982079</v>
      </c>
      <c r="G290" s="306">
        <f t="shared" ca="1" si="127"/>
        <v>24.538065979339642</v>
      </c>
      <c r="H290" s="307">
        <f t="shared" ca="1" si="128"/>
        <v>217.80426046833009</v>
      </c>
      <c r="I290" s="304">
        <f t="shared" ca="1" si="129"/>
        <v>219.18214471111145</v>
      </c>
      <c r="J290" s="306">
        <f t="shared" ca="1" si="130"/>
        <v>35.259450063523467</v>
      </c>
      <c r="K290" s="307">
        <f t="shared" ca="1" si="131"/>
        <v>332.05278282405664</v>
      </c>
      <c r="L290" s="304">
        <f t="shared" ca="1" si="116"/>
        <v>333.91957025604569</v>
      </c>
      <c r="M290" s="306">
        <f t="shared" ca="1" si="132"/>
        <v>1.4586082878640112</v>
      </c>
      <c r="N290" s="304">
        <f t="shared" ca="1" si="133"/>
        <v>83.572098857410893</v>
      </c>
      <c r="P290" s="310">
        <f t="shared" ca="1" si="134"/>
        <v>10</v>
      </c>
      <c r="Q290" s="304">
        <f t="shared" ca="1" si="135"/>
        <v>760.14285714285938</v>
      </c>
      <c r="R290" s="306">
        <f t="shared" ca="1" si="136"/>
        <v>0.38078008002040525</v>
      </c>
      <c r="S290" s="307">
        <f t="shared" ca="1" si="137"/>
        <v>9.6507447087429998</v>
      </c>
      <c r="T290" s="304">
        <f t="shared" ca="1" si="117"/>
        <v>94.673805592768829</v>
      </c>
      <c r="U290" s="311">
        <f t="shared" ca="1" si="118"/>
        <v>0</v>
      </c>
      <c r="V290" s="306">
        <f t="shared" ca="1" si="119"/>
        <v>1.1849878415323523</v>
      </c>
      <c r="W290" s="304">
        <f t="shared" ca="1" si="120"/>
        <v>150.50091569047316</v>
      </c>
      <c r="Y290" s="314" t="str">
        <f t="shared" ca="1" si="138"/>
        <v/>
      </c>
      <c r="Z290" s="315" t="str">
        <f t="shared" ca="1" si="139"/>
        <v/>
      </c>
      <c r="AA290" s="316" t="str">
        <f t="shared" ca="1" si="140"/>
        <v/>
      </c>
      <c r="AC290" s="310" t="e">
        <f t="shared" ca="1" si="141"/>
        <v>#N/A</v>
      </c>
      <c r="AD290" s="323" t="e">
        <f t="shared" ca="1" si="142"/>
        <v>#N/A</v>
      </c>
      <c r="AE290" s="324">
        <f t="shared" ca="1" si="121"/>
        <v>332.05278282405664</v>
      </c>
      <c r="AG290" s="306">
        <f t="shared" ca="1" si="143"/>
        <v>53.4947237234216</v>
      </c>
      <c r="AH290" s="304">
        <f t="shared" ca="1" si="144"/>
        <v>63.243108345093681</v>
      </c>
    </row>
    <row r="291" spans="1:34" x14ac:dyDescent="0.2">
      <c r="A291" s="347">
        <f t="shared" ca="1" si="122"/>
        <v>0.01</v>
      </c>
      <c r="B291" s="304">
        <f t="shared" ca="1" si="123"/>
        <v>2.8699999999999828</v>
      </c>
      <c r="D291" s="306">
        <f t="shared" ca="1" si="124"/>
        <v>7.0593152921367128</v>
      </c>
      <c r="E291" s="307">
        <f t="shared" ca="1" si="125"/>
        <v>52.84974457445761</v>
      </c>
      <c r="F291" s="304">
        <f t="shared" ca="1" si="126"/>
        <v>53.319128218484657</v>
      </c>
      <c r="G291" s="306">
        <f t="shared" ca="1" si="127"/>
        <v>24.60865913226101</v>
      </c>
      <c r="H291" s="307">
        <f t="shared" ca="1" si="128"/>
        <v>218.33275791407465</v>
      </c>
      <c r="I291" s="304">
        <f t="shared" ca="1" si="129"/>
        <v>219.71522314726792</v>
      </c>
      <c r="J291" s="306">
        <f t="shared" ca="1" si="130"/>
        <v>35.50518368908147</v>
      </c>
      <c r="K291" s="307">
        <f t="shared" ca="1" si="131"/>
        <v>334.23346791596867</v>
      </c>
      <c r="L291" s="304">
        <f t="shared" ca="1" si="116"/>
        <v>336.11401212078363</v>
      </c>
      <c r="M291" s="306">
        <f t="shared" ca="1" si="132"/>
        <v>1.4585583023667563</v>
      </c>
      <c r="N291" s="304">
        <f t="shared" ca="1" si="133"/>
        <v>83.569234899381328</v>
      </c>
      <c r="P291" s="310">
        <f t="shared" ca="1" si="134"/>
        <v>10</v>
      </c>
      <c r="Q291" s="304">
        <f t="shared" ca="1" si="135"/>
        <v>758.80000000000234</v>
      </c>
      <c r="R291" s="306">
        <f t="shared" ca="1" si="136"/>
        <v>0.38010739955579492</v>
      </c>
      <c r="S291" s="307">
        <f t="shared" ca="1" si="137"/>
        <v>9.6469436347474424</v>
      </c>
      <c r="T291" s="304">
        <f t="shared" ca="1" si="117"/>
        <v>94.636517056872421</v>
      </c>
      <c r="U291" s="311">
        <f t="shared" ca="1" si="118"/>
        <v>0</v>
      </c>
      <c r="V291" s="306">
        <f t="shared" ca="1" si="119"/>
        <v>1.1847293894709057</v>
      </c>
      <c r="W291" s="304">
        <f t="shared" ca="1" si="120"/>
        <v>151.20089520121738</v>
      </c>
      <c r="Y291" s="314" t="str">
        <f t="shared" ca="1" si="138"/>
        <v/>
      </c>
      <c r="Z291" s="315" t="str">
        <f t="shared" ca="1" si="139"/>
        <v/>
      </c>
      <c r="AA291" s="316" t="str">
        <f t="shared" ca="1" si="140"/>
        <v/>
      </c>
      <c r="AC291" s="310" t="e">
        <f t="shared" ca="1" si="141"/>
        <v>#N/A</v>
      </c>
      <c r="AD291" s="323" t="e">
        <f t="shared" ca="1" si="142"/>
        <v>#N/A</v>
      </c>
      <c r="AE291" s="324">
        <f t="shared" ca="1" si="121"/>
        <v>334.23346791596867</v>
      </c>
      <c r="AG291" s="306">
        <f t="shared" ca="1" si="143"/>
        <v>53.307816167175979</v>
      </c>
      <c r="AH291" s="304">
        <f t="shared" ca="1" si="144"/>
        <v>63.056145795077462</v>
      </c>
    </row>
    <row r="292" spans="1:34" x14ac:dyDescent="0.2">
      <c r="A292" s="347">
        <f t="shared" ca="1" si="122"/>
        <v>0.01</v>
      </c>
      <c r="B292" s="304">
        <f t="shared" ca="1" si="123"/>
        <v>2.8799999999999826</v>
      </c>
      <c r="D292" s="306">
        <f t="shared" ca="1" si="124"/>
        <v>7.0414992800056666</v>
      </c>
      <c r="E292" s="307">
        <f t="shared" ca="1" si="125"/>
        <v>52.663536221164868</v>
      </c>
      <c r="F292" s="304">
        <f t="shared" ca="1" si="126"/>
        <v>53.132200777195976</v>
      </c>
      <c r="G292" s="306">
        <f t="shared" ca="1" si="127"/>
        <v>24.679074125061067</v>
      </c>
      <c r="H292" s="307">
        <f t="shared" ca="1" si="128"/>
        <v>218.85939327628628</v>
      </c>
      <c r="I292" s="304">
        <f t="shared" ca="1" si="129"/>
        <v>220.24643180976716</v>
      </c>
      <c r="J292" s="306">
        <f t="shared" ca="1" si="130"/>
        <v>35.751622355368077</v>
      </c>
      <c r="K292" s="307">
        <f t="shared" ca="1" si="131"/>
        <v>336.41942867192046</v>
      </c>
      <c r="L292" s="304">
        <f t="shared" ca="1" si="116"/>
        <v>338.31377519838327</v>
      </c>
      <c r="M292" s="306">
        <f t="shared" ca="1" si="132"/>
        <v>1.4585084153046572</v>
      </c>
      <c r="N292" s="304">
        <f t="shared" ca="1" si="133"/>
        <v>83.566376581270745</v>
      </c>
      <c r="P292" s="310">
        <f t="shared" ca="1" si="134"/>
        <v>10</v>
      </c>
      <c r="Q292" s="304">
        <f t="shared" ca="1" si="135"/>
        <v>757.45714285714519</v>
      </c>
      <c r="R292" s="306">
        <f t="shared" ca="1" si="136"/>
        <v>0.37943471909118454</v>
      </c>
      <c r="S292" s="307">
        <f t="shared" ca="1" si="137"/>
        <v>9.6431492875565308</v>
      </c>
      <c r="T292" s="304">
        <f t="shared" ca="1" si="117"/>
        <v>94.599294510929568</v>
      </c>
      <c r="U292" s="311">
        <f t="shared" ca="1" si="118"/>
        <v>0</v>
      </c>
      <c r="V292" s="306">
        <f t="shared" ca="1" si="119"/>
        <v>1.1844703677735844</v>
      </c>
      <c r="W292" s="304">
        <f t="shared" ca="1" si="120"/>
        <v>151.89968254769357</v>
      </c>
      <c r="Y292" s="314" t="str">
        <f t="shared" ca="1" si="138"/>
        <v/>
      </c>
      <c r="Z292" s="315" t="str">
        <f t="shared" ca="1" si="139"/>
        <v/>
      </c>
      <c r="AA292" s="316" t="str">
        <f t="shared" ca="1" si="140"/>
        <v/>
      </c>
      <c r="AC292" s="310" t="e">
        <f t="shared" ca="1" si="141"/>
        <v>#N/A</v>
      </c>
      <c r="AD292" s="323" t="e">
        <f t="shared" ca="1" si="142"/>
        <v>#N/A</v>
      </c>
      <c r="AE292" s="324">
        <f t="shared" ca="1" si="121"/>
        <v>336.41942867192046</v>
      </c>
      <c r="AG292" s="306">
        <f t="shared" ca="1" si="143"/>
        <v>53.120838843348679</v>
      </c>
      <c r="AH292" s="304">
        <f t="shared" ca="1" si="144"/>
        <v>62.869113562126195</v>
      </c>
    </row>
    <row r="293" spans="1:34" x14ac:dyDescent="0.2">
      <c r="A293" s="347">
        <f t="shared" ca="1" si="122"/>
        <v>0.01</v>
      </c>
      <c r="B293" s="304">
        <f t="shared" ca="1" si="123"/>
        <v>2.8899999999999824</v>
      </c>
      <c r="D293" s="306">
        <f t="shared" ca="1" si="124"/>
        <v>7.023650996747322</v>
      </c>
      <c r="E293" s="307">
        <f t="shared" ca="1" si="125"/>
        <v>52.477263612191841</v>
      </c>
      <c r="F293" s="304">
        <f t="shared" ca="1" si="126"/>
        <v>52.945206294315099</v>
      </c>
      <c r="G293" s="306">
        <f t="shared" ca="1" si="127"/>
        <v>24.749310635028539</v>
      </c>
      <c r="H293" s="307">
        <f t="shared" ca="1" si="128"/>
        <v>219.38416591240821</v>
      </c>
      <c r="I293" s="304">
        <f t="shared" ca="1" si="129"/>
        <v>220.77577002468408</v>
      </c>
      <c r="J293" s="306">
        <f t="shared" ca="1" si="130"/>
        <v>35.998764279168526</v>
      </c>
      <c r="K293" s="307">
        <f t="shared" ca="1" si="131"/>
        <v>338.61064646786394</v>
      </c>
      <c r="L293" s="304">
        <f t="shared" ca="1" si="116"/>
        <v>340.51884078713158</v>
      </c>
      <c r="M293" s="306">
        <f t="shared" ca="1" si="132"/>
        <v>1.458458625825795</v>
      </c>
      <c r="N293" s="304">
        <f t="shared" ca="1" si="133"/>
        <v>83.563523854267785</v>
      </c>
      <c r="P293" s="310">
        <f t="shared" ca="1" si="134"/>
        <v>10</v>
      </c>
      <c r="Q293" s="304">
        <f t="shared" ca="1" si="135"/>
        <v>756.11428571428803</v>
      </c>
      <c r="R293" s="306">
        <f t="shared" ca="1" si="136"/>
        <v>0.37876203862657415</v>
      </c>
      <c r="S293" s="307">
        <f t="shared" ca="1" si="137"/>
        <v>9.6393616671702649</v>
      </c>
      <c r="T293" s="304">
        <f t="shared" ca="1" si="117"/>
        <v>94.562137954940297</v>
      </c>
      <c r="U293" s="311">
        <f t="shared" ca="1" si="118"/>
        <v>0</v>
      </c>
      <c r="V293" s="306">
        <f t="shared" ca="1" si="119"/>
        <v>1.184210779031736</v>
      </c>
      <c r="W293" s="304">
        <f t="shared" ca="1" si="120"/>
        <v>152.59725794343771</v>
      </c>
      <c r="Y293" s="314" t="str">
        <f t="shared" ca="1" si="138"/>
        <v/>
      </c>
      <c r="Z293" s="315" t="str">
        <f t="shared" ca="1" si="139"/>
        <v/>
      </c>
      <c r="AA293" s="316" t="str">
        <f t="shared" ca="1" si="140"/>
        <v/>
      </c>
      <c r="AC293" s="310" t="e">
        <f t="shared" ca="1" si="141"/>
        <v>#N/A</v>
      </c>
      <c r="AD293" s="323" t="e">
        <f t="shared" ca="1" si="142"/>
        <v>#N/A</v>
      </c>
      <c r="AE293" s="324">
        <f t="shared" ca="1" si="121"/>
        <v>338.61064646786394</v>
      </c>
      <c r="AG293" s="306">
        <f t="shared" ca="1" si="143"/>
        <v>52.933794126622118</v>
      </c>
      <c r="AH293" s="304">
        <f t="shared" ca="1" si="144"/>
        <v>62.682014020122139</v>
      </c>
    </row>
    <row r="294" spans="1:34" x14ac:dyDescent="0.2">
      <c r="A294" s="347">
        <f t="shared" ca="1" si="122"/>
        <v>0.01</v>
      </c>
      <c r="B294" s="304">
        <f t="shared" ca="1" si="123"/>
        <v>2.8999999999999821</v>
      </c>
      <c r="D294" s="306">
        <f t="shared" ca="1" si="124"/>
        <v>7.0057708056402603</v>
      </c>
      <c r="E294" s="307">
        <f t="shared" ca="1" si="125"/>
        <v>52.290929089862551</v>
      </c>
      <c r="F294" s="304">
        <f t="shared" ca="1" si="126"/>
        <v>52.758147140154527</v>
      </c>
      <c r="G294" s="306">
        <f t="shared" ca="1" si="127"/>
        <v>24.819368343084943</v>
      </c>
      <c r="H294" s="307">
        <f t="shared" ca="1" si="128"/>
        <v>219.90707520330685</v>
      </c>
      <c r="I294" s="304">
        <f t="shared" ca="1" si="129"/>
        <v>221.30323714176117</v>
      </c>
      <c r="J294" s="306">
        <f t="shared" ca="1" si="130"/>
        <v>36.246607674059092</v>
      </c>
      <c r="K294" s="307">
        <f t="shared" ca="1" si="131"/>
        <v>340.8071026734425</v>
      </c>
      <c r="L294" s="304">
        <f t="shared" ca="1" si="116"/>
        <v>342.72919017869418</v>
      </c>
      <c r="M294" s="306">
        <f t="shared" ca="1" si="132"/>
        <v>1.4584089330863157</v>
      </c>
      <c r="N294" s="304">
        <f t="shared" ca="1" si="133"/>
        <v>83.56067667002317</v>
      </c>
      <c r="P294" s="310">
        <f t="shared" ca="1" si="134"/>
        <v>10</v>
      </c>
      <c r="Q294" s="304">
        <f t="shared" ca="1" si="135"/>
        <v>754.77142857143099</v>
      </c>
      <c r="R294" s="306">
        <f t="shared" ca="1" si="136"/>
        <v>0.37808935816196387</v>
      </c>
      <c r="S294" s="307">
        <f t="shared" ca="1" si="137"/>
        <v>9.6355807735886447</v>
      </c>
      <c r="T294" s="304">
        <f t="shared" ca="1" si="117"/>
        <v>94.525047388904611</v>
      </c>
      <c r="U294" s="311">
        <f t="shared" ca="1" si="118"/>
        <v>0</v>
      </c>
      <c r="V294" s="306">
        <f t="shared" ca="1" si="119"/>
        <v>1.1839506258362682</v>
      </c>
      <c r="W294" s="304">
        <f t="shared" ca="1" si="120"/>
        <v>153.29360171738324</v>
      </c>
      <c r="Y294" s="314" t="str">
        <f t="shared" ca="1" si="138"/>
        <v/>
      </c>
      <c r="Z294" s="315" t="str">
        <f t="shared" ca="1" si="139"/>
        <v/>
      </c>
      <c r="AA294" s="316" t="str">
        <f t="shared" ca="1" si="140"/>
        <v/>
      </c>
      <c r="AC294" s="310" t="e">
        <f t="shared" ca="1" si="141"/>
        <v>#N/A</v>
      </c>
      <c r="AD294" s="323" t="e">
        <f t="shared" ca="1" si="142"/>
        <v>#N/A</v>
      </c>
      <c r="AE294" s="324">
        <f t="shared" ca="1" si="121"/>
        <v>340.8071026734425</v>
      </c>
      <c r="AG294" s="306">
        <f t="shared" ca="1" si="143"/>
        <v>52.746684383748189</v>
      </c>
      <c r="AH294" s="304">
        <f t="shared" ca="1" si="144"/>
        <v>62.494849535024073</v>
      </c>
    </row>
    <row r="295" spans="1:34" x14ac:dyDescent="0.2">
      <c r="A295" s="347">
        <f t="shared" ca="1" si="122"/>
        <v>0.01</v>
      </c>
      <c r="B295" s="304">
        <f t="shared" ca="1" si="123"/>
        <v>2.9099999999999819</v>
      </c>
      <c r="D295" s="306">
        <f t="shared" ca="1" si="124"/>
        <v>6.9878590684380555</v>
      </c>
      <c r="E295" s="307">
        <f t="shared" ca="1" si="125"/>
        <v>52.104534988609359</v>
      </c>
      <c r="F295" s="304">
        <f t="shared" ca="1" si="126"/>
        <v>52.571025677073955</v>
      </c>
      <c r="G295" s="306">
        <f t="shared" ca="1" si="127"/>
        <v>24.889246933769321</v>
      </c>
      <c r="H295" s="307">
        <f t="shared" ca="1" si="128"/>
        <v>220.42812055319294</v>
      </c>
      <c r="I295" s="304">
        <f t="shared" ca="1" si="129"/>
        <v>221.82883253432837</v>
      </c>
      <c r="J295" s="306">
        <f t="shared" ca="1" si="130"/>
        <v>36.495150750443365</v>
      </c>
      <c r="K295" s="307">
        <f t="shared" ca="1" si="131"/>
        <v>343.00877865222498</v>
      </c>
      <c r="L295" s="304">
        <f t="shared" ca="1" si="116"/>
        <v>344.94480465835204</v>
      </c>
      <c r="M295" s="306">
        <f t="shared" ca="1" si="132"/>
        <v>1.458359336250322</v>
      </c>
      <c r="N295" s="304">
        <f t="shared" ca="1" si="133"/>
        <v>83.557834980643534</v>
      </c>
      <c r="P295" s="310">
        <f t="shared" ca="1" si="134"/>
        <v>10</v>
      </c>
      <c r="Q295" s="304">
        <f t="shared" ca="1" si="135"/>
        <v>753.42857142857383</v>
      </c>
      <c r="R295" s="306">
        <f t="shared" ca="1" si="136"/>
        <v>0.37741667769735349</v>
      </c>
      <c r="S295" s="307">
        <f t="shared" ca="1" si="137"/>
        <v>9.6318066068116703</v>
      </c>
      <c r="T295" s="304">
        <f t="shared" ca="1" si="117"/>
        <v>94.488022812822493</v>
      </c>
      <c r="U295" s="311">
        <f t="shared" ca="1" si="118"/>
        <v>0</v>
      </c>
      <c r="V295" s="306">
        <f t="shared" ca="1" si="119"/>
        <v>1.183689910777612</v>
      </c>
      <c r="W295" s="304">
        <f t="shared" ca="1" si="120"/>
        <v>153.98869431418862</v>
      </c>
      <c r="Y295" s="314" t="str">
        <f t="shared" ca="1" si="138"/>
        <v/>
      </c>
      <c r="Z295" s="315" t="str">
        <f t="shared" ca="1" si="139"/>
        <v/>
      </c>
      <c r="AA295" s="316" t="str">
        <f t="shared" ca="1" si="140"/>
        <v/>
      </c>
      <c r="AC295" s="310" t="e">
        <f t="shared" ca="1" si="141"/>
        <v>#N/A</v>
      </c>
      <c r="AD295" s="323" t="e">
        <f t="shared" ca="1" si="142"/>
        <v>#N/A</v>
      </c>
      <c r="AE295" s="324">
        <f t="shared" ca="1" si="121"/>
        <v>343.00877865222498</v>
      </c>
      <c r="AG295" s="306">
        <f t="shared" ca="1" si="143"/>
        <v>52.559511973481364</v>
      </c>
      <c r="AH295" s="304">
        <f t="shared" ca="1" si="144"/>
        <v>62.307622464800282</v>
      </c>
    </row>
    <row r="296" spans="1:34" x14ac:dyDescent="0.2">
      <c r="A296" s="347">
        <f t="shared" ca="1" si="122"/>
        <v>0.01</v>
      </c>
      <c r="B296" s="304">
        <f t="shared" ca="1" si="123"/>
        <v>2.9199999999999817</v>
      </c>
      <c r="D296" s="306">
        <f t="shared" ca="1" si="124"/>
        <v>6.9699161453713003</v>
      </c>
      <c r="E296" s="307">
        <f t="shared" ca="1" si="125"/>
        <v>51.918083634906459</v>
      </c>
      <c r="F296" s="304">
        <f t="shared" ca="1" si="126"/>
        <v>52.383844259415035</v>
      </c>
      <c r="G296" s="306">
        <f t="shared" ca="1" si="127"/>
        <v>24.958946095223034</v>
      </c>
      <c r="H296" s="307">
        <f t="shared" ca="1" si="128"/>
        <v>220.94730138954199</v>
      </c>
      <c r="I296" s="304">
        <f t="shared" ca="1" si="129"/>
        <v>222.35255559922254</v>
      </c>
      <c r="J296" s="306">
        <f t="shared" ca="1" si="130"/>
        <v>36.744391715588328</v>
      </c>
      <c r="K296" s="307">
        <f t="shared" ca="1" si="131"/>
        <v>345.21565576193865</v>
      </c>
      <c r="L296" s="304">
        <f t="shared" ca="1" si="116"/>
        <v>347.16566550523675</v>
      </c>
      <c r="M296" s="306">
        <f t="shared" ca="1" si="132"/>
        <v>1.4583098344897638</v>
      </c>
      <c r="N296" s="304">
        <f t="shared" ca="1" si="133"/>
        <v>83.554998738685086</v>
      </c>
      <c r="P296" s="310">
        <f t="shared" ca="1" si="134"/>
        <v>10</v>
      </c>
      <c r="Q296" s="304">
        <f t="shared" ca="1" si="135"/>
        <v>752.08571428571679</v>
      </c>
      <c r="R296" s="306">
        <f t="shared" ca="1" si="136"/>
        <v>0.37674399723274316</v>
      </c>
      <c r="S296" s="307">
        <f t="shared" ca="1" si="137"/>
        <v>9.6280391668393435</v>
      </c>
      <c r="T296" s="304">
        <f t="shared" ca="1" si="117"/>
        <v>94.451064226693958</v>
      </c>
      <c r="U296" s="311">
        <f t="shared" ca="1" si="118"/>
        <v>0</v>
      </c>
      <c r="V296" s="306">
        <f t="shared" ca="1" si="119"/>
        <v>1.183428636445679</v>
      </c>
      <c r="W296" s="304">
        <f t="shared" ca="1" si="120"/>
        <v>154.68251629455605</v>
      </c>
      <c r="Y296" s="314" t="str">
        <f t="shared" ca="1" si="138"/>
        <v/>
      </c>
      <c r="Z296" s="315" t="str">
        <f t="shared" ca="1" si="139"/>
        <v/>
      </c>
      <c r="AA296" s="316" t="str">
        <f t="shared" ca="1" si="140"/>
        <v/>
      </c>
      <c r="AC296" s="310" t="e">
        <f t="shared" ca="1" si="141"/>
        <v>#N/A</v>
      </c>
      <c r="AD296" s="323" t="e">
        <f t="shared" ca="1" si="142"/>
        <v>#N/A</v>
      </c>
      <c r="AE296" s="324">
        <f t="shared" ca="1" si="121"/>
        <v>345.21565576193865</v>
      </c>
      <c r="AG296" s="306">
        <f t="shared" ca="1" si="143"/>
        <v>52.372279246512605</v>
      </c>
      <c r="AH296" s="304">
        <f t="shared" ca="1" si="144"/>
        <v>62.120335159362384</v>
      </c>
    </row>
    <row r="297" spans="1:34" x14ac:dyDescent="0.2">
      <c r="A297" s="347">
        <f t="shared" ca="1" si="122"/>
        <v>0.01</v>
      </c>
      <c r="B297" s="304">
        <f t="shared" ca="1" si="123"/>
        <v>2.9299999999999815</v>
      </c>
      <c r="D297" s="306">
        <f t="shared" ca="1" si="124"/>
        <v>6.9519423951496728</v>
      </c>
      <c r="E297" s="307">
        <f t="shared" ca="1" si="125"/>
        <v>51.731577347204173</v>
      </c>
      <c r="F297" s="304">
        <f t="shared" ca="1" si="126"/>
        <v>52.196605233436848</v>
      </c>
      <c r="G297" s="306">
        <f t="shared" ca="1" si="127"/>
        <v>25.028465519174532</v>
      </c>
      <c r="H297" s="307">
        <f t="shared" ca="1" si="128"/>
        <v>221.46461716301403</v>
      </c>
      <c r="I297" s="304">
        <f t="shared" ca="1" si="129"/>
        <v>222.87440575670612</v>
      </c>
      <c r="J297" s="306">
        <f t="shared" ca="1" si="130"/>
        <v>36.994328773660314</v>
      </c>
      <c r="K297" s="307">
        <f t="shared" ca="1" si="131"/>
        <v>347.42771535470143</v>
      </c>
      <c r="L297" s="304">
        <f t="shared" ca="1" si="116"/>
        <v>349.39175399256504</v>
      </c>
      <c r="M297" s="306">
        <f t="shared" ca="1" si="132"/>
        <v>1.4582604269843344</v>
      </c>
      <c r="N297" s="304">
        <f t="shared" ca="1" si="133"/>
        <v>83.552167897147712</v>
      </c>
      <c r="P297" s="310">
        <f t="shared" ca="1" si="134"/>
        <v>10</v>
      </c>
      <c r="Q297" s="304">
        <f t="shared" ca="1" si="135"/>
        <v>750.74285714285963</v>
      </c>
      <c r="R297" s="306">
        <f t="shared" ca="1" si="136"/>
        <v>0.37607131676813277</v>
      </c>
      <c r="S297" s="307">
        <f t="shared" ca="1" si="137"/>
        <v>9.6242784536716623</v>
      </c>
      <c r="T297" s="304">
        <f t="shared" ca="1" si="117"/>
        <v>94.414171630519007</v>
      </c>
      <c r="U297" s="311">
        <f t="shared" ca="1" si="118"/>
        <v>0</v>
      </c>
      <c r="V297" s="306">
        <f t="shared" ca="1" si="119"/>
        <v>1.1831668054298243</v>
      </c>
      <c r="W297" s="304">
        <f t="shared" ca="1" si="120"/>
        <v>155.37504833554163</v>
      </c>
      <c r="Y297" s="314" t="str">
        <f t="shared" ca="1" si="138"/>
        <v/>
      </c>
      <c r="Z297" s="315" t="str">
        <f t="shared" ca="1" si="139"/>
        <v/>
      </c>
      <c r="AA297" s="316" t="str">
        <f t="shared" ca="1" si="140"/>
        <v/>
      </c>
      <c r="AC297" s="310" t="e">
        <f t="shared" ca="1" si="141"/>
        <v>#N/A</v>
      </c>
      <c r="AD297" s="323" t="e">
        <f t="shared" ca="1" si="142"/>
        <v>#N/A</v>
      </c>
      <c r="AE297" s="324">
        <f t="shared" ca="1" si="121"/>
        <v>347.42771535470143</v>
      </c>
      <c r="AG297" s="306">
        <f t="shared" ca="1" si="143"/>
        <v>52.184988545404124</v>
      </c>
      <c r="AH297" s="304">
        <f t="shared" ca="1" si="144"/>
        <v>61.932989960500002</v>
      </c>
    </row>
    <row r="298" spans="1:34" x14ac:dyDescent="0.2">
      <c r="A298" s="347">
        <f t="shared" ca="1" si="122"/>
        <v>0.01</v>
      </c>
      <c r="B298" s="304">
        <f t="shared" ca="1" si="123"/>
        <v>2.9399999999999813</v>
      </c>
      <c r="D298" s="306">
        <f t="shared" ca="1" si="124"/>
        <v>6.9339381749636937</v>
      </c>
      <c r="E298" s="307">
        <f t="shared" ca="1" si="125"/>
        <v>51.545018435864165</v>
      </c>
      <c r="F298" s="304">
        <f t="shared" ca="1" si="126"/>
        <v>52.00931093725233</v>
      </c>
      <c r="G298" s="306">
        <f t="shared" ca="1" si="127"/>
        <v>25.097804900924167</v>
      </c>
      <c r="H298" s="307">
        <f t="shared" ca="1" si="128"/>
        <v>221.98006734737265</v>
      </c>
      <c r="I298" s="304">
        <f t="shared" ca="1" si="129"/>
        <v>223.39438245038514</v>
      </c>
      <c r="J298" s="306">
        <f t="shared" ca="1" si="130"/>
        <v>37.244960125760805</v>
      </c>
      <c r="K298" s="307">
        <f t="shared" ca="1" si="131"/>
        <v>349.64493877725334</v>
      </c>
      <c r="L298" s="304">
        <f t="shared" ca="1" si="116"/>
        <v>351.62305138787298</v>
      </c>
      <c r="M298" s="306">
        <f t="shared" ca="1" si="132"/>
        <v>1.458211112921364</v>
      </c>
      <c r="N298" s="304">
        <f t="shared" ca="1" si="133"/>
        <v>83.549342409468863</v>
      </c>
      <c r="P298" s="310">
        <f t="shared" ca="1" si="134"/>
        <v>10</v>
      </c>
      <c r="Q298" s="304">
        <f t="shared" ca="1" si="135"/>
        <v>749.40000000000248</v>
      </c>
      <c r="R298" s="306">
        <f t="shared" ca="1" si="136"/>
        <v>0.37539863630352238</v>
      </c>
      <c r="S298" s="307">
        <f t="shared" ca="1" si="137"/>
        <v>9.620524467308627</v>
      </c>
      <c r="T298" s="304">
        <f t="shared" ca="1" si="117"/>
        <v>94.377345024297639</v>
      </c>
      <c r="U298" s="311">
        <f t="shared" ca="1" si="118"/>
        <v>0</v>
      </c>
      <c r="V298" s="306">
        <f t="shared" ca="1" si="119"/>
        <v>1.1829044203188079</v>
      </c>
      <c r="W298" s="304">
        <f t="shared" ca="1" si="120"/>
        <v>156.06627123085687</v>
      </c>
      <c r="Y298" s="314" t="str">
        <f t="shared" ca="1" si="138"/>
        <v/>
      </c>
      <c r="Z298" s="315" t="str">
        <f t="shared" ca="1" si="139"/>
        <v/>
      </c>
      <c r="AA298" s="316" t="str">
        <f t="shared" ca="1" si="140"/>
        <v/>
      </c>
      <c r="AC298" s="310" t="e">
        <f t="shared" ca="1" si="141"/>
        <v>#N/A</v>
      </c>
      <c r="AD298" s="323" t="e">
        <f t="shared" ca="1" si="142"/>
        <v>#N/A</v>
      </c>
      <c r="AE298" s="324">
        <f t="shared" ca="1" si="121"/>
        <v>349.64493877725334</v>
      </c>
      <c r="AG298" s="306">
        <f t="shared" ca="1" si="143"/>
        <v>51.997642204524965</v>
      </c>
      <c r="AH298" s="304">
        <f t="shared" ca="1" si="144"/>
        <v>61.745589201816273</v>
      </c>
    </row>
    <row r="299" spans="1:34" x14ac:dyDescent="0.2">
      <c r="A299" s="347">
        <f t="shared" ca="1" si="122"/>
        <v>0.01</v>
      </c>
      <c r="B299" s="304">
        <f t="shared" ca="1" si="123"/>
        <v>2.9499999999999811</v>
      </c>
      <c r="D299" s="306">
        <f t="shared" ca="1" si="124"/>
        <v>6.9159038404866493</v>
      </c>
      <c r="E299" s="307">
        <f t="shared" ca="1" si="125"/>
        <v>51.358409203095313</v>
      </c>
      <c r="F299" s="304">
        <f t="shared" ca="1" si="126"/>
        <v>51.821963700765366</v>
      </c>
      <c r="G299" s="306">
        <f t="shared" ca="1" si="127"/>
        <v>25.166963939329033</v>
      </c>
      <c r="H299" s="307">
        <f t="shared" ca="1" si="128"/>
        <v>222.49365143940361</v>
      </c>
      <c r="I299" s="304">
        <f t="shared" ca="1" si="129"/>
        <v>223.91248514712686</v>
      </c>
      <c r="J299" s="306">
        <f t="shared" ca="1" si="130"/>
        <v>37.496283969962072</v>
      </c>
      <c r="K299" s="307">
        <f t="shared" ca="1" si="131"/>
        <v>351.86730737118722</v>
      </c>
      <c r="L299" s="304">
        <f t="shared" ca="1" si="116"/>
        <v>353.85953895324849</v>
      </c>
      <c r="M299" s="306">
        <f t="shared" ca="1" si="132"/>
        <v>1.4581618914957186</v>
      </c>
      <c r="N299" s="304">
        <f t="shared" ca="1" si="133"/>
        <v>83.546522229517763</v>
      </c>
      <c r="P299" s="310">
        <f t="shared" ca="1" si="134"/>
        <v>10</v>
      </c>
      <c r="Q299" s="304">
        <f t="shared" ca="1" si="135"/>
        <v>748.05714285714544</v>
      </c>
      <c r="R299" s="306">
        <f t="shared" ca="1" si="136"/>
        <v>0.37472595583891205</v>
      </c>
      <c r="S299" s="307">
        <f t="shared" ca="1" si="137"/>
        <v>9.6167772077502374</v>
      </c>
      <c r="T299" s="304">
        <f t="shared" ca="1" si="117"/>
        <v>94.340584408029827</v>
      </c>
      <c r="U299" s="311">
        <f t="shared" ca="1" si="118"/>
        <v>0</v>
      </c>
      <c r="V299" s="306">
        <f t="shared" ca="1" si="119"/>
        <v>1.1826414837007524</v>
      </c>
      <c r="W299" s="304">
        <f t="shared" ca="1" si="120"/>
        <v>156.75616589116146</v>
      </c>
      <c r="Y299" s="314" t="str">
        <f t="shared" ca="1" si="138"/>
        <v/>
      </c>
      <c r="Z299" s="315" t="str">
        <f t="shared" ca="1" si="139"/>
        <v/>
      </c>
      <c r="AA299" s="316" t="str">
        <f t="shared" ca="1" si="140"/>
        <v/>
      </c>
      <c r="AC299" s="310" t="e">
        <f t="shared" ca="1" si="141"/>
        <v>#N/A</v>
      </c>
      <c r="AD299" s="323" t="e">
        <f t="shared" ca="1" si="142"/>
        <v>#N/A</v>
      </c>
      <c r="AE299" s="324">
        <f t="shared" ca="1" si="121"/>
        <v>351.86730737118722</v>
      </c>
      <c r="AG299" s="306">
        <f t="shared" ca="1" si="143"/>
        <v>51.810242549987422</v>
      </c>
      <c r="AH299" s="304">
        <f t="shared" ca="1" si="144"/>
        <v>61.558135208664126</v>
      </c>
    </row>
    <row r="300" spans="1:34" x14ac:dyDescent="0.2">
      <c r="A300" s="347">
        <f t="shared" ca="1" si="122"/>
        <v>0.01</v>
      </c>
      <c r="B300" s="304">
        <f t="shared" ca="1" si="123"/>
        <v>2.9599999999999809</v>
      </c>
      <c r="D300" s="306">
        <f t="shared" ca="1" si="124"/>
        <v>6.89783974587617</v>
      </c>
      <c r="E300" s="307">
        <f t="shared" ca="1" si="125"/>
        <v>51.171751942890623</v>
      </c>
      <c r="F300" s="304">
        <f t="shared" ca="1" si="126"/>
        <v>51.634565845608876</v>
      </c>
      <c r="G300" s="306">
        <f t="shared" ca="1" si="127"/>
        <v>25.235942336787794</v>
      </c>
      <c r="H300" s="307">
        <f t="shared" ca="1" si="128"/>
        <v>223.00536895883252</v>
      </c>
      <c r="I300" s="304">
        <f t="shared" ca="1" si="129"/>
        <v>224.42871333697633</v>
      </c>
      <c r="J300" s="306">
        <f t="shared" ca="1" si="130"/>
        <v>37.748298501342653</v>
      </c>
      <c r="K300" s="307">
        <f t="shared" ca="1" si="131"/>
        <v>354.09480247317839</v>
      </c>
      <c r="L300" s="304">
        <f t="shared" ca="1" si="116"/>
        <v>356.10119794556391</v>
      </c>
      <c r="M300" s="306">
        <f t="shared" ca="1" si="132"/>
        <v>1.4581127619096994</v>
      </c>
      <c r="N300" s="304">
        <f t="shared" ca="1" si="133"/>
        <v>83.543707311589642</v>
      </c>
      <c r="P300" s="310">
        <f t="shared" ca="1" si="134"/>
        <v>10</v>
      </c>
      <c r="Q300" s="304">
        <f t="shared" ca="1" si="135"/>
        <v>746.71428571428828</v>
      </c>
      <c r="R300" s="306">
        <f t="shared" ca="1" si="136"/>
        <v>0.37405327537430166</v>
      </c>
      <c r="S300" s="307">
        <f t="shared" ca="1" si="137"/>
        <v>9.6130366749964935</v>
      </c>
      <c r="T300" s="304">
        <f t="shared" ca="1" si="117"/>
        <v>94.303889781715611</v>
      </c>
      <c r="U300" s="311">
        <f t="shared" ca="1" si="118"/>
        <v>0</v>
      </c>
      <c r="V300" s="306">
        <f t="shared" ca="1" si="119"/>
        <v>1.1823779981631082</v>
      </c>
      <c r="W300" s="304">
        <f t="shared" ca="1" si="120"/>
        <v>157.44471334434763</v>
      </c>
      <c r="Y300" s="314" t="str">
        <f t="shared" ca="1" si="138"/>
        <v/>
      </c>
      <c r="Z300" s="315" t="str">
        <f t="shared" ca="1" si="139"/>
        <v/>
      </c>
      <c r="AA300" s="316" t="str">
        <f t="shared" ca="1" si="140"/>
        <v/>
      </c>
      <c r="AC300" s="310" t="e">
        <f t="shared" ca="1" si="141"/>
        <v>#N/A</v>
      </c>
      <c r="AD300" s="323" t="e">
        <f t="shared" ca="1" si="142"/>
        <v>#N/A</v>
      </c>
      <c r="AE300" s="324">
        <f t="shared" ca="1" si="121"/>
        <v>354.09480247317839</v>
      </c>
      <c r="AG300" s="306">
        <f t="shared" ca="1" si="143"/>
        <v>51.622791899584193</v>
      </c>
      <c r="AH300" s="304">
        <f t="shared" ca="1" si="144"/>
        <v>61.370630298083412</v>
      </c>
    </row>
    <row r="301" spans="1:34" x14ac:dyDescent="0.2">
      <c r="A301" s="347">
        <f t="shared" ca="1" si="122"/>
        <v>0.01</v>
      </c>
      <c r="B301" s="304">
        <f t="shared" ca="1" si="123"/>
        <v>2.9699999999999807</v>
      </c>
      <c r="D301" s="306">
        <f t="shared" ca="1" si="124"/>
        <v>6.8797462437758803</v>
      </c>
      <c r="E301" s="307">
        <f t="shared" ca="1" si="125"/>
        <v>50.985048940964909</v>
      </c>
      <c r="F301" s="304">
        <f t="shared" ca="1" si="126"/>
        <v>51.447119685083784</v>
      </c>
      <c r="G301" s="306">
        <f t="shared" ca="1" si="127"/>
        <v>25.304739799225551</v>
      </c>
      <c r="H301" s="307">
        <f t="shared" ca="1" si="128"/>
        <v>223.51521944824216</v>
      </c>
      <c r="I301" s="304">
        <f t="shared" ca="1" si="129"/>
        <v>224.94306653307268</v>
      </c>
      <c r="J301" s="306">
        <f t="shared" ca="1" si="130"/>
        <v>38.001001912022723</v>
      </c>
      <c r="K301" s="307">
        <f t="shared" ca="1" si="131"/>
        <v>356.32740541521378</v>
      </c>
      <c r="L301" s="304">
        <f t="shared" ca="1" si="116"/>
        <v>358.3480096167072</v>
      </c>
      <c r="M301" s="306">
        <f t="shared" ca="1" si="132"/>
        <v>1.4580637233729423</v>
      </c>
      <c r="N301" s="304">
        <f t="shared" ca="1" si="133"/>
        <v>83.540897610399966</v>
      </c>
      <c r="P301" s="310">
        <f t="shared" ca="1" si="134"/>
        <v>10</v>
      </c>
      <c r="Q301" s="304">
        <f t="shared" ca="1" si="135"/>
        <v>745.37142857143112</v>
      </c>
      <c r="R301" s="306">
        <f t="shared" ca="1" si="136"/>
        <v>0.37338059490969128</v>
      </c>
      <c r="S301" s="307">
        <f t="shared" ca="1" si="137"/>
        <v>9.6093028690473972</v>
      </c>
      <c r="T301" s="304">
        <f t="shared" ca="1" si="117"/>
        <v>94.267261145354965</v>
      </c>
      <c r="U301" s="311">
        <f t="shared" ca="1" si="118"/>
        <v>0</v>
      </c>
      <c r="V301" s="306">
        <f t="shared" ca="1" si="119"/>
        <v>1.1821139662926115</v>
      </c>
      <c r="W301" s="304">
        <f t="shared" ca="1" si="120"/>
        <v>158.13189473581559</v>
      </c>
      <c r="Y301" s="314" t="str">
        <f t="shared" ca="1" si="138"/>
        <v/>
      </c>
      <c r="Z301" s="315" t="str">
        <f t="shared" ca="1" si="139"/>
        <v/>
      </c>
      <c r="AA301" s="316" t="str">
        <f t="shared" ca="1" si="140"/>
        <v/>
      </c>
      <c r="AC301" s="310" t="e">
        <f t="shared" ca="1" si="141"/>
        <v>#N/A</v>
      </c>
      <c r="AD301" s="323" t="e">
        <f t="shared" ca="1" si="142"/>
        <v>#N/A</v>
      </c>
      <c r="AE301" s="324">
        <f t="shared" ca="1" si="121"/>
        <v>356.32740541521378</v>
      </c>
      <c r="AG301" s="306">
        <f t="shared" ca="1" si="143"/>
        <v>51.435292562726573</v>
      </c>
      <c r="AH301" s="304">
        <f t="shared" ca="1" si="144"/>
        <v>61.183076778738965</v>
      </c>
    </row>
    <row r="302" spans="1:34" x14ac:dyDescent="0.2">
      <c r="A302" s="347">
        <f t="shared" ca="1" si="122"/>
        <v>0.01</v>
      </c>
      <c r="B302" s="304">
        <f t="shared" ca="1" si="123"/>
        <v>2.9799999999999804</v>
      </c>
      <c r="D302" s="306">
        <f t="shared" ca="1" si="124"/>
        <v>6.861623685316955</v>
      </c>
      <c r="E302" s="307">
        <f t="shared" ca="1" si="125"/>
        <v>50.798302474693358</v>
      </c>
      <c r="F302" s="304">
        <f t="shared" ca="1" si="126"/>
        <v>51.259627524098725</v>
      </c>
      <c r="G302" s="306">
        <f t="shared" ca="1" si="127"/>
        <v>25.373356036078722</v>
      </c>
      <c r="H302" s="307">
        <f t="shared" ca="1" si="128"/>
        <v>224.02320247298908</v>
      </c>
      <c r="I302" s="304">
        <f t="shared" ca="1" si="129"/>
        <v>225.45554427156472</v>
      </c>
      <c r="J302" s="306">
        <f t="shared" ca="1" si="130"/>
        <v>38.254392391199247</v>
      </c>
      <c r="K302" s="307">
        <f t="shared" ca="1" si="131"/>
        <v>358.56509752481992</v>
      </c>
      <c r="L302" s="304">
        <f t="shared" ca="1" si="116"/>
        <v>360.59995521381234</v>
      </c>
      <c r="M302" s="306">
        <f t="shared" ca="1" si="132"/>
        <v>1.458014775102322</v>
      </c>
      <c r="N302" s="304">
        <f t="shared" ca="1" si="133"/>
        <v>83.538093081078955</v>
      </c>
      <c r="P302" s="310">
        <f t="shared" ca="1" si="134"/>
        <v>10</v>
      </c>
      <c r="Q302" s="304">
        <f t="shared" ca="1" si="135"/>
        <v>744.02857142857408</v>
      </c>
      <c r="R302" s="306">
        <f t="shared" ca="1" si="136"/>
        <v>0.372707914445081</v>
      </c>
      <c r="S302" s="307">
        <f t="shared" ca="1" si="137"/>
        <v>9.6055757899029466</v>
      </c>
      <c r="T302" s="304">
        <f t="shared" ca="1" si="117"/>
        <v>94.230698498947916</v>
      </c>
      <c r="U302" s="311">
        <f t="shared" ca="1" si="118"/>
        <v>0</v>
      </c>
      <c r="V302" s="306">
        <f t="shared" ca="1" si="119"/>
        <v>1.1818493906752487</v>
      </c>
      <c r="W302" s="304">
        <f t="shared" ca="1" si="120"/>
        <v>158.81769132874103</v>
      </c>
      <c r="Y302" s="314" t="str">
        <f t="shared" ca="1" si="138"/>
        <v/>
      </c>
      <c r="Z302" s="315" t="str">
        <f t="shared" ca="1" si="139"/>
        <v/>
      </c>
      <c r="AA302" s="316" t="str">
        <f t="shared" ca="1" si="140"/>
        <v/>
      </c>
      <c r="AC302" s="310" t="e">
        <f t="shared" ca="1" si="141"/>
        <v>#N/A</v>
      </c>
      <c r="AD302" s="323" t="e">
        <f t="shared" ca="1" si="142"/>
        <v>#N/A</v>
      </c>
      <c r="AE302" s="324">
        <f t="shared" ca="1" si="121"/>
        <v>358.56509752481992</v>
      </c>
      <c r="AG302" s="306">
        <f t="shared" ca="1" si="143"/>
        <v>51.247746840383357</v>
      </c>
      <c r="AH302" s="304">
        <f t="shared" ca="1" si="144"/>
        <v>60.995476950859434</v>
      </c>
    </row>
    <row r="303" spans="1:34" x14ac:dyDescent="0.2">
      <c r="A303" s="347">
        <f t="shared" ca="1" si="122"/>
        <v>0.01</v>
      </c>
      <c r="B303" s="304">
        <f t="shared" ca="1" si="123"/>
        <v>2.9899999999999802</v>
      </c>
      <c r="D303" s="306">
        <f t="shared" ca="1" si="124"/>
        <v>6.8434724201194781</v>
      </c>
      <c r="E303" s="307">
        <f t="shared" ca="1" si="125"/>
        <v>50.611514813050796</v>
      </c>
      <c r="F303" s="304">
        <f t="shared" ca="1" si="126"/>
        <v>51.072091659110612</v>
      </c>
      <c r="G303" s="306">
        <f t="shared" ca="1" si="127"/>
        <v>25.441790760279915</v>
      </c>
      <c r="H303" s="307">
        <f t="shared" ca="1" si="128"/>
        <v>224.52931762111959</v>
      </c>
      <c r="I303" s="304">
        <f t="shared" ca="1" si="129"/>
        <v>225.96614611152589</v>
      </c>
      <c r="J303" s="306">
        <f t="shared" ca="1" si="130"/>
        <v>38.508468125181039</v>
      </c>
      <c r="K303" s="307">
        <f t="shared" ca="1" si="131"/>
        <v>360.80786012529046</v>
      </c>
      <c r="L303" s="304">
        <f t="shared" ca="1" si="116"/>
        <v>362.85701597948912</v>
      </c>
      <c r="M303" s="306">
        <f t="shared" ca="1" si="132"/>
        <v>1.4579659163218546</v>
      </c>
      <c r="N303" s="304">
        <f t="shared" ca="1" si="133"/>
        <v>83.535293679166017</v>
      </c>
      <c r="P303" s="310">
        <f t="shared" ca="1" si="134"/>
        <v>10</v>
      </c>
      <c r="Q303" s="304">
        <f t="shared" ca="1" si="135"/>
        <v>742.68571428571693</v>
      </c>
      <c r="R303" s="306">
        <f t="shared" ca="1" si="136"/>
        <v>0.37203523398047061</v>
      </c>
      <c r="S303" s="307">
        <f t="shared" ca="1" si="137"/>
        <v>9.6018554375631417</v>
      </c>
      <c r="T303" s="304">
        <f t="shared" ca="1" si="117"/>
        <v>94.194201842494422</v>
      </c>
      <c r="U303" s="311">
        <f t="shared" ca="1" si="118"/>
        <v>0</v>
      </c>
      <c r="V303" s="306">
        <f t="shared" ca="1" si="119"/>
        <v>1.1815842738962168</v>
      </c>
      <c r="W303" s="304">
        <f t="shared" ca="1" si="120"/>
        <v>159.50208450433377</v>
      </c>
      <c r="Y303" s="314" t="str">
        <f t="shared" ca="1" si="138"/>
        <v/>
      </c>
      <c r="Z303" s="315" t="str">
        <f t="shared" ca="1" si="139"/>
        <v/>
      </c>
      <c r="AA303" s="316" t="str">
        <f t="shared" ca="1" si="140"/>
        <v/>
      </c>
      <c r="AC303" s="310" t="e">
        <f t="shared" ca="1" si="141"/>
        <v>#N/A</v>
      </c>
      <c r="AD303" s="323" t="e">
        <f t="shared" ca="1" si="142"/>
        <v>#N/A</v>
      </c>
      <c r="AE303" s="324">
        <f t="shared" ca="1" si="121"/>
        <v>360.80786012529046</v>
      </c>
      <c r="AG303" s="306">
        <f t="shared" ca="1" si="143"/>
        <v>51.060157025020445</v>
      </c>
      <c r="AH303" s="304">
        <f t="shared" ca="1" si="144"/>
        <v>60.807833106176815</v>
      </c>
    </row>
    <row r="304" spans="1:34" x14ac:dyDescent="0.2">
      <c r="A304" s="347">
        <f t="shared" ca="1" si="122"/>
        <v>0.01</v>
      </c>
      <c r="B304" s="304">
        <f t="shared" ca="1" si="123"/>
        <v>2.99999999999998</v>
      </c>
      <c r="D304" s="306">
        <f t="shared" ca="1" si="124"/>
        <v>6.8252927962939083</v>
      </c>
      <c r="E304" s="307">
        <f t="shared" ca="1" si="125"/>
        <v>50.424688216552028</v>
      </c>
      <c r="F304" s="304">
        <f t="shared" ca="1" si="126"/>
        <v>50.884514378066164</v>
      </c>
      <c r="G304" s="306">
        <f t="shared" ca="1" si="127"/>
        <v>25.510043688242853</v>
      </c>
      <c r="H304" s="307">
        <f t="shared" ca="1" si="128"/>
        <v>225.03356450328511</v>
      </c>
      <c r="I304" s="304">
        <f t="shared" ca="1" si="129"/>
        <v>226.47487163486866</v>
      </c>
      <c r="J304" s="306">
        <f t="shared" ca="1" si="130"/>
        <v>38.763227297423654</v>
      </c>
      <c r="K304" s="307">
        <f t="shared" ca="1" si="131"/>
        <v>363.05567453591249</v>
      </c>
      <c r="L304" s="304">
        <f t="shared" ca="1" si="116"/>
        <v>365.11917315205199</v>
      </c>
      <c r="M304" s="306">
        <f t="shared" ca="1" si="132"/>
        <v>1.4579171462626039</v>
      </c>
      <c r="N304" s="304">
        <f t="shared" ca="1" si="133"/>
        <v>83.532499360604348</v>
      </c>
      <c r="P304" s="310">
        <f t="shared" ca="1" si="134"/>
        <v>10</v>
      </c>
      <c r="Q304" s="304">
        <f t="shared" ca="1" si="135"/>
        <v>741.34285714285988</v>
      </c>
      <c r="R304" s="306">
        <f t="shared" ca="1" si="136"/>
        <v>0.37136255351586028</v>
      </c>
      <c r="S304" s="307">
        <f t="shared" ca="1" si="137"/>
        <v>9.5981418120279827</v>
      </c>
      <c r="T304" s="304">
        <f t="shared" ca="1" si="117"/>
        <v>94.157771175994512</v>
      </c>
      <c r="U304" s="311">
        <f t="shared" ca="1" si="118"/>
        <v>0</v>
      </c>
      <c r="V304" s="306">
        <f t="shared" ca="1" si="119"/>
        <v>1.1813186185398838</v>
      </c>
      <c r="W304" s="304">
        <f t="shared" ca="1" si="120"/>
        <v>160.18505576208764</v>
      </c>
      <c r="Y304" s="314" t="str">
        <f t="shared" ca="1" si="138"/>
        <v/>
      </c>
      <c r="Z304" s="315" t="str">
        <f t="shared" ca="1" si="139"/>
        <v/>
      </c>
      <c r="AA304" s="316" t="str">
        <f t="shared" ca="1" si="140"/>
        <v/>
      </c>
      <c r="AC304" s="310">
        <f t="shared" ca="1" si="141"/>
        <v>2.99999999999998</v>
      </c>
      <c r="AD304" s="323">
        <f t="shared" ca="1" si="142"/>
        <v>38.763227297423654</v>
      </c>
      <c r="AE304" s="324">
        <f t="shared" ca="1" si="121"/>
        <v>363.05567453591249</v>
      </c>
      <c r="AG304" s="306">
        <f t="shared" ca="1" si="143"/>
        <v>50.872525400541591</v>
      </c>
      <c r="AH304" s="304">
        <f t="shared" ca="1" si="144"/>
        <v>60.620147527867118</v>
      </c>
    </row>
    <row r="305" spans="1:34" x14ac:dyDescent="0.2">
      <c r="A305" s="347">
        <f t="shared" ca="1" si="122"/>
        <v>0.01</v>
      </c>
      <c r="B305" s="304">
        <f t="shared" ca="1" si="123"/>
        <v>3.0099999999999798</v>
      </c>
      <c r="D305" s="306">
        <f t="shared" ca="1" si="124"/>
        <v>6.8070851604422957</v>
      </c>
      <c r="E305" s="307">
        <f t="shared" ca="1" si="125"/>
        <v>50.237824937192791</v>
      </c>
      <c r="F305" s="304">
        <f t="shared" ca="1" si="126"/>
        <v>50.696897960344117</v>
      </c>
      <c r="G305" s="306">
        <f t="shared" ca="1" si="127"/>
        <v>25.578114539847274</v>
      </c>
      <c r="H305" s="307">
        <f t="shared" ca="1" si="128"/>
        <v>225.53594275265704</v>
      </c>
      <c r="I305" s="304">
        <f t="shared" ca="1" si="129"/>
        <v>226.98172044625827</v>
      </c>
      <c r="J305" s="306">
        <f t="shared" ca="1" si="130"/>
        <v>39.018668088564105</v>
      </c>
      <c r="K305" s="307">
        <f t="shared" ca="1" si="131"/>
        <v>365.3085220721922</v>
      </c>
      <c r="L305" s="304">
        <f t="shared" ca="1" si="116"/>
        <v>367.38640796574782</v>
      </c>
      <c r="M305" s="306">
        <f t="shared" ca="1" si="132"/>
        <v>1.4578684641625888</v>
      </c>
      <c r="N305" s="304">
        <f t="shared" ca="1" si="133"/>
        <v>83.529710081735644</v>
      </c>
      <c r="P305" s="310">
        <f t="shared" ca="1" si="134"/>
        <v>10</v>
      </c>
      <c r="Q305" s="304">
        <f t="shared" ca="1" si="135"/>
        <v>740.00000000000273</v>
      </c>
      <c r="R305" s="306">
        <f t="shared" ca="1" si="136"/>
        <v>0.3706898730512499</v>
      </c>
      <c r="S305" s="307">
        <f t="shared" ca="1" si="137"/>
        <v>9.5944349132974693</v>
      </c>
      <c r="T305" s="304">
        <f t="shared" ca="1" si="117"/>
        <v>94.121406499448184</v>
      </c>
      <c r="U305" s="311">
        <f t="shared" ca="1" si="118"/>
        <v>0</v>
      </c>
      <c r="V305" s="306">
        <f t="shared" ca="1" si="119"/>
        <v>1.1810524271897551</v>
      </c>
      <c r="W305" s="304">
        <f t="shared" ca="1" si="120"/>
        <v>160.86658672002278</v>
      </c>
      <c r="Y305" s="314" t="str">
        <f t="shared" ca="1" si="138"/>
        <v/>
      </c>
      <c r="Z305" s="315" t="str">
        <f t="shared" ca="1" si="139"/>
        <v/>
      </c>
      <c r="AA305" s="316" t="str">
        <f t="shared" ca="1" si="140"/>
        <v/>
      </c>
      <c r="AC305" s="310" t="e">
        <f t="shared" ca="1" si="141"/>
        <v>#N/A</v>
      </c>
      <c r="AD305" s="323" t="e">
        <f t="shared" ca="1" si="142"/>
        <v>#N/A</v>
      </c>
      <c r="AE305" s="324">
        <f t="shared" ca="1" si="121"/>
        <v>365.3085220721922</v>
      </c>
      <c r="AG305" s="306">
        <f t="shared" ca="1" si="143"/>
        <v>50.684854242229669</v>
      </c>
      <c r="AH305" s="304">
        <f t="shared" ca="1" si="144"/>
        <v>60.432422490491533</v>
      </c>
    </row>
    <row r="306" spans="1:34" x14ac:dyDescent="0.2">
      <c r="A306" s="347">
        <f t="shared" ca="1" si="122"/>
        <v>0.01</v>
      </c>
      <c r="B306" s="304">
        <f t="shared" ca="1" si="123"/>
        <v>3.0199999999999796</v>
      </c>
      <c r="D306" s="306">
        <f t="shared" ca="1" si="124"/>
        <v>6.788849857659538</v>
      </c>
      <c r="E306" s="307">
        <f t="shared" ca="1" si="125"/>
        <v>50.050927218391692</v>
      </c>
      <c r="F306" s="304">
        <f t="shared" ca="1" si="126"/>
        <v>50.509244676698408</v>
      </c>
      <c r="G306" s="306">
        <f t="shared" ca="1" si="127"/>
        <v>25.646003038423871</v>
      </c>
      <c r="H306" s="307">
        <f t="shared" ca="1" si="128"/>
        <v>226.03645202484094</v>
      </c>
      <c r="I306" s="304">
        <f t="shared" ca="1" si="129"/>
        <v>227.48669217302594</v>
      </c>
      <c r="J306" s="306">
        <f t="shared" ca="1" si="130"/>
        <v>39.274788676455458</v>
      </c>
      <c r="K306" s="307">
        <f t="shared" ca="1" si="131"/>
        <v>367.56638404607969</v>
      </c>
      <c r="L306" s="304">
        <f t="shared" ca="1" si="116"/>
        <v>369.65870165098283</v>
      </c>
      <c r="M306" s="306">
        <f t="shared" ca="1" si="132"/>
        <v>1.4578198692666915</v>
      </c>
      <c r="N306" s="304">
        <f t="shared" ca="1" si="133"/>
        <v>83.526925799294858</v>
      </c>
      <c r="P306" s="310">
        <f t="shared" ca="1" si="134"/>
        <v>10</v>
      </c>
      <c r="Q306" s="304">
        <f t="shared" ca="1" si="135"/>
        <v>738.65714285714557</v>
      </c>
      <c r="R306" s="306">
        <f t="shared" ca="1" si="136"/>
        <v>0.37001719258663951</v>
      </c>
      <c r="S306" s="307">
        <f t="shared" ca="1" si="137"/>
        <v>9.5907347413716035</v>
      </c>
      <c r="T306" s="304">
        <f t="shared" ca="1" si="117"/>
        <v>94.085107812855441</v>
      </c>
      <c r="U306" s="311">
        <f t="shared" ca="1" si="118"/>
        <v>0</v>
      </c>
      <c r="V306" s="306">
        <f t="shared" ca="1" si="119"/>
        <v>1.1807857024284312</v>
      </c>
      <c r="W306" s="304">
        <f t="shared" ca="1" si="120"/>
        <v>161.54665911491855</v>
      </c>
      <c r="Y306" s="314" t="str">
        <f t="shared" ca="1" si="138"/>
        <v/>
      </c>
      <c r="Z306" s="315" t="str">
        <f t="shared" ca="1" si="139"/>
        <v/>
      </c>
      <c r="AA306" s="316" t="str">
        <f t="shared" ca="1" si="140"/>
        <v/>
      </c>
      <c r="AC306" s="310" t="e">
        <f t="shared" ca="1" si="141"/>
        <v>#N/A</v>
      </c>
      <c r="AD306" s="323" t="e">
        <f t="shared" ca="1" si="142"/>
        <v>#N/A</v>
      </c>
      <c r="AE306" s="324">
        <f t="shared" ca="1" si="121"/>
        <v>367.56638404607969</v>
      </c>
      <c r="AG306" s="306">
        <f t="shared" ca="1" si="143"/>
        <v>50.49714581668897</v>
      </c>
      <c r="AH306" s="304">
        <f t="shared" ca="1" si="144"/>
        <v>60.244660259938655</v>
      </c>
    </row>
    <row r="307" spans="1:34" x14ac:dyDescent="0.2">
      <c r="A307" s="347">
        <f t="shared" ca="1" si="122"/>
        <v>0.01</v>
      </c>
      <c r="B307" s="304">
        <f t="shared" ca="1" si="123"/>
        <v>3.0299999999999794</v>
      </c>
      <c r="D307" s="306">
        <f t="shared" ca="1" si="124"/>
        <v>6.7705872315345097</v>
      </c>
      <c r="E307" s="307">
        <f t="shared" ca="1" si="125"/>
        <v>49.863997294933007</v>
      </c>
      <c r="F307" s="304">
        <f t="shared" ca="1" si="126"/>
        <v>50.321556789202226</v>
      </c>
      <c r="G307" s="306">
        <f t="shared" ca="1" si="127"/>
        <v>25.713708910739214</v>
      </c>
      <c r="H307" s="307">
        <f t="shared" ca="1" si="128"/>
        <v>226.53509199779026</v>
      </c>
      <c r="I307" s="304">
        <f t="shared" ca="1" si="129"/>
        <v>227.98978646508164</v>
      </c>
      <c r="J307" s="306">
        <f t="shared" ca="1" si="130"/>
        <v>39.531587236201275</v>
      </c>
      <c r="K307" s="307">
        <f t="shared" ca="1" si="131"/>
        <v>369.82924176619287</v>
      </c>
      <c r="L307" s="304">
        <f t="shared" ca="1" si="116"/>
        <v>371.93603543454958</v>
      </c>
      <c r="M307" s="306">
        <f t="shared" ca="1" si="132"/>
        <v>1.4577713608265677</v>
      </c>
      <c r="N307" s="304">
        <f t="shared" ca="1" si="133"/>
        <v>83.524146470405</v>
      </c>
      <c r="P307" s="310">
        <f t="shared" ca="1" si="134"/>
        <v>10</v>
      </c>
      <c r="Q307" s="304">
        <f t="shared" ca="1" si="135"/>
        <v>737.31428571428853</v>
      </c>
      <c r="R307" s="306">
        <f t="shared" ca="1" si="136"/>
        <v>0.36934451212202918</v>
      </c>
      <c r="S307" s="307">
        <f t="shared" ca="1" si="137"/>
        <v>9.5870412962503835</v>
      </c>
      <c r="T307" s="304">
        <f t="shared" ca="1" si="117"/>
        <v>94.048875116216266</v>
      </c>
      <c r="U307" s="311">
        <f t="shared" ca="1" si="118"/>
        <v>0</v>
      </c>
      <c r="V307" s="306">
        <f t="shared" ca="1" si="119"/>
        <v>1.1805184468375733</v>
      </c>
      <c r="W307" s="304">
        <f t="shared" ca="1" si="120"/>
        <v>162.22525480253904</v>
      </c>
      <c r="Y307" s="314" t="str">
        <f t="shared" ca="1" si="138"/>
        <v/>
      </c>
      <c r="Z307" s="315" t="str">
        <f t="shared" ca="1" si="139"/>
        <v/>
      </c>
      <c r="AA307" s="316" t="str">
        <f t="shared" ca="1" si="140"/>
        <v/>
      </c>
      <c r="AC307" s="310" t="e">
        <f t="shared" ca="1" si="141"/>
        <v>#N/A</v>
      </c>
      <c r="AD307" s="323" t="e">
        <f t="shared" ca="1" si="142"/>
        <v>#N/A</v>
      </c>
      <c r="AE307" s="324">
        <f t="shared" ca="1" si="121"/>
        <v>369.82924176619287</v>
      </c>
      <c r="AG307" s="306">
        <f t="shared" ca="1" si="143"/>
        <v>50.309402381788288</v>
      </c>
      <c r="AH307" s="304">
        <f t="shared" ca="1" si="144"/>
        <v>60.056863093367525</v>
      </c>
    </row>
    <row r="308" spans="1:34" x14ac:dyDescent="0.2">
      <c r="A308" s="347">
        <f t="shared" ca="1" si="122"/>
        <v>0.01</v>
      </c>
      <c r="B308" s="304">
        <f t="shared" ca="1" si="123"/>
        <v>3.0399999999999792</v>
      </c>
      <c r="D308" s="306">
        <f t="shared" ca="1" si="124"/>
        <v>6.7522976241511916</v>
      </c>
      <c r="E308" s="307">
        <f t="shared" ca="1" si="125"/>
        <v>49.677037392910137</v>
      </c>
      <c r="F308" s="304">
        <f t="shared" ca="1" si="126"/>
        <v>50.133836551192744</v>
      </c>
      <c r="G308" s="306">
        <f t="shared" ca="1" si="127"/>
        <v>25.781231886980727</v>
      </c>
      <c r="H308" s="307">
        <f t="shared" ca="1" si="128"/>
        <v>227.03186237171937</v>
      </c>
      <c r="I308" s="304">
        <f t="shared" ca="1" si="129"/>
        <v>228.49100299482603</v>
      </c>
      <c r="J308" s="306">
        <f t="shared" ca="1" si="130"/>
        <v>39.789061940189875</v>
      </c>
      <c r="K308" s="307">
        <f t="shared" ca="1" si="131"/>
        <v>372.09707653804043</v>
      </c>
      <c r="L308" s="304">
        <f t="shared" ca="1" si="116"/>
        <v>374.21839053985116</v>
      </c>
      <c r="M308" s="306">
        <f t="shared" ca="1" si="132"/>
        <v>1.4577229381005579</v>
      </c>
      <c r="N308" s="304">
        <f t="shared" ca="1" si="133"/>
        <v>83.521372052572119</v>
      </c>
      <c r="P308" s="310">
        <f t="shared" ca="1" si="134"/>
        <v>10</v>
      </c>
      <c r="Q308" s="304">
        <f t="shared" ca="1" si="135"/>
        <v>735.97142857143137</v>
      </c>
      <c r="R308" s="306">
        <f t="shared" ca="1" si="136"/>
        <v>0.36867183165741879</v>
      </c>
      <c r="S308" s="307">
        <f t="shared" ca="1" si="137"/>
        <v>9.5833545779338092</v>
      </c>
      <c r="T308" s="304">
        <f t="shared" ca="1" si="117"/>
        <v>94.012708409530674</v>
      </c>
      <c r="U308" s="311">
        <f t="shared" ca="1" si="118"/>
        <v>0</v>
      </c>
      <c r="V308" s="306">
        <f t="shared" ca="1" si="119"/>
        <v>1.1802506629978655</v>
      </c>
      <c r="W308" s="304">
        <f t="shared" ca="1" si="120"/>
        <v>162.90235575784962</v>
      </c>
      <c r="Y308" s="314" t="str">
        <f t="shared" ca="1" si="138"/>
        <v/>
      </c>
      <c r="Z308" s="315" t="str">
        <f t="shared" ca="1" si="139"/>
        <v/>
      </c>
      <c r="AA308" s="316" t="str">
        <f t="shared" ca="1" si="140"/>
        <v/>
      </c>
      <c r="AC308" s="310" t="e">
        <f t="shared" ca="1" si="141"/>
        <v>#N/A</v>
      </c>
      <c r="AD308" s="323" t="e">
        <f t="shared" ca="1" si="142"/>
        <v>#N/A</v>
      </c>
      <c r="AE308" s="324">
        <f t="shared" ca="1" si="121"/>
        <v>372.09707653804043</v>
      </c>
      <c r="AG308" s="306">
        <f t="shared" ca="1" si="143"/>
        <v>50.121626186604757</v>
      </c>
      <c r="AH308" s="304">
        <f t="shared" ca="1" si="144"/>
        <v>59.869033239151328</v>
      </c>
    </row>
    <row r="309" spans="1:34" x14ac:dyDescent="0.2">
      <c r="A309" s="347">
        <f t="shared" ca="1" si="122"/>
        <v>0.01</v>
      </c>
      <c r="B309" s="304">
        <f t="shared" ca="1" si="123"/>
        <v>3.049999999999979</v>
      </c>
      <c r="D309" s="306">
        <f t="shared" ca="1" si="124"/>
        <v>6.7339813760896901</v>
      </c>
      <c r="E309" s="307">
        <f t="shared" ca="1" si="125"/>
        <v>49.490049729670133</v>
      </c>
      <c r="F309" s="304">
        <f t="shared" ca="1" si="126"/>
        <v>49.946086207216936</v>
      </c>
      <c r="G309" s="306">
        <f t="shared" ca="1" si="127"/>
        <v>25.848571700741623</v>
      </c>
      <c r="H309" s="307">
        <f t="shared" ca="1" si="128"/>
        <v>227.52676286901607</v>
      </c>
      <c r="I309" s="304">
        <f t="shared" ca="1" si="129"/>
        <v>228.99034145706199</v>
      </c>
      <c r="J309" s="306">
        <f t="shared" ca="1" si="130"/>
        <v>40.047210958128488</v>
      </c>
      <c r="K309" s="307">
        <f t="shared" ca="1" si="131"/>
        <v>374.36986966424411</v>
      </c>
      <c r="L309" s="304">
        <f t="shared" ca="1" si="116"/>
        <v>376.50574818712658</v>
      </c>
      <c r="M309" s="306">
        <f t="shared" ca="1" si="132"/>
        <v>1.457674600353601</v>
      </c>
      <c r="N309" s="304">
        <f t="shared" ca="1" si="133"/>
        <v>83.518602503680313</v>
      </c>
      <c r="P309" s="310">
        <f t="shared" ca="1" si="134"/>
        <v>10</v>
      </c>
      <c r="Q309" s="304">
        <f t="shared" ca="1" si="135"/>
        <v>734.62857142857422</v>
      </c>
      <c r="R309" s="306">
        <f t="shared" ca="1" si="136"/>
        <v>0.3679991511928084</v>
      </c>
      <c r="S309" s="307">
        <f t="shared" ca="1" si="137"/>
        <v>9.5796745864218806</v>
      </c>
      <c r="T309" s="304">
        <f t="shared" ca="1" si="117"/>
        <v>93.976607692798652</v>
      </c>
      <c r="U309" s="311">
        <f t="shared" ca="1" si="118"/>
        <v>0</v>
      </c>
      <c r="V309" s="306">
        <f t="shared" ca="1" si="119"/>
        <v>1.1799823534889762</v>
      </c>
      <c r="W309" s="304">
        <f t="shared" ca="1" si="120"/>
        <v>163.57794407522502</v>
      </c>
      <c r="Y309" s="314" t="str">
        <f t="shared" ca="1" si="138"/>
        <v/>
      </c>
      <c r="Z309" s="315" t="str">
        <f t="shared" ca="1" si="139"/>
        <v/>
      </c>
      <c r="AA309" s="316" t="str">
        <f t="shared" ca="1" si="140"/>
        <v/>
      </c>
      <c r="AC309" s="310" t="e">
        <f t="shared" ca="1" si="141"/>
        <v>#N/A</v>
      </c>
      <c r="AD309" s="323" t="e">
        <f t="shared" ca="1" si="142"/>
        <v>#N/A</v>
      </c>
      <c r="AE309" s="324">
        <f t="shared" ca="1" si="121"/>
        <v>374.36986966424411</v>
      </c>
      <c r="AG309" s="306">
        <f t="shared" ca="1" si="143"/>
        <v>49.933819471368651</v>
      </c>
      <c r="AH309" s="304">
        <f t="shared" ca="1" si="144"/>
        <v>59.681172936822165</v>
      </c>
    </row>
    <row r="310" spans="1:34" x14ac:dyDescent="0.2">
      <c r="A310" s="347">
        <f t="shared" ca="1" si="122"/>
        <v>0.01</v>
      </c>
      <c r="B310" s="304">
        <f t="shared" ca="1" si="123"/>
        <v>3.0599999999999787</v>
      </c>
      <c r="D310" s="306">
        <f t="shared" ca="1" si="124"/>
        <v>6.71563882642719</v>
      </c>
      <c r="E310" s="307">
        <f t="shared" ca="1" si="125"/>
        <v>49.30303651375894</v>
      </c>
      <c r="F310" s="304">
        <f t="shared" ca="1" si="126"/>
        <v>49.758307992978054</v>
      </c>
      <c r="G310" s="306">
        <f t="shared" ca="1" si="127"/>
        <v>25.915728089005896</v>
      </c>
      <c r="H310" s="307">
        <f t="shared" ca="1" si="128"/>
        <v>228.01979323415367</v>
      </c>
      <c r="I310" s="304">
        <f t="shared" ca="1" si="129"/>
        <v>229.48780156890581</v>
      </c>
      <c r="J310" s="306">
        <f t="shared" ca="1" si="130"/>
        <v>40.306032457077222</v>
      </c>
      <c r="K310" s="307">
        <f t="shared" ca="1" si="131"/>
        <v>376.64760244475997</v>
      </c>
      <c r="L310" s="304">
        <f t="shared" ca="1" si="116"/>
        <v>378.79808959367381</v>
      </c>
      <c r="M310" s="306">
        <f t="shared" ca="1" si="132"/>
        <v>1.457626346857148</v>
      </c>
      <c r="N310" s="304">
        <f t="shared" ca="1" si="133"/>
        <v>83.515837781986804</v>
      </c>
      <c r="P310" s="310">
        <f t="shared" ca="1" si="134"/>
        <v>10</v>
      </c>
      <c r="Q310" s="304">
        <f t="shared" ca="1" si="135"/>
        <v>733.28571428571718</v>
      </c>
      <c r="R310" s="306">
        <f t="shared" ca="1" si="136"/>
        <v>0.36732647072819813</v>
      </c>
      <c r="S310" s="307">
        <f t="shared" ca="1" si="137"/>
        <v>9.5760013217145978</v>
      </c>
      <c r="T310" s="304">
        <f t="shared" ca="1" si="117"/>
        <v>93.940572966020213</v>
      </c>
      <c r="U310" s="311">
        <f t="shared" ca="1" si="118"/>
        <v>0</v>
      </c>
      <c r="V310" s="306">
        <f t="shared" ca="1" si="119"/>
        <v>1.1797135208895235</v>
      </c>
      <c r="W310" s="304">
        <f t="shared" ca="1" si="120"/>
        <v>164.2520019686504</v>
      </c>
      <c r="Y310" s="314" t="str">
        <f t="shared" ca="1" si="138"/>
        <v/>
      </c>
      <c r="Z310" s="315" t="str">
        <f t="shared" ca="1" si="139"/>
        <v/>
      </c>
      <c r="AA310" s="316" t="str">
        <f t="shared" ca="1" si="140"/>
        <v/>
      </c>
      <c r="AC310" s="310" t="e">
        <f t="shared" ca="1" si="141"/>
        <v>#N/A</v>
      </c>
      <c r="AD310" s="323" t="e">
        <f t="shared" ca="1" si="142"/>
        <v>#N/A</v>
      </c>
      <c r="AE310" s="324">
        <f t="shared" ca="1" si="121"/>
        <v>376.64760244475997</v>
      </c>
      <c r="AG310" s="306">
        <f t="shared" ca="1" si="143"/>
        <v>49.745984467408867</v>
      </c>
      <c r="AH310" s="304">
        <f t="shared" ca="1" si="144"/>
        <v>59.493284417016469</v>
      </c>
    </row>
    <row r="311" spans="1:34" x14ac:dyDescent="0.2">
      <c r="A311" s="347">
        <f t="shared" ca="1" si="122"/>
        <v>0.01</v>
      </c>
      <c r="B311" s="304">
        <f t="shared" ca="1" si="123"/>
        <v>3.0699999999999785</v>
      </c>
      <c r="D311" s="306">
        <f t="shared" ca="1" si="124"/>
        <v>6.6972703127388931</v>
      </c>
      <c r="E311" s="307">
        <f t="shared" ca="1" si="125"/>
        <v>49.115999944867355</v>
      </c>
      <c r="F311" s="304">
        <f t="shared" ca="1" si="126"/>
        <v>49.570504135282953</v>
      </c>
      <c r="G311" s="306">
        <f t="shared" ca="1" si="127"/>
        <v>25.982700792133283</v>
      </c>
      <c r="H311" s="307">
        <f t="shared" ca="1" si="128"/>
        <v>228.51095323360235</v>
      </c>
      <c r="I311" s="304">
        <f t="shared" ca="1" si="129"/>
        <v>229.98338306969728</v>
      </c>
      <c r="J311" s="306">
        <f t="shared" ca="1" si="130"/>
        <v>40.56552460148292</v>
      </c>
      <c r="K311" s="307">
        <f t="shared" ca="1" si="131"/>
        <v>378.93025617709873</v>
      </c>
      <c r="L311" s="304">
        <f t="shared" ca="1" si="116"/>
        <v>381.09539597407263</v>
      </c>
      <c r="M311" s="306">
        <f t="shared" ca="1" si="132"/>
        <v>1.4575781768890776</v>
      </c>
      <c r="N311" s="304">
        <f t="shared" ca="1" si="133"/>
        <v>83.513077846117099</v>
      </c>
      <c r="P311" s="310">
        <f t="shared" ca="1" si="134"/>
        <v>10</v>
      </c>
      <c r="Q311" s="304">
        <f t="shared" ca="1" si="135"/>
        <v>731.94285714286002</v>
      </c>
      <c r="R311" s="306">
        <f t="shared" ca="1" si="136"/>
        <v>0.36665379026358774</v>
      </c>
      <c r="S311" s="307">
        <f t="shared" ca="1" si="137"/>
        <v>9.5723347838119626</v>
      </c>
      <c r="T311" s="304">
        <f t="shared" ca="1" si="117"/>
        <v>93.904604229195357</v>
      </c>
      <c r="U311" s="311">
        <f t="shared" ca="1" si="118"/>
        <v>0</v>
      </c>
      <c r="V311" s="306">
        <f t="shared" ca="1" si="119"/>
        <v>1.1794441677770358</v>
      </c>
      <c r="W311" s="304">
        <f t="shared" ca="1" si="120"/>
        <v>164.92451177191211</v>
      </c>
      <c r="Y311" s="314" t="str">
        <f t="shared" ca="1" si="138"/>
        <v/>
      </c>
      <c r="Z311" s="315" t="str">
        <f t="shared" ca="1" si="139"/>
        <v/>
      </c>
      <c r="AA311" s="316" t="str">
        <f t="shared" ca="1" si="140"/>
        <v/>
      </c>
      <c r="AC311" s="310" t="e">
        <f t="shared" ca="1" si="141"/>
        <v>#N/A</v>
      </c>
      <c r="AD311" s="323" t="e">
        <f t="shared" ca="1" si="142"/>
        <v>#N/A</v>
      </c>
      <c r="AE311" s="324">
        <f t="shared" ca="1" si="121"/>
        <v>378.93025617709873</v>
      </c>
      <c r="AG311" s="306">
        <f t="shared" ca="1" si="143"/>
        <v>49.558123397099294</v>
      </c>
      <c r="AH311" s="304">
        <f t="shared" ca="1" si="144"/>
        <v>59.305369901421251</v>
      </c>
    </row>
    <row r="312" spans="1:34" x14ac:dyDescent="0.2">
      <c r="A312" s="347">
        <f t="shared" ca="1" si="122"/>
        <v>0.01</v>
      </c>
      <c r="B312" s="304">
        <f t="shared" ca="1" si="123"/>
        <v>3.0799999999999783</v>
      </c>
      <c r="D312" s="306">
        <f t="shared" ca="1" si="124"/>
        <v>6.678876171098918</v>
      </c>
      <c r="E312" s="307">
        <f t="shared" ca="1" si="125"/>
        <v>48.928942213778207</v>
      </c>
      <c r="F312" s="304">
        <f t="shared" ca="1" si="126"/>
        <v>49.38267685199051</v>
      </c>
      <c r="G312" s="306">
        <f t="shared" ca="1" si="127"/>
        <v>26.049489553844271</v>
      </c>
      <c r="H312" s="307">
        <f t="shared" ca="1" si="128"/>
        <v>229.00024265574012</v>
      </c>
      <c r="I312" s="304">
        <f t="shared" ca="1" si="129"/>
        <v>230.47708572091003</v>
      </c>
      <c r="J312" s="306">
        <f t="shared" ca="1" si="130"/>
        <v>40.825685553212807</v>
      </c>
      <c r="K312" s="307">
        <f t="shared" ca="1" si="131"/>
        <v>381.21781215654545</v>
      </c>
      <c r="L312" s="304">
        <f t="shared" ca="1" si="116"/>
        <v>383.39764854040641</v>
      </c>
      <c r="M312" s="306">
        <f t="shared" ca="1" si="132"/>
        <v>1.4575300897336141</v>
      </c>
      <c r="N312" s="304">
        <f t="shared" ca="1" si="133"/>
        <v>83.51032265506025</v>
      </c>
      <c r="P312" s="310">
        <f t="shared" ca="1" si="134"/>
        <v>10</v>
      </c>
      <c r="Q312" s="304">
        <f t="shared" ca="1" si="135"/>
        <v>730.60000000000286</v>
      </c>
      <c r="R312" s="306">
        <f t="shared" ca="1" si="136"/>
        <v>0.36598110979897736</v>
      </c>
      <c r="S312" s="307">
        <f t="shared" ca="1" si="137"/>
        <v>9.568674972713973</v>
      </c>
      <c r="T312" s="304">
        <f t="shared" ca="1" si="117"/>
        <v>93.868701482324084</v>
      </c>
      <c r="U312" s="311">
        <f t="shared" ca="1" si="118"/>
        <v>0</v>
      </c>
      <c r="V312" s="306">
        <f t="shared" ca="1" si="119"/>
        <v>1.1791742967279193</v>
      </c>
      <c r="W312" s="304">
        <f t="shared" ca="1" si="120"/>
        <v>165.59545593878303</v>
      </c>
      <c r="Y312" s="314" t="str">
        <f t="shared" ca="1" si="138"/>
        <v/>
      </c>
      <c r="Z312" s="315" t="str">
        <f t="shared" ca="1" si="139"/>
        <v/>
      </c>
      <c r="AA312" s="316" t="str">
        <f t="shared" ca="1" si="140"/>
        <v/>
      </c>
      <c r="AC312" s="310" t="e">
        <f t="shared" ca="1" si="141"/>
        <v>#N/A</v>
      </c>
      <c r="AD312" s="323" t="e">
        <f t="shared" ca="1" si="142"/>
        <v>#N/A</v>
      </c>
      <c r="AE312" s="324">
        <f t="shared" ca="1" si="121"/>
        <v>381.21781215654545</v>
      </c>
      <c r="AG312" s="306">
        <f t="shared" ca="1" si="143"/>
        <v>49.370238473806189</v>
      </c>
      <c r="AH312" s="304">
        <f t="shared" ca="1" si="144"/>
        <v>59.117431602721446</v>
      </c>
    </row>
    <row r="313" spans="1:34" x14ac:dyDescent="0.2">
      <c r="A313" s="347">
        <f t="shared" ca="1" si="122"/>
        <v>0.01</v>
      </c>
      <c r="B313" s="304">
        <f t="shared" ca="1" si="123"/>
        <v>3.0899999999999781</v>
      </c>
      <c r="D313" s="306">
        <f t="shared" ca="1" si="124"/>
        <v>6.6604567360810565</v>
      </c>
      <c r="E313" s="307">
        <f t="shared" ca="1" si="125"/>
        <v>48.741865502313857</v>
      </c>
      <c r="F313" s="304">
        <f t="shared" ca="1" si="126"/>
        <v>49.194828351960545</v>
      </c>
      <c r="G313" s="306">
        <f t="shared" ca="1" si="127"/>
        <v>26.11609412120508</v>
      </c>
      <c r="H313" s="307">
        <f t="shared" ca="1" si="128"/>
        <v>229.48766131076326</v>
      </c>
      <c r="I313" s="304">
        <f t="shared" ca="1" si="129"/>
        <v>230.96890930606057</v>
      </c>
      <c r="J313" s="306">
        <f t="shared" ca="1" si="130"/>
        <v>41.086513471588056</v>
      </c>
      <c r="K313" s="307">
        <f t="shared" ca="1" si="131"/>
        <v>383.51025167637795</v>
      </c>
      <c r="L313" s="304">
        <f t="shared" ca="1" si="116"/>
        <v>385.70482850248288</v>
      </c>
      <c r="M313" s="306">
        <f t="shared" ca="1" si="132"/>
        <v>1.4574820846812448</v>
      </c>
      <c r="N313" s="304">
        <f t="shared" ca="1" si="133"/>
        <v>83.507572168164188</v>
      </c>
      <c r="P313" s="310">
        <f t="shared" ca="1" si="134"/>
        <v>10</v>
      </c>
      <c r="Q313" s="304">
        <f t="shared" ca="1" si="135"/>
        <v>729.25714285714582</v>
      </c>
      <c r="R313" s="306">
        <f t="shared" ca="1" si="136"/>
        <v>0.36530842933436702</v>
      </c>
      <c r="S313" s="307">
        <f t="shared" ca="1" si="137"/>
        <v>9.5650218884206293</v>
      </c>
      <c r="T313" s="304">
        <f t="shared" ca="1" si="117"/>
        <v>93.832864725406381</v>
      </c>
      <c r="U313" s="311">
        <f t="shared" ca="1" si="118"/>
        <v>0</v>
      </c>
      <c r="V313" s="306">
        <f t="shared" ca="1" si="119"/>
        <v>1.178903910317417</v>
      </c>
      <c r="W313" s="304">
        <f t="shared" ca="1" si="120"/>
        <v>166.2648170431967</v>
      </c>
      <c r="Y313" s="314" t="str">
        <f t="shared" ca="1" si="138"/>
        <v/>
      </c>
      <c r="Z313" s="315" t="str">
        <f t="shared" ca="1" si="139"/>
        <v/>
      </c>
      <c r="AA313" s="316" t="str">
        <f t="shared" ca="1" si="140"/>
        <v/>
      </c>
      <c r="AC313" s="310" t="e">
        <f t="shared" ca="1" si="141"/>
        <v>#N/A</v>
      </c>
      <c r="AD313" s="323" t="e">
        <f t="shared" ca="1" si="142"/>
        <v>#N/A</v>
      </c>
      <c r="AE313" s="324">
        <f t="shared" ca="1" si="121"/>
        <v>383.51025167637795</v>
      </c>
      <c r="AG313" s="306">
        <f t="shared" ca="1" si="143"/>
        <v>49.18233190183598</v>
      </c>
      <c r="AH313" s="304">
        <f t="shared" ca="1" si="144"/>
        <v>58.929471724547639</v>
      </c>
    </row>
    <row r="314" spans="1:34" x14ac:dyDescent="0.2">
      <c r="A314" s="347">
        <f t="shared" ca="1" si="122"/>
        <v>0.01</v>
      </c>
      <c r="B314" s="304">
        <f t="shared" ca="1" si="123"/>
        <v>3.0999999999999779</v>
      </c>
      <c r="D314" s="306">
        <f t="shared" ca="1" si="124"/>
        <v>6.6420123407595861</v>
      </c>
      <c r="E314" s="307">
        <f t="shared" ca="1" si="125"/>
        <v>48.554771983285029</v>
      </c>
      <c r="F314" s="304">
        <f t="shared" ca="1" si="126"/>
        <v>49.006960835003866</v>
      </c>
      <c r="G314" s="306">
        <f t="shared" ca="1" si="127"/>
        <v>26.182514244612676</v>
      </c>
      <c r="H314" s="307">
        <f t="shared" ca="1" si="128"/>
        <v>229.97320903059611</v>
      </c>
      <c r="I314" s="304">
        <f t="shared" ca="1" si="129"/>
        <v>231.45885363061748</v>
      </c>
      <c r="J314" s="306">
        <f t="shared" ca="1" si="130"/>
        <v>41.348006513417147</v>
      </c>
      <c r="K314" s="307">
        <f t="shared" ca="1" si="131"/>
        <v>385.80755602808472</v>
      </c>
      <c r="L314" s="304">
        <f t="shared" ca="1" si="116"/>
        <v>388.01691706805428</v>
      </c>
      <c r="M314" s="306">
        <f t="shared" ca="1" si="132"/>
        <v>1.4574341610286401</v>
      </c>
      <c r="N314" s="304">
        <f t="shared" ca="1" si="133"/>
        <v>83.504826345131079</v>
      </c>
      <c r="P314" s="310">
        <f t="shared" ca="1" si="134"/>
        <v>10</v>
      </c>
      <c r="Q314" s="304">
        <f t="shared" ca="1" si="135"/>
        <v>727.91428571428867</v>
      </c>
      <c r="R314" s="306">
        <f t="shared" ca="1" si="136"/>
        <v>0.36463574886975664</v>
      </c>
      <c r="S314" s="307">
        <f t="shared" ca="1" si="137"/>
        <v>9.5613755309319313</v>
      </c>
      <c r="T314" s="304">
        <f t="shared" ca="1" si="117"/>
        <v>93.797093958442247</v>
      </c>
      <c r="U314" s="311">
        <f t="shared" ca="1" si="118"/>
        <v>0</v>
      </c>
      <c r="V314" s="306">
        <f t="shared" ca="1" si="119"/>
        <v>1.1786330111195766</v>
      </c>
      <c r="W314" s="304">
        <f t="shared" ca="1" si="120"/>
        <v>166.93257777941619</v>
      </c>
      <c r="Y314" s="314" t="str">
        <f t="shared" ca="1" si="138"/>
        <v/>
      </c>
      <c r="Z314" s="315" t="str">
        <f t="shared" ca="1" si="139"/>
        <v/>
      </c>
      <c r="AA314" s="316" t="str">
        <f t="shared" ca="1" si="140"/>
        <v/>
      </c>
      <c r="AC314" s="310" t="e">
        <f t="shared" ca="1" si="141"/>
        <v>#N/A</v>
      </c>
      <c r="AD314" s="323" t="e">
        <f t="shared" ca="1" si="142"/>
        <v>#N/A</v>
      </c>
      <c r="AE314" s="324">
        <f t="shared" ca="1" si="121"/>
        <v>385.80755602808472</v>
      </c>
      <c r="AG314" s="306">
        <f t="shared" ca="1" si="143"/>
        <v>48.994405876384342</v>
      </c>
      <c r="AH314" s="304">
        <f t="shared" ca="1" si="144"/>
        <v>58.741492461425054</v>
      </c>
    </row>
    <row r="315" spans="1:34" x14ac:dyDescent="0.2">
      <c r="A315" s="347">
        <f t="shared" ca="1" si="122"/>
        <v>0.01</v>
      </c>
      <c r="B315" s="304">
        <f t="shared" ca="1" si="123"/>
        <v>3.1099999999999777</v>
      </c>
      <c r="D315" s="306">
        <f t="shared" ca="1" si="124"/>
        <v>6.6235433167100082</v>
      </c>
      <c r="E315" s="307">
        <f t="shared" ca="1" si="125"/>
        <v>48.367663820440029</v>
      </c>
      <c r="F315" s="304">
        <f t="shared" ca="1" si="126"/>
        <v>48.819076491832959</v>
      </c>
      <c r="G315" s="306">
        <f t="shared" ca="1" si="127"/>
        <v>26.248749677779777</v>
      </c>
      <c r="H315" s="307">
        <f t="shared" ca="1" si="128"/>
        <v>230.45688566880051</v>
      </c>
      <c r="I315" s="304">
        <f t="shared" ca="1" si="129"/>
        <v>231.94691852190954</v>
      </c>
      <c r="J315" s="306">
        <f t="shared" ca="1" si="130"/>
        <v>41.610162833029108</v>
      </c>
      <c r="K315" s="307">
        <f t="shared" ca="1" si="131"/>
        <v>388.10970650158168</v>
      </c>
      <c r="L315" s="304">
        <f t="shared" ca="1" si="116"/>
        <v>390.33389544303611</v>
      </c>
      <c r="M315" s="306">
        <f t="shared" ca="1" si="132"/>
        <v>1.4573863180785738</v>
      </c>
      <c r="N315" s="304">
        <f t="shared" ca="1" si="133"/>
        <v>83.502085146012831</v>
      </c>
      <c r="P315" s="310">
        <f t="shared" ca="1" si="134"/>
        <v>10</v>
      </c>
      <c r="Q315" s="304">
        <f t="shared" ca="1" si="135"/>
        <v>726.57142857143162</v>
      </c>
      <c r="R315" s="306">
        <f t="shared" ca="1" si="136"/>
        <v>0.36396306840514631</v>
      </c>
      <c r="S315" s="307">
        <f t="shared" ca="1" si="137"/>
        <v>9.557735900247879</v>
      </c>
      <c r="T315" s="304">
        <f t="shared" ca="1" si="117"/>
        <v>93.761389181431696</v>
      </c>
      <c r="U315" s="311">
        <f t="shared" ca="1" si="118"/>
        <v>0</v>
      </c>
      <c r="V315" s="306">
        <f t="shared" ca="1" si="119"/>
        <v>1.178361601707212</v>
      </c>
      <c r="W315" s="304">
        <f t="shared" ca="1" si="120"/>
        <v>167.59872096219274</v>
      </c>
      <c r="Y315" s="314" t="str">
        <f t="shared" ca="1" si="138"/>
        <v/>
      </c>
      <c r="Z315" s="315" t="str">
        <f t="shared" ca="1" si="139"/>
        <v/>
      </c>
      <c r="AA315" s="316" t="str">
        <f t="shared" ca="1" si="140"/>
        <v/>
      </c>
      <c r="AC315" s="310" t="e">
        <f t="shared" ca="1" si="141"/>
        <v>#N/A</v>
      </c>
      <c r="AD315" s="323" t="e">
        <f t="shared" ca="1" si="142"/>
        <v>#N/A</v>
      </c>
      <c r="AE315" s="324">
        <f t="shared" ca="1" si="121"/>
        <v>388.10970650158168</v>
      </c>
      <c r="AG315" s="306">
        <f t="shared" ca="1" si="143"/>
        <v>48.806462583485711</v>
      </c>
      <c r="AH315" s="304">
        <f t="shared" ca="1" si="144"/>
        <v>58.553495998723008</v>
      </c>
    </row>
    <row r="316" spans="1:34" x14ac:dyDescent="0.2">
      <c r="A316" s="347">
        <f t="shared" ca="1" si="122"/>
        <v>0.01</v>
      </c>
      <c r="B316" s="304">
        <f t="shared" ca="1" si="123"/>
        <v>3.1199999999999775</v>
      </c>
      <c r="D316" s="306">
        <f t="shared" ca="1" si="124"/>
        <v>6.6050499940097325</v>
      </c>
      <c r="E316" s="307">
        <f t="shared" ca="1" si="125"/>
        <v>48.180543168415156</v>
      </c>
      <c r="F316" s="304">
        <f t="shared" ca="1" si="126"/>
        <v>48.631177504013664</v>
      </c>
      <c r="G316" s="306">
        <f t="shared" ca="1" si="127"/>
        <v>26.314800177719874</v>
      </c>
      <c r="H316" s="307">
        <f t="shared" ca="1" si="128"/>
        <v>230.93869110048468</v>
      </c>
      <c r="I316" s="304">
        <f t="shared" ca="1" si="129"/>
        <v>232.4331038290338</v>
      </c>
      <c r="J316" s="306">
        <f t="shared" ca="1" si="130"/>
        <v>41.872980582306603</v>
      </c>
      <c r="K316" s="307">
        <f t="shared" ca="1" si="131"/>
        <v>390.41668438542808</v>
      </c>
      <c r="L316" s="304">
        <f t="shared" ca="1" si="116"/>
        <v>392.6557448317256</v>
      </c>
      <c r="M316" s="306">
        <f t="shared" ca="1" si="132"/>
        <v>1.4573385551398461</v>
      </c>
      <c r="N316" s="304">
        <f t="shared" ca="1" si="133"/>
        <v>83.499348531206593</v>
      </c>
      <c r="P316" s="310">
        <f t="shared" ca="1" si="134"/>
        <v>10</v>
      </c>
      <c r="Q316" s="304">
        <f t="shared" ca="1" si="135"/>
        <v>725.22857142857447</v>
      </c>
      <c r="R316" s="306">
        <f t="shared" ca="1" si="136"/>
        <v>0.36329038794053592</v>
      </c>
      <c r="S316" s="307">
        <f t="shared" ca="1" si="137"/>
        <v>9.5541029963684743</v>
      </c>
      <c r="T316" s="304">
        <f t="shared" ca="1" si="117"/>
        <v>93.725750394374742</v>
      </c>
      <c r="U316" s="311">
        <f t="shared" ca="1" si="118"/>
        <v>0</v>
      </c>
      <c r="V316" s="306">
        <f t="shared" ca="1" si="119"/>
        <v>1.1780896846518696</v>
      </c>
      <c r="W316" s="304">
        <f t="shared" ca="1" si="120"/>
        <v>168.26322952691783</v>
      </c>
      <c r="Y316" s="314" t="str">
        <f t="shared" ca="1" si="138"/>
        <v/>
      </c>
      <c r="Z316" s="315" t="str">
        <f t="shared" ca="1" si="139"/>
        <v/>
      </c>
      <c r="AA316" s="316" t="str">
        <f t="shared" ca="1" si="140"/>
        <v/>
      </c>
      <c r="AC316" s="310" t="e">
        <f t="shared" ca="1" si="141"/>
        <v>#N/A</v>
      </c>
      <c r="AD316" s="323" t="e">
        <f t="shared" ca="1" si="142"/>
        <v>#N/A</v>
      </c>
      <c r="AE316" s="324">
        <f t="shared" ca="1" si="121"/>
        <v>390.41668438542808</v>
      </c>
      <c r="AG316" s="306">
        <f t="shared" ca="1" si="143"/>
        <v>48.618504199963894</v>
      </c>
      <c r="AH316" s="304">
        <f t="shared" ca="1" si="144"/>
        <v>58.365484512605477</v>
      </c>
    </row>
    <row r="317" spans="1:34" x14ac:dyDescent="0.2">
      <c r="A317" s="347">
        <f t="shared" ca="1" si="122"/>
        <v>0.01</v>
      </c>
      <c r="B317" s="304">
        <f t="shared" ca="1" si="123"/>
        <v>3.1299999999999772</v>
      </c>
      <c r="D317" s="306">
        <f t="shared" ca="1" si="124"/>
        <v>6.5865327012387027</v>
      </c>
      <c r="E317" s="307">
        <f t="shared" ca="1" si="125"/>
        <v>47.993412172685716</v>
      </c>
      <c r="F317" s="304">
        <f t="shared" ca="1" si="126"/>
        <v>48.443266043917639</v>
      </c>
      <c r="G317" s="306">
        <f t="shared" ca="1" si="127"/>
        <v>26.38066550473226</v>
      </c>
      <c r="H317" s="307">
        <f t="shared" ca="1" si="128"/>
        <v>231.41862522221155</v>
      </c>
      <c r="I317" s="304">
        <f t="shared" ca="1" si="129"/>
        <v>232.91740942276294</v>
      </c>
      <c r="J317" s="306">
        <f t="shared" ca="1" si="130"/>
        <v>42.13645791071886</v>
      </c>
      <c r="K317" s="307">
        <f t="shared" ca="1" si="131"/>
        <v>392.72847096704157</v>
      </c>
      <c r="L317" s="304">
        <f t="shared" ca="1" si="116"/>
        <v>394.98244643701855</v>
      </c>
      <c r="M317" s="306">
        <f t="shared" ca="1" si="132"/>
        <v>1.4572908715272062</v>
      </c>
      <c r="N317" s="304">
        <f t="shared" ca="1" si="133"/>
        <v>83.496616461450387</v>
      </c>
      <c r="P317" s="310">
        <f t="shared" ca="1" si="134"/>
        <v>10</v>
      </c>
      <c r="Q317" s="304">
        <f t="shared" ca="1" si="135"/>
        <v>723.88571428571731</v>
      </c>
      <c r="R317" s="306">
        <f t="shared" ca="1" si="136"/>
        <v>0.36261770747592553</v>
      </c>
      <c r="S317" s="307">
        <f t="shared" ca="1" si="137"/>
        <v>9.5504768192937153</v>
      </c>
      <c r="T317" s="304">
        <f t="shared" ca="1" si="117"/>
        <v>93.690177597271358</v>
      </c>
      <c r="U317" s="311">
        <f t="shared" ca="1" si="118"/>
        <v>0</v>
      </c>
      <c r="V317" s="306">
        <f t="shared" ca="1" si="119"/>
        <v>1.1778172625237908</v>
      </c>
      <c r="W317" s="304">
        <f t="shared" ca="1" si="120"/>
        <v>168.92608652976659</v>
      </c>
      <c r="Y317" s="314" t="str">
        <f t="shared" ca="1" si="138"/>
        <v/>
      </c>
      <c r="Z317" s="315" t="str">
        <f t="shared" ca="1" si="139"/>
        <v/>
      </c>
      <c r="AA317" s="316" t="str">
        <f t="shared" ca="1" si="140"/>
        <v/>
      </c>
      <c r="AC317" s="310" t="e">
        <f t="shared" ca="1" si="141"/>
        <v>#N/A</v>
      </c>
      <c r="AD317" s="323" t="e">
        <f t="shared" ca="1" si="142"/>
        <v>#N/A</v>
      </c>
      <c r="AE317" s="324">
        <f t="shared" ca="1" si="121"/>
        <v>392.72847096704157</v>
      </c>
      <c r="AG317" s="306">
        <f t="shared" ca="1" si="143"/>
        <v>48.430532893383408</v>
      </c>
      <c r="AH317" s="304">
        <f t="shared" ca="1" si="144"/>
        <v>58.177460169982311</v>
      </c>
    </row>
    <row r="318" spans="1:34" x14ac:dyDescent="0.2">
      <c r="A318" s="347">
        <f t="shared" ca="1" si="122"/>
        <v>0.01</v>
      </c>
      <c r="B318" s="304">
        <f t="shared" ca="1" si="123"/>
        <v>3.139999999999977</v>
      </c>
      <c r="D318" s="306">
        <f t="shared" ca="1" si="124"/>
        <v>6.5679917654800564</v>
      </c>
      <c r="E318" s="307">
        <f t="shared" ca="1" si="125"/>
        <v>47.806272969517998</v>
      </c>
      <c r="F318" s="304">
        <f t="shared" ca="1" si="126"/>
        <v>48.255344274675743</v>
      </c>
      <c r="G318" s="306">
        <f t="shared" ca="1" si="127"/>
        <v>26.446345422387061</v>
      </c>
      <c r="H318" s="307">
        <f t="shared" ca="1" si="128"/>
        <v>231.89668795190673</v>
      </c>
      <c r="I318" s="304">
        <f t="shared" ca="1" si="129"/>
        <v>233.39983519545214</v>
      </c>
      <c r="J318" s="306">
        <f t="shared" ca="1" si="130"/>
        <v>42.400592965354456</v>
      </c>
      <c r="K318" s="307">
        <f t="shared" ca="1" si="131"/>
        <v>395.04504753291218</v>
      </c>
      <c r="L318" s="304">
        <f t="shared" ca="1" si="116"/>
        <v>397.31398146062583</v>
      </c>
      <c r="M318" s="306">
        <f t="shared" ca="1" si="132"/>
        <v>1.4572432665612767</v>
      </c>
      <c r="N318" s="304">
        <f t="shared" ca="1" si="133"/>
        <v>83.493888897818763</v>
      </c>
      <c r="P318" s="310">
        <f t="shared" ca="1" si="134"/>
        <v>10</v>
      </c>
      <c r="Q318" s="304">
        <f t="shared" ca="1" si="135"/>
        <v>722.54285714286027</v>
      </c>
      <c r="R318" s="306">
        <f t="shared" ca="1" si="136"/>
        <v>0.36194502701131526</v>
      </c>
      <c r="S318" s="307">
        <f t="shared" ca="1" si="137"/>
        <v>9.546857369023602</v>
      </c>
      <c r="T318" s="304">
        <f t="shared" ca="1" si="117"/>
        <v>93.654670790121543</v>
      </c>
      <c r="U318" s="311">
        <f t="shared" ca="1" si="118"/>
        <v>0</v>
      </c>
      <c r="V318" s="306">
        <f t="shared" ca="1" si="119"/>
        <v>1.1775443378918786</v>
      </c>
      <c r="W318" s="304">
        <f t="shared" ca="1" si="120"/>
        <v>169.58727514783317</v>
      </c>
      <c r="Y318" s="314" t="str">
        <f t="shared" ca="1" si="138"/>
        <v/>
      </c>
      <c r="Z318" s="315" t="str">
        <f t="shared" ca="1" si="139"/>
        <v/>
      </c>
      <c r="AA318" s="316" t="str">
        <f t="shared" ca="1" si="140"/>
        <v/>
      </c>
      <c r="AC318" s="310" t="e">
        <f t="shared" ca="1" si="141"/>
        <v>#N/A</v>
      </c>
      <c r="AD318" s="323" t="e">
        <f t="shared" ca="1" si="142"/>
        <v>#N/A</v>
      </c>
      <c r="AE318" s="324">
        <f t="shared" ca="1" si="121"/>
        <v>395.04504753291218</v>
      </c>
      <c r="AG318" s="306">
        <f t="shared" ca="1" si="143"/>
        <v>48.24255082200159</v>
      </c>
      <c r="AH318" s="304">
        <f t="shared" ca="1" si="144"/>
        <v>57.989425128461349</v>
      </c>
    </row>
    <row r="319" spans="1:34" x14ac:dyDescent="0.2">
      <c r="A319" s="347">
        <f t="shared" ca="1" si="122"/>
        <v>0.01</v>
      </c>
      <c r="B319" s="304">
        <f t="shared" ca="1" si="123"/>
        <v>3.1499999999999768</v>
      </c>
      <c r="D319" s="306">
        <f t="shared" ca="1" si="124"/>
        <v>6.5494275123206851</v>
      </c>
      <c r="E319" s="307">
        <f t="shared" ca="1" si="125"/>
        <v>47.619127685921946</v>
      </c>
      <c r="F319" s="304">
        <f t="shared" ca="1" si="126"/>
        <v>48.067414350132054</v>
      </c>
      <c r="G319" s="306">
        <f t="shared" ca="1" si="127"/>
        <v>26.511839697510268</v>
      </c>
      <c r="H319" s="307">
        <f t="shared" ca="1" si="128"/>
        <v>232.37287922876595</v>
      </c>
      <c r="I319" s="304">
        <f t="shared" ca="1" si="129"/>
        <v>233.88038106094561</v>
      </c>
      <c r="J319" s="306">
        <f t="shared" ca="1" si="130"/>
        <v>42.66538389095394</v>
      </c>
      <c r="K319" s="307">
        <f t="shared" ca="1" si="131"/>
        <v>397.36639536881552</v>
      </c>
      <c r="L319" s="304">
        <f t="shared" ca="1" si="116"/>
        <v>399.65033110328869</v>
      </c>
      <c r="M319" s="306">
        <f t="shared" ca="1" si="132"/>
        <v>1.4571957395684796</v>
      </c>
      <c r="N319" s="304">
        <f t="shared" ca="1" si="133"/>
        <v>83.491165801718537</v>
      </c>
      <c r="P319" s="310">
        <f t="shared" ca="1" si="134"/>
        <v>10</v>
      </c>
      <c r="Q319" s="304">
        <f t="shared" ca="1" si="135"/>
        <v>721.20000000000312</v>
      </c>
      <c r="R319" s="306">
        <f t="shared" ca="1" si="136"/>
        <v>0.36127234654670487</v>
      </c>
      <c r="S319" s="307">
        <f t="shared" ca="1" si="137"/>
        <v>9.5432446455581346</v>
      </c>
      <c r="T319" s="304">
        <f t="shared" ca="1" si="117"/>
        <v>93.619229972925311</v>
      </c>
      <c r="U319" s="311">
        <f t="shared" ca="1" si="118"/>
        <v>0</v>
      </c>
      <c r="V319" s="306">
        <f t="shared" ca="1" si="119"/>
        <v>1.1772709133236614</v>
      </c>
      <c r="W319" s="304">
        <f t="shared" ca="1" si="120"/>
        <v>170.2467786792588</v>
      </c>
      <c r="Y319" s="314" t="str">
        <f t="shared" ca="1" si="138"/>
        <v/>
      </c>
      <c r="Z319" s="315" t="str">
        <f t="shared" ca="1" si="139"/>
        <v/>
      </c>
      <c r="AA319" s="316" t="str">
        <f t="shared" ca="1" si="140"/>
        <v/>
      </c>
      <c r="AC319" s="310" t="e">
        <f t="shared" ca="1" si="141"/>
        <v>#N/A</v>
      </c>
      <c r="AD319" s="323" t="e">
        <f t="shared" ca="1" si="142"/>
        <v>#N/A</v>
      </c>
      <c r="AE319" s="324">
        <f t="shared" ca="1" si="121"/>
        <v>397.36639536881552</v>
      </c>
      <c r="AG319" s="306">
        <f t="shared" ca="1" si="143"/>
        <v>48.054560134721591</v>
      </c>
      <c r="AH319" s="304">
        <f t="shared" ca="1" si="144"/>
        <v>57.801381536301278</v>
      </c>
    </row>
    <row r="320" spans="1:34" x14ac:dyDescent="0.2">
      <c r="A320" s="347">
        <f t="shared" ca="1" si="122"/>
        <v>0.01</v>
      </c>
      <c r="B320" s="304">
        <f t="shared" ca="1" si="123"/>
        <v>3.1599999999999766</v>
      </c>
      <c r="D320" s="306">
        <f t="shared" ca="1" si="124"/>
        <v>6.5308402658517961</v>
      </c>
      <c r="E320" s="307">
        <f t="shared" ca="1" si="125"/>
        <v>47.431978439604769</v>
      </c>
      <c r="F320" s="304">
        <f t="shared" ca="1" si="126"/>
        <v>47.879478414798996</v>
      </c>
      <c r="G320" s="306">
        <f t="shared" ca="1" si="127"/>
        <v>26.577148100168785</v>
      </c>
      <c r="H320" s="307">
        <f t="shared" ca="1" si="128"/>
        <v>232.847199013162</v>
      </c>
      <c r="I320" s="304">
        <f t="shared" ca="1" si="129"/>
        <v>234.35904695448258</v>
      </c>
      <c r="J320" s="306">
        <f t="shared" ca="1" si="130"/>
        <v>42.930828829942335</v>
      </c>
      <c r="K320" s="307">
        <f t="shared" ca="1" si="131"/>
        <v>399.69249576002517</v>
      </c>
      <c r="L320" s="304">
        <f t="shared" ca="1" si="116"/>
        <v>401.99147656499332</v>
      </c>
      <c r="M320" s="306">
        <f t="shared" ca="1" si="132"/>
        <v>1.4571482898809636</v>
      </c>
      <c r="N320" s="304">
        <f t="shared" ca="1" si="133"/>
        <v>83.488447134884652</v>
      </c>
      <c r="P320" s="310">
        <f t="shared" ca="1" si="134"/>
        <v>10</v>
      </c>
      <c r="Q320" s="304">
        <f t="shared" ca="1" si="135"/>
        <v>719.85714285714596</v>
      </c>
      <c r="R320" s="306">
        <f t="shared" ca="1" si="136"/>
        <v>0.36059966608209448</v>
      </c>
      <c r="S320" s="307">
        <f t="shared" ca="1" si="137"/>
        <v>9.5396386488973128</v>
      </c>
      <c r="T320" s="304">
        <f t="shared" ca="1" si="117"/>
        <v>93.583855145682648</v>
      </c>
      <c r="U320" s="311">
        <f t="shared" ca="1" si="118"/>
        <v>0</v>
      </c>
      <c r="V320" s="306">
        <f t="shared" ca="1" si="119"/>
        <v>1.1769969913852578</v>
      </c>
      <c r="W320" s="304">
        <f t="shared" ca="1" si="120"/>
        <v>170.90458054335144</v>
      </c>
      <c r="Y320" s="314" t="str">
        <f t="shared" ca="1" si="138"/>
        <v/>
      </c>
      <c r="Z320" s="315" t="str">
        <f t="shared" ca="1" si="139"/>
        <v/>
      </c>
      <c r="AA320" s="316" t="str">
        <f t="shared" ca="1" si="140"/>
        <v/>
      </c>
      <c r="AC320" s="310" t="e">
        <f t="shared" ca="1" si="141"/>
        <v>#N/A</v>
      </c>
      <c r="AD320" s="323" t="e">
        <f t="shared" ca="1" si="142"/>
        <v>#N/A</v>
      </c>
      <c r="AE320" s="324">
        <f t="shared" ca="1" si="121"/>
        <v>399.69249576002517</v>
      </c>
      <c r="AG320" s="306">
        <f t="shared" ca="1" si="143"/>
        <v>47.866562971046129</v>
      </c>
      <c r="AH320" s="304">
        <f t="shared" ca="1" si="144"/>
        <v>57.613331532365393</v>
      </c>
    </row>
    <row r="321" spans="1:34" x14ac:dyDescent="0.2">
      <c r="A321" s="347">
        <f t="shared" ca="1" si="122"/>
        <v>0.01</v>
      </c>
      <c r="B321" s="304">
        <f t="shared" ca="1" si="123"/>
        <v>3.1699999999999764</v>
      </c>
      <c r="D321" s="306">
        <f t="shared" ca="1" si="124"/>
        <v>6.5122303486693989</v>
      </c>
      <c r="E321" s="307">
        <f t="shared" ca="1" si="125"/>
        <v>47.24482733892534</v>
      </c>
      <c r="F321" s="304">
        <f t="shared" ca="1" si="126"/>
        <v>47.691538603813129</v>
      </c>
      <c r="G321" s="306">
        <f t="shared" ca="1" si="127"/>
        <v>26.642270403655477</v>
      </c>
      <c r="H321" s="307">
        <f t="shared" ca="1" si="128"/>
        <v>233.31964728655126</v>
      </c>
      <c r="I321" s="304">
        <f t="shared" ca="1" si="129"/>
        <v>234.83583283260285</v>
      </c>
      <c r="J321" s="306">
        <f t="shared" ca="1" si="130"/>
        <v>43.196925922461453</v>
      </c>
      <c r="K321" s="307">
        <f t="shared" ca="1" si="131"/>
        <v>402.02332999152372</v>
      </c>
      <c r="L321" s="304">
        <f t="shared" ca="1" si="116"/>
        <v>404.33739904518382</v>
      </c>
      <c r="M321" s="306">
        <f t="shared" ca="1" si="132"/>
        <v>1.4571009168365303</v>
      </c>
      <c r="N321" s="304">
        <f t="shared" ca="1" si="133"/>
        <v>83.485732859375943</v>
      </c>
      <c r="P321" s="310">
        <f t="shared" ca="1" si="134"/>
        <v>10</v>
      </c>
      <c r="Q321" s="304">
        <f t="shared" ca="1" si="135"/>
        <v>718.51428571428892</v>
      </c>
      <c r="R321" s="306">
        <f t="shared" ca="1" si="136"/>
        <v>0.35992698561748415</v>
      </c>
      <c r="S321" s="307">
        <f t="shared" ca="1" si="137"/>
        <v>9.5360393790411386</v>
      </c>
      <c r="T321" s="304">
        <f t="shared" ca="1" si="117"/>
        <v>93.548546308393568</v>
      </c>
      <c r="U321" s="311">
        <f t="shared" ca="1" si="118"/>
        <v>0</v>
      </c>
      <c r="V321" s="306">
        <f t="shared" ca="1" si="119"/>
        <v>1.1767225746413437</v>
      </c>
      <c r="W321" s="304">
        <f t="shared" ca="1" si="120"/>
        <v>171.56066428069823</v>
      </c>
      <c r="Y321" s="314" t="str">
        <f t="shared" ca="1" si="138"/>
        <v/>
      </c>
      <c r="Z321" s="315" t="str">
        <f t="shared" ca="1" si="139"/>
        <v/>
      </c>
      <c r="AA321" s="316" t="str">
        <f t="shared" ca="1" si="140"/>
        <v/>
      </c>
      <c r="AC321" s="310" t="e">
        <f t="shared" ca="1" si="141"/>
        <v>#N/A</v>
      </c>
      <c r="AD321" s="323" t="e">
        <f t="shared" ca="1" si="142"/>
        <v>#N/A</v>
      </c>
      <c r="AE321" s="324">
        <f t="shared" ca="1" si="121"/>
        <v>402.02332999152372</v>
      </c>
      <c r="AG321" s="306">
        <f t="shared" ca="1" si="143"/>
        <v>47.678561461032189</v>
      </c>
      <c r="AH321" s="304">
        <f t="shared" ca="1" si="144"/>
        <v>57.42527724607617</v>
      </c>
    </row>
    <row r="322" spans="1:34" x14ac:dyDescent="0.2">
      <c r="A322" s="347">
        <f t="shared" ca="1" si="122"/>
        <v>0.01</v>
      </c>
      <c r="B322" s="304">
        <f t="shared" ca="1" si="123"/>
        <v>3.1799999999999762</v>
      </c>
      <c r="D322" s="306">
        <f t="shared" ca="1" si="124"/>
        <v>6.4935980818748824</v>
      </c>
      <c r="E322" s="307">
        <f t="shared" ca="1" si="125"/>
        <v>47.057676482849352</v>
      </c>
      <c r="F322" s="304">
        <f t="shared" ca="1" si="126"/>
        <v>47.50359704289184</v>
      </c>
      <c r="G322" s="306">
        <f t="shared" ca="1" si="127"/>
        <v>26.707206384474226</v>
      </c>
      <c r="H322" s="307">
        <f t="shared" ca="1" si="128"/>
        <v>233.79022405137977</v>
      </c>
      <c r="I322" s="304">
        <f t="shared" ca="1" si="129"/>
        <v>235.31073867305176</v>
      </c>
      <c r="J322" s="306">
        <f t="shared" ca="1" si="130"/>
        <v>43.4636733064021</v>
      </c>
      <c r="K322" s="307">
        <f t="shared" ca="1" si="131"/>
        <v>404.35887934821341</v>
      </c>
      <c r="L322" s="304">
        <f t="shared" ca="1" si="116"/>
        <v>406.68807974297533</v>
      </c>
      <c r="M322" s="306">
        <f t="shared" ca="1" si="132"/>
        <v>1.4570536197785655</v>
      </c>
      <c r="N322" s="304">
        <f t="shared" ca="1" si="133"/>
        <v>83.483022937571178</v>
      </c>
      <c r="P322" s="310">
        <f t="shared" ca="1" si="134"/>
        <v>10</v>
      </c>
      <c r="Q322" s="304">
        <f t="shared" ca="1" si="135"/>
        <v>717.17142857143176</v>
      </c>
      <c r="R322" s="306">
        <f t="shared" ca="1" si="136"/>
        <v>0.35925430515287377</v>
      </c>
      <c r="S322" s="307">
        <f t="shared" ca="1" si="137"/>
        <v>9.5324468359896102</v>
      </c>
      <c r="T322" s="304">
        <f t="shared" ca="1" si="117"/>
        <v>93.513303461058086</v>
      </c>
      <c r="U322" s="311">
        <f t="shared" ca="1" si="118"/>
        <v>0</v>
      </c>
      <c r="V322" s="306">
        <f t="shared" ca="1" si="119"/>
        <v>1.1764476656551159</v>
      </c>
      <c r="W322" s="304">
        <f t="shared" ca="1" si="120"/>
        <v>172.21501355326916</v>
      </c>
      <c r="Y322" s="314" t="str">
        <f t="shared" ca="1" si="138"/>
        <v/>
      </c>
      <c r="Z322" s="315" t="str">
        <f t="shared" ca="1" si="139"/>
        <v/>
      </c>
      <c r="AA322" s="316" t="str">
        <f t="shared" ca="1" si="140"/>
        <v/>
      </c>
      <c r="AC322" s="310" t="e">
        <f t="shared" ca="1" si="141"/>
        <v>#N/A</v>
      </c>
      <c r="AD322" s="323" t="e">
        <f t="shared" ca="1" si="142"/>
        <v>#N/A</v>
      </c>
      <c r="AE322" s="324">
        <f t="shared" ca="1" si="121"/>
        <v>404.35887934821341</v>
      </c>
      <c r="AG322" s="306">
        <f t="shared" ca="1" si="143"/>
        <v>47.490557725246312</v>
      </c>
      <c r="AH322" s="304">
        <f t="shared" ca="1" si="144"/>
        <v>57.23722079737054</v>
      </c>
    </row>
    <row r="323" spans="1:34" x14ac:dyDescent="0.2">
      <c r="A323" s="347">
        <f t="shared" ca="1" si="122"/>
        <v>0.01</v>
      </c>
      <c r="B323" s="304">
        <f t="shared" ca="1" si="123"/>
        <v>3.189999999999976</v>
      </c>
      <c r="D323" s="306">
        <f t="shared" ca="1" si="124"/>
        <v>6.474943785075391</v>
      </c>
      <c r="E323" s="307">
        <f t="shared" ca="1" si="125"/>
        <v>46.870527960905427</v>
      </c>
      <c r="F323" s="304">
        <f t="shared" ca="1" si="126"/>
        <v>47.315655848290888</v>
      </c>
      <c r="G323" s="306">
        <f t="shared" ca="1" si="127"/>
        <v>26.77195582232498</v>
      </c>
      <c r="H323" s="307">
        <f t="shared" ca="1" si="128"/>
        <v>234.25892933098882</v>
      </c>
      <c r="I323" s="304">
        <f t="shared" ca="1" si="129"/>
        <v>235.783764474685</v>
      </c>
      <c r="J323" s="306">
        <f t="shared" ca="1" si="130"/>
        <v>43.731069117436093</v>
      </c>
      <c r="K323" s="307">
        <f t="shared" ca="1" si="131"/>
        <v>406.69912511512524</v>
      </c>
      <c r="L323" s="304">
        <f t="shared" ca="1" si="116"/>
        <v>409.04349985736513</v>
      </c>
      <c r="M323" s="306">
        <f t="shared" ca="1" si="132"/>
        <v>1.4570063980559673</v>
      </c>
      <c r="N323" s="304">
        <f t="shared" ca="1" si="133"/>
        <v>83.480317332164958</v>
      </c>
      <c r="P323" s="310">
        <f t="shared" ca="1" si="134"/>
        <v>10</v>
      </c>
      <c r="Q323" s="304">
        <f t="shared" ca="1" si="135"/>
        <v>715.82857142857461</v>
      </c>
      <c r="R323" s="306">
        <f t="shared" ca="1" si="136"/>
        <v>0.35858162468826338</v>
      </c>
      <c r="S323" s="307">
        <f t="shared" ca="1" si="137"/>
        <v>9.5288610197427275</v>
      </c>
      <c r="T323" s="304">
        <f t="shared" ca="1" si="117"/>
        <v>93.478126603676159</v>
      </c>
      <c r="U323" s="311">
        <f t="shared" ca="1" si="118"/>
        <v>0</v>
      </c>
      <c r="V323" s="306">
        <f t="shared" ca="1" si="119"/>
        <v>1.1761722669882586</v>
      </c>
      <c r="W323" s="304">
        <f t="shared" ca="1" si="120"/>
        <v>172.86761214451417</v>
      </c>
      <c r="Y323" s="314" t="str">
        <f t="shared" ca="1" si="138"/>
        <v/>
      </c>
      <c r="Z323" s="315" t="str">
        <f t="shared" ca="1" si="139"/>
        <v/>
      </c>
      <c r="AA323" s="316" t="str">
        <f t="shared" ca="1" si="140"/>
        <v/>
      </c>
      <c r="AC323" s="310" t="e">
        <f t="shared" ca="1" si="141"/>
        <v>#N/A</v>
      </c>
      <c r="AD323" s="323" t="e">
        <f t="shared" ca="1" si="142"/>
        <v>#N/A</v>
      </c>
      <c r="AE323" s="324">
        <f t="shared" ca="1" si="121"/>
        <v>406.69912511512524</v>
      </c>
      <c r="AG323" s="306">
        <f t="shared" ca="1" si="143"/>
        <v>47.302553874720971</v>
      </c>
      <c r="AH323" s="304">
        <f t="shared" ca="1" si="144"/>
        <v>57.049164296656166</v>
      </c>
    </row>
    <row r="324" spans="1:34" x14ac:dyDescent="0.2">
      <c r="A324" s="347">
        <f t="shared" ca="1" si="122"/>
        <v>0.01</v>
      </c>
      <c r="B324" s="304">
        <f t="shared" ca="1" si="123"/>
        <v>3.1999999999999758</v>
      </c>
      <c r="D324" s="306">
        <f t="shared" ca="1" si="124"/>
        <v>6.4562677763843563</v>
      </c>
      <c r="E324" s="307">
        <f t="shared" ca="1" si="125"/>
        <v>46.683383853141898</v>
      </c>
      <c r="F324" s="304">
        <f t="shared" ca="1" si="126"/>
        <v>47.127717126762768</v>
      </c>
      <c r="G324" s="306">
        <f t="shared" ca="1" si="127"/>
        <v>26.836518500088822</v>
      </c>
      <c r="H324" s="307">
        <f t="shared" ca="1" si="128"/>
        <v>234.72576316952023</v>
      </c>
      <c r="I324" s="304">
        <f t="shared" ca="1" si="129"/>
        <v>236.25491025737287</v>
      </c>
      <c r="J324" s="306">
        <f t="shared" ca="1" si="130"/>
        <v>43.999111489048161</v>
      </c>
      <c r="K324" s="307">
        <f t="shared" ca="1" si="131"/>
        <v>409.04404857762779</v>
      </c>
      <c r="L324" s="304">
        <f t="shared" ref="L324:L387" ca="1" si="145">SQRT(pos_x^2+pos_z^2)</f>
        <v>411.40364058744353</v>
      </c>
      <c r="M324" s="306">
        <f t="shared" ca="1" si="132"/>
        <v>1.4569592510230784</v>
      </c>
      <c r="N324" s="304">
        <f t="shared" ca="1" si="133"/>
        <v>83.477616006163856</v>
      </c>
      <c r="P324" s="310">
        <f t="shared" ca="1" si="134"/>
        <v>10</v>
      </c>
      <c r="Q324" s="304">
        <f t="shared" ca="1" si="135"/>
        <v>714.48571428571756</v>
      </c>
      <c r="R324" s="306">
        <f t="shared" ca="1" si="136"/>
        <v>0.35790894422365305</v>
      </c>
      <c r="S324" s="307">
        <f t="shared" ca="1" si="137"/>
        <v>9.5252819303004905</v>
      </c>
      <c r="T324" s="304">
        <f t="shared" ref="T324:T387" ca="1" si="146">m*g</f>
        <v>93.443015736247816</v>
      </c>
      <c r="U324" s="311">
        <f t="shared" ref="U324:U387" ca="1" si="147">IF(pos_xz&lt;L_rampe,Poids*COS(Beta),0)</f>
        <v>0</v>
      </c>
      <c r="V324" s="306">
        <f t="shared" ref="V324:V387" ca="1" si="148">Rho_moyen*(20000-Alt_rampe-pos_z)/(20000+Alt_rampe+pos_z)</f>
        <v>1.1758963812009104</v>
      </c>
      <c r="W324" s="304">
        <f t="shared" ref="W324:W387" ca="1" si="149">1/2*Rho*Sref*Cx*vit_xz^2</f>
        <v>173.51844395945221</v>
      </c>
      <c r="Y324" s="314" t="str">
        <f t="shared" ca="1" si="138"/>
        <v/>
      </c>
      <c r="Z324" s="315" t="str">
        <f t="shared" ca="1" si="139"/>
        <v/>
      </c>
      <c r="AA324" s="316" t="str">
        <f t="shared" ca="1" si="140"/>
        <v/>
      </c>
      <c r="AC324" s="310" t="e">
        <f t="shared" ca="1" si="141"/>
        <v>#N/A</v>
      </c>
      <c r="AD324" s="323" t="e">
        <f t="shared" ca="1" si="142"/>
        <v>#N/A</v>
      </c>
      <c r="AE324" s="324">
        <f t="shared" ref="AE324:AE387" ca="1" si="150">IF(t&lt;T_para, pos_z, NA())</f>
        <v>409.04404857762779</v>
      </c>
      <c r="AG324" s="306">
        <f t="shared" ca="1" si="143"/>
        <v>47.114552010911503</v>
      </c>
      <c r="AH324" s="304">
        <f t="shared" ca="1" si="144"/>
        <v>56.861109844768357</v>
      </c>
    </row>
    <row r="325" spans="1:34" x14ac:dyDescent="0.2">
      <c r="A325" s="347">
        <f t="shared" ref="A325:A388" ca="1" si="151">IF(B324+0.01&lt;=T_ini+ROUNDUP(Temps_fin_propu,0), 0.01, IF(K324&gt;0, 0.1, 0.0001))</f>
        <v>0.01</v>
      </c>
      <c r="B325" s="304">
        <f t="shared" ref="B325:B388" ca="1" si="152">B324+pas</f>
        <v>3.2099999999999755</v>
      </c>
      <c r="D325" s="306">
        <f t="shared" ref="D325:D388" ca="1" si="153">IF(AND(L324&lt;L_rampe,Poussee&lt;Poids*SIN(M324)),0,(-W324+Poussee)/m*COS(M324)-U324/m*SIN(M324))</f>
        <v>6.4375703724218765</v>
      </c>
      <c r="E325" s="307">
        <f t="shared" ref="E325:E388" ca="1" si="154">IF(AND(L324&lt;L_rampe,Poussee&lt;Poids*SIN(M324)),0,(-W324+Poussee)/m*SIN(M324)+U324/m*COS(M324)-Poids/m)</f>
        <v>46.496246230084466</v>
      </c>
      <c r="F325" s="304">
        <f t="shared" ref="F325:F388" ca="1" si="155">SQRT(acc_x^2+acc_z^2)</f>
        <v>46.939782975515854</v>
      </c>
      <c r="G325" s="306">
        <f t="shared" ref="G325:G388" ca="1" si="156">G324+acc_x*pas</f>
        <v>26.900894203813042</v>
      </c>
      <c r="H325" s="307">
        <f t="shared" ref="H325:H388" ca="1" si="157">H324+acc_z*pas</f>
        <v>235.19072563182107</v>
      </c>
      <c r="I325" s="304">
        <f t="shared" ref="I325:I388" ca="1" si="158">SQRT(vit_x^2+vit_z^2)</f>
        <v>236.7241760619039</v>
      </c>
      <c r="J325" s="306">
        <f t="shared" ref="J325:J388" ca="1" si="159">J324+0.5*(vit_x+G324)*pas*(K324&gt;=0)</f>
        <v>44.267798552567669</v>
      </c>
      <c r="K325" s="307">
        <f t="shared" ref="K325:K388" ca="1" si="160">K324+0.5*(vit_z+H324)*pas</f>
        <v>411.39363102163452</v>
      </c>
      <c r="L325" s="304">
        <f t="shared" ca="1" si="145"/>
        <v>413.76848313260336</v>
      </c>
      <c r="M325" s="306">
        <f t="shared" ref="M325:M388" ca="1" si="161">IF(AND(L324&gt;L_rampe,G325&gt;0),ATAN2(G325,H325),$M$4)</f>
        <v>1.4569121780396177</v>
      </c>
      <c r="N325" s="304">
        <f t="shared" ref="N325:N388" ca="1" si="162">DEGREES(Beta)</f>
        <v>83.47491892288248</v>
      </c>
      <c r="P325" s="310">
        <f t="shared" ref="P325:P388" ca="1" si="163">MATCH(t-pas/2-T_ini,CdP_t)</f>
        <v>10</v>
      </c>
      <c r="Q325" s="304">
        <f t="shared" ref="Q325:Q388" ca="1" si="164">(INDEX(CdP,2,i_P+1)-INDEX(CdP,2,i_P+0))/(INDEX(CdP,1,i_P+1)-INDEX(CdP,1,i_P+0))*(t-pas/2-T_ini-INDEX(CdP,1,i_P+0))+INDEX(CdP,2,i_P+0)</f>
        <v>713.14285714286041</v>
      </c>
      <c r="R325" s="306">
        <f t="shared" ref="R325:R388" ca="1" si="165">Poussee/(g*ISP)</f>
        <v>0.35723626375904266</v>
      </c>
      <c r="S325" s="307">
        <f t="shared" ref="S325:S388" ca="1" si="166">S324-Débit*pas</f>
        <v>9.5217095676628993</v>
      </c>
      <c r="T325" s="304">
        <f t="shared" ca="1" si="146"/>
        <v>93.407970858773041</v>
      </c>
      <c r="U325" s="311">
        <f t="shared" ca="1" si="147"/>
        <v>0</v>
      </c>
      <c r="V325" s="306">
        <f t="shared" ca="1" si="148"/>
        <v>1.1756200108516279</v>
      </c>
      <c r="W325" s="304">
        <f t="shared" ca="1" si="149"/>
        <v>174.16749302475191</v>
      </c>
      <c r="Y325" s="314" t="str">
        <f t="shared" ref="Y325:Y388" ca="1" si="167">IF(AND(pos_z&lt;=0,K324&gt;0),"Impact balistique","") &amp; IF(AND(H326&lt;0,vit_z&gt;=0),"Apogée","") &amp; IF(AND(Poussee=0,Q324&gt;0),"Fin de propulsion","") &amp; IF(AND(L326&gt;L_rampe,pos_xz&lt;=L_rampe),"Sortie de rampe","")</f>
        <v/>
      </c>
      <c r="Z325" s="315" t="str">
        <f t="shared" ref="Z325:Z388" ca="1" si="168">IF(ABS(t-T_para)&lt;pas/2,"Para","")</f>
        <v/>
      </c>
      <c r="AA325" s="316" t="str">
        <f t="shared" ref="AA325:AA388" ca="1" si="169">IF(ABS(t-T_satellite)&lt;pas/2,"Satellite","")</f>
        <v/>
      </c>
      <c r="AC325" s="310" t="e">
        <f t="shared" ref="AC325:AC388" ca="1" si="170">IF(ABS(t-ROUND(t,0))&lt;0.001,t,NA())</f>
        <v>#N/A</v>
      </c>
      <c r="AD325" s="323" t="e">
        <f t="shared" ref="AD325:AD388" ca="1" si="171">IF(ABS(t-ROUND(t,0))&lt;0.001,pos_x,NA())</f>
        <v>#N/A</v>
      </c>
      <c r="AE325" s="324">
        <f t="shared" ca="1" si="150"/>
        <v>411.39363102163452</v>
      </c>
      <c r="AG325" s="306">
        <f t="shared" ref="AG325:AG388" ca="1" si="172">IF(AND(L324&lt;L_rampe,Poussee&lt;Poids*SIN(M324)),0,(-W324+Poussee)/m-Poids*SIN(M324)/m)</f>
        <v>46.926554225654002</v>
      </c>
      <c r="AH325" s="304">
        <f t="shared" ref="AH325:AH388" ca="1" si="173">IF(AND(L324&lt;L_rampe,Poussee&lt;Poids*SIN(M324)), g*SIN(M324), (-W324+Poussee)/m)</f>
        <v>56.673059532927859</v>
      </c>
    </row>
    <row r="326" spans="1:34" x14ac:dyDescent="0.2">
      <c r="A326" s="347">
        <f t="shared" ca="1" si="151"/>
        <v>0.01</v>
      </c>
      <c r="B326" s="304">
        <f t="shared" ca="1" si="152"/>
        <v>3.2199999999999753</v>
      </c>
      <c r="D326" s="306">
        <f t="shared" ca="1" si="153"/>
        <v>6.4188518883151646</v>
      </c>
      <c r="E326" s="307">
        <f t="shared" ca="1" si="154"/>
        <v>46.309117152694697</v>
      </c>
      <c r="F326" s="304">
        <f t="shared" ca="1" si="155"/>
        <v>46.751855482174491</v>
      </c>
      <c r="G326" s="306">
        <f t="shared" ca="1" si="156"/>
        <v>26.965082722696195</v>
      </c>
      <c r="H326" s="307">
        <f t="shared" ca="1" si="157"/>
        <v>235.65381680334801</v>
      </c>
      <c r="I326" s="304">
        <f t="shared" ca="1" si="158"/>
        <v>237.19156194988841</v>
      </c>
      <c r="J326" s="306">
        <f t="shared" ca="1" si="159"/>
        <v>44.537128437200217</v>
      </c>
      <c r="K326" s="307">
        <f t="shared" ca="1" si="160"/>
        <v>413.74785373381036</v>
      </c>
      <c r="L326" s="304">
        <f t="shared" ca="1" si="145"/>
        <v>416.13800869274871</v>
      </c>
      <c r="M326" s="306">
        <f t="shared" ca="1" si="161"/>
        <v>1.4568651784706137</v>
      </c>
      <c r="N326" s="304">
        <f t="shared" ca="1" si="162"/>
        <v>83.472226045939607</v>
      </c>
      <c r="P326" s="310">
        <f t="shared" ca="1" si="163"/>
        <v>10</v>
      </c>
      <c r="Q326" s="304">
        <f t="shared" ca="1" si="164"/>
        <v>711.80000000000337</v>
      </c>
      <c r="R326" s="306">
        <f t="shared" ca="1" si="165"/>
        <v>0.35656358329443238</v>
      </c>
      <c r="S326" s="307">
        <f t="shared" ca="1" si="166"/>
        <v>9.5181439318299557</v>
      </c>
      <c r="T326" s="304">
        <f t="shared" ca="1" si="146"/>
        <v>93.372991971251864</v>
      </c>
      <c r="U326" s="311">
        <f t="shared" ca="1" si="147"/>
        <v>0</v>
      </c>
      <c r="V326" s="306">
        <f t="shared" ca="1" si="148"/>
        <v>1.1753431584973544</v>
      </c>
      <c r="W326" s="304">
        <f t="shared" ca="1" si="149"/>
        <v>174.81474348880579</v>
      </c>
      <c r="Y326" s="314" t="str">
        <f t="shared" ca="1" si="167"/>
        <v/>
      </c>
      <c r="Z326" s="315" t="str">
        <f t="shared" ca="1" si="168"/>
        <v/>
      </c>
      <c r="AA326" s="316" t="str">
        <f t="shared" ca="1" si="169"/>
        <v/>
      </c>
      <c r="AC326" s="310" t="e">
        <f t="shared" ca="1" si="170"/>
        <v>#N/A</v>
      </c>
      <c r="AD326" s="323" t="e">
        <f t="shared" ca="1" si="171"/>
        <v>#N/A</v>
      </c>
      <c r="AE326" s="324">
        <f t="shared" ca="1" si="150"/>
        <v>413.74785373381036</v>
      </c>
      <c r="AG326" s="306">
        <f t="shared" ca="1" si="172"/>
        <v>46.738562601123974</v>
      </c>
      <c r="AH326" s="304">
        <f t="shared" ca="1" si="173"/>
        <v>56.485015442699485</v>
      </c>
    </row>
    <row r="327" spans="1:34" x14ac:dyDescent="0.2">
      <c r="A327" s="347">
        <f t="shared" ca="1" si="151"/>
        <v>0.01</v>
      </c>
      <c r="B327" s="304">
        <f t="shared" ca="1" si="152"/>
        <v>3.2299999999999751</v>
      </c>
      <c r="D327" s="306">
        <f t="shared" ca="1" si="153"/>
        <v>6.400112637698923</v>
      </c>
      <c r="E327" s="307">
        <f t="shared" ca="1" si="154"/>
        <v>46.121998672329326</v>
      </c>
      <c r="F327" s="304">
        <f t="shared" ca="1" si="155"/>
        <v>46.563936724739911</v>
      </c>
      <c r="G327" s="306">
        <f t="shared" ca="1" si="156"/>
        <v>27.029083849073185</v>
      </c>
      <c r="H327" s="307">
        <f t="shared" ca="1" si="157"/>
        <v>236.11503679007131</v>
      </c>
      <c r="I327" s="304">
        <f t="shared" ca="1" si="158"/>
        <v>237.65706800366144</v>
      </c>
      <c r="J327" s="306">
        <f t="shared" ca="1" si="159"/>
        <v>44.807099270059062</v>
      </c>
      <c r="K327" s="307">
        <f t="shared" ca="1" si="160"/>
        <v>416.10669800177743</v>
      </c>
      <c r="L327" s="304">
        <f t="shared" ca="1" si="145"/>
        <v>418.51219846850262</v>
      </c>
      <c r="M327" s="306">
        <f t="shared" ca="1" si="161"/>
        <v>1.4568182516863393</v>
      </c>
      <c r="N327" s="304">
        <f t="shared" ca="1" si="162"/>
        <v>83.469537339254572</v>
      </c>
      <c r="P327" s="310">
        <f t="shared" ca="1" si="163"/>
        <v>10</v>
      </c>
      <c r="Q327" s="304">
        <f t="shared" ca="1" si="164"/>
        <v>710.45714285714621</v>
      </c>
      <c r="R327" s="306">
        <f t="shared" ca="1" si="165"/>
        <v>0.355890902829822</v>
      </c>
      <c r="S327" s="307">
        <f t="shared" ca="1" si="166"/>
        <v>9.5145850228016577</v>
      </c>
      <c r="T327" s="304">
        <f t="shared" ca="1" si="146"/>
        <v>93.33807907368427</v>
      </c>
      <c r="U327" s="311">
        <f t="shared" ca="1" si="147"/>
        <v>0</v>
      </c>
      <c r="V327" s="306">
        <f t="shared" ca="1" si="148"/>
        <v>1.1750658266933853</v>
      </c>
      <c r="W327" s="304">
        <f t="shared" ca="1" si="149"/>
        <v>175.46017962179636</v>
      </c>
      <c r="Y327" s="314" t="str">
        <f t="shared" ca="1" si="167"/>
        <v/>
      </c>
      <c r="Z327" s="315" t="str">
        <f t="shared" ca="1" si="168"/>
        <v/>
      </c>
      <c r="AA327" s="316" t="str">
        <f t="shared" ca="1" si="169"/>
        <v/>
      </c>
      <c r="AC327" s="310" t="e">
        <f t="shared" ca="1" si="170"/>
        <v>#N/A</v>
      </c>
      <c r="AD327" s="323" t="e">
        <f t="shared" ca="1" si="171"/>
        <v>#N/A</v>
      </c>
      <c r="AE327" s="324">
        <f t="shared" ca="1" si="150"/>
        <v>416.10669800177743</v>
      </c>
      <c r="AG327" s="306">
        <f t="shared" ca="1" si="172"/>
        <v>46.550579209795856</v>
      </c>
      <c r="AH327" s="304">
        <f t="shared" ca="1" si="173"/>
        <v>56.296979645951552</v>
      </c>
    </row>
    <row r="328" spans="1:34" x14ac:dyDescent="0.2">
      <c r="A328" s="347">
        <f t="shared" ca="1" si="151"/>
        <v>0.01</v>
      </c>
      <c r="B328" s="304">
        <f t="shared" ca="1" si="152"/>
        <v>3.2399999999999749</v>
      </c>
      <c r="D328" s="306">
        <f t="shared" ca="1" si="153"/>
        <v>6.3813529327157026</v>
      </c>
      <c r="E328" s="307">
        <f t="shared" ca="1" si="154"/>
        <v>45.934892830700313</v>
      </c>
      <c r="F328" s="304">
        <f t="shared" ca="1" si="155"/>
        <v>46.376028771551823</v>
      </c>
      <c r="G328" s="306">
        <f t="shared" ca="1" si="156"/>
        <v>27.092897378400341</v>
      </c>
      <c r="H328" s="307">
        <f t="shared" ca="1" si="157"/>
        <v>236.57438571837832</v>
      </c>
      <c r="I328" s="304">
        <f t="shared" ca="1" si="158"/>
        <v>238.12069432618529</v>
      </c>
      <c r="J328" s="306">
        <f t="shared" ca="1" si="159"/>
        <v>45.077709176196429</v>
      </c>
      <c r="K328" s="307">
        <f t="shared" ca="1" si="160"/>
        <v>418.47014511431968</v>
      </c>
      <c r="L328" s="304">
        <f t="shared" ca="1" si="145"/>
        <v>420.89103366141393</v>
      </c>
      <c r="M328" s="306">
        <f t="shared" ca="1" si="161"/>
        <v>1.4567713970622458</v>
      </c>
      <c r="N328" s="304">
        <f t="shared" ca="1" si="162"/>
        <v>83.466852767043335</v>
      </c>
      <c r="P328" s="310">
        <f t="shared" ca="1" si="163"/>
        <v>10</v>
      </c>
      <c r="Q328" s="304">
        <f t="shared" ca="1" si="164"/>
        <v>709.11428571428905</v>
      </c>
      <c r="R328" s="306">
        <f t="shared" ca="1" si="165"/>
        <v>0.35521822236521161</v>
      </c>
      <c r="S328" s="307">
        <f t="shared" ca="1" si="166"/>
        <v>9.5110328405780056</v>
      </c>
      <c r="T328" s="304">
        <f t="shared" ca="1" si="146"/>
        <v>93.303232166070245</v>
      </c>
      <c r="U328" s="311">
        <f t="shared" ca="1" si="147"/>
        <v>0</v>
      </c>
      <c r="V328" s="306">
        <f t="shared" ca="1" si="148"/>
        <v>1.1747880179933363</v>
      </c>
      <c r="W328" s="304">
        <f t="shared" ca="1" si="149"/>
        <v>176.10378581575478</v>
      </c>
      <c r="Y328" s="314" t="str">
        <f t="shared" ca="1" si="167"/>
        <v/>
      </c>
      <c r="Z328" s="315" t="str">
        <f t="shared" ca="1" si="168"/>
        <v/>
      </c>
      <c r="AA328" s="316" t="str">
        <f t="shared" ca="1" si="169"/>
        <v/>
      </c>
      <c r="AC328" s="310" t="e">
        <f t="shared" ca="1" si="170"/>
        <v>#N/A</v>
      </c>
      <c r="AD328" s="323" t="e">
        <f t="shared" ca="1" si="171"/>
        <v>#N/A</v>
      </c>
      <c r="AE328" s="324">
        <f t="shared" ca="1" si="150"/>
        <v>418.47014511431968</v>
      </c>
      <c r="AG328" s="306">
        <f t="shared" ca="1" si="172"/>
        <v>46.362606114403199</v>
      </c>
      <c r="AH328" s="304">
        <f t="shared" ca="1" si="173"/>
        <v>56.108954204816037</v>
      </c>
    </row>
    <row r="329" spans="1:34" x14ac:dyDescent="0.2">
      <c r="A329" s="347">
        <f t="shared" ca="1" si="151"/>
        <v>0.01</v>
      </c>
      <c r="B329" s="304">
        <f t="shared" ca="1" si="152"/>
        <v>3.2499999999999747</v>
      </c>
      <c r="D329" s="306">
        <f t="shared" ca="1" si="153"/>
        <v>6.3625730840163284</v>
      </c>
      <c r="E329" s="307">
        <f t="shared" ca="1" si="154"/>
        <v>45.747801659835744</v>
      </c>
      <c r="F329" s="304">
        <f t="shared" ca="1" si="155"/>
        <v>46.188133681251067</v>
      </c>
      <c r="G329" s="306">
        <f t="shared" ca="1" si="156"/>
        <v>27.156523109240503</v>
      </c>
      <c r="H329" s="307">
        <f t="shared" ca="1" si="157"/>
        <v>237.03186373497667</v>
      </c>
      <c r="I329" s="304">
        <f t="shared" ca="1" si="158"/>
        <v>238.58244104095184</v>
      </c>
      <c r="J329" s="306">
        <f t="shared" ca="1" si="159"/>
        <v>45.348956278634631</v>
      </c>
      <c r="K329" s="307">
        <f t="shared" ca="1" si="160"/>
        <v>420.83817636158648</v>
      </c>
      <c r="L329" s="304">
        <f t="shared" ca="1" si="145"/>
        <v>423.27449547416307</v>
      </c>
      <c r="M329" s="306">
        <f t="shared" ca="1" si="161"/>
        <v>1.4567246139789003</v>
      </c>
      <c r="N329" s="304">
        <f t="shared" ca="1" si="162"/>
        <v>83.464172293815025</v>
      </c>
      <c r="P329" s="310">
        <f t="shared" ca="1" si="163"/>
        <v>10</v>
      </c>
      <c r="Q329" s="304">
        <f t="shared" ca="1" si="164"/>
        <v>707.77142857143201</v>
      </c>
      <c r="R329" s="306">
        <f t="shared" ca="1" si="165"/>
        <v>0.35454554190060128</v>
      </c>
      <c r="S329" s="307">
        <f t="shared" ca="1" si="166"/>
        <v>9.5074873851589992</v>
      </c>
      <c r="T329" s="304">
        <f t="shared" ca="1" si="146"/>
        <v>93.268451248409789</v>
      </c>
      <c r="U329" s="311">
        <f t="shared" ca="1" si="147"/>
        <v>0</v>
      </c>
      <c r="V329" s="306">
        <f t="shared" ca="1" si="148"/>
        <v>1.1745097349491072</v>
      </c>
      <c r="W329" s="304">
        <f t="shared" ca="1" si="149"/>
        <v>176.74554658461182</v>
      </c>
      <c r="Y329" s="314" t="str">
        <f t="shared" ca="1" si="167"/>
        <v/>
      </c>
      <c r="Z329" s="315" t="str">
        <f t="shared" ca="1" si="168"/>
        <v/>
      </c>
      <c r="AA329" s="316" t="str">
        <f t="shared" ca="1" si="169"/>
        <v/>
      </c>
      <c r="AC329" s="310" t="e">
        <f t="shared" ca="1" si="170"/>
        <v>#N/A</v>
      </c>
      <c r="AD329" s="323" t="e">
        <f t="shared" ca="1" si="171"/>
        <v>#N/A</v>
      </c>
      <c r="AE329" s="324">
        <f t="shared" ca="1" si="150"/>
        <v>420.83817636158648</v>
      </c>
      <c r="AG329" s="306">
        <f t="shared" ca="1" si="172"/>
        <v>46.174645367899807</v>
      </c>
      <c r="AH329" s="304">
        <f t="shared" ca="1" si="173"/>
        <v>55.920941171649616</v>
      </c>
    </row>
    <row r="330" spans="1:34" x14ac:dyDescent="0.2">
      <c r="A330" s="347">
        <f t="shared" ca="1" si="151"/>
        <v>0.01</v>
      </c>
      <c r="B330" s="304">
        <f t="shared" ca="1" si="152"/>
        <v>3.2599999999999745</v>
      </c>
      <c r="D330" s="306">
        <f t="shared" ca="1" si="153"/>
        <v>6.3440301126961245</v>
      </c>
      <c r="E330" s="307">
        <f t="shared" ca="1" si="154"/>
        <v>45.562967855796806</v>
      </c>
      <c r="F330" s="304">
        <f t="shared" ca="1" si="155"/>
        <v>46.002508169654931</v>
      </c>
      <c r="G330" s="306">
        <f t="shared" ca="1" si="156"/>
        <v>27.219963410367463</v>
      </c>
      <c r="H330" s="307">
        <f t="shared" ca="1" si="157"/>
        <v>237.48749341353462</v>
      </c>
      <c r="I330" s="304">
        <f t="shared" ca="1" si="158"/>
        <v>239.04233084519862</v>
      </c>
      <c r="J330" s="306">
        <f t="shared" ca="1" si="159"/>
        <v>45.620838711232672</v>
      </c>
      <c r="K330" s="307">
        <f t="shared" ca="1" si="160"/>
        <v>423.21077314732901</v>
      </c>
      <c r="L330" s="304">
        <f t="shared" ca="1" si="145"/>
        <v>425.66256522353041</v>
      </c>
      <c r="M330" s="306">
        <f t="shared" ca="1" si="161"/>
        <v>1.4566779018263287</v>
      </c>
      <c r="N330" s="304">
        <f t="shared" ca="1" si="162"/>
        <v>83.461495884620703</v>
      </c>
      <c r="P330" s="310">
        <f t="shared" ca="1" si="163"/>
        <v>11</v>
      </c>
      <c r="Q330" s="304">
        <f t="shared" ca="1" si="164"/>
        <v>706.45000000000334</v>
      </c>
      <c r="R330" s="306">
        <f t="shared" ca="1" si="165"/>
        <v>0.35388359569872402</v>
      </c>
      <c r="S330" s="307">
        <f t="shared" ca="1" si="166"/>
        <v>9.5039485492020113</v>
      </c>
      <c r="T330" s="304">
        <f t="shared" ca="1" si="146"/>
        <v>93.233735267671733</v>
      </c>
      <c r="U330" s="311">
        <f t="shared" ca="1" si="147"/>
        <v>0</v>
      </c>
      <c r="V330" s="306">
        <f t="shared" ca="1" si="148"/>
        <v>1.1742309800976916</v>
      </c>
      <c r="W330" s="304">
        <f t="shared" ca="1" si="149"/>
        <v>177.3854800344034</v>
      </c>
      <c r="Y330" s="314" t="str">
        <f t="shared" ca="1" si="167"/>
        <v/>
      </c>
      <c r="Z330" s="315" t="str">
        <f t="shared" ca="1" si="168"/>
        <v/>
      </c>
      <c r="AA330" s="316" t="str">
        <f t="shared" ca="1" si="169"/>
        <v/>
      </c>
      <c r="AC330" s="310" t="e">
        <f t="shared" ca="1" si="170"/>
        <v>#N/A</v>
      </c>
      <c r="AD330" s="323" t="e">
        <f t="shared" ca="1" si="171"/>
        <v>#N/A</v>
      </c>
      <c r="AE330" s="324">
        <f t="shared" ca="1" si="150"/>
        <v>423.21077314732901</v>
      </c>
      <c r="AG330" s="306">
        <f t="shared" ca="1" si="172"/>
        <v>45.988954344859636</v>
      </c>
      <c r="AH330" s="304">
        <f t="shared" ca="1" si="173"/>
        <v>55.735197920433563</v>
      </c>
    </row>
    <row r="331" spans="1:34" x14ac:dyDescent="0.2">
      <c r="A331" s="347">
        <f t="shared" ca="1" si="151"/>
        <v>0.01</v>
      </c>
      <c r="B331" s="304">
        <f t="shared" ca="1" si="152"/>
        <v>3.2699999999999743</v>
      </c>
      <c r="D331" s="306">
        <f t="shared" ca="1" si="153"/>
        <v>6.3257245962072384</v>
      </c>
      <c r="E331" s="307">
        <f t="shared" ca="1" si="154"/>
        <v>45.380393011528298</v>
      </c>
      <c r="F331" s="304">
        <f t="shared" ca="1" si="155"/>
        <v>45.819153872019804</v>
      </c>
      <c r="G331" s="306">
        <f t="shared" ca="1" si="156"/>
        <v>27.283220656329537</v>
      </c>
      <c r="H331" s="307">
        <f t="shared" ca="1" si="157"/>
        <v>237.94129734364989</v>
      </c>
      <c r="I331" s="304">
        <f t="shared" ca="1" si="158"/>
        <v>239.5003864526343</v>
      </c>
      <c r="J331" s="306">
        <f t="shared" ca="1" si="159"/>
        <v>45.893354631566154</v>
      </c>
      <c r="K331" s="307">
        <f t="shared" ca="1" si="160"/>
        <v>425.58791710111495</v>
      </c>
      <c r="L331" s="304">
        <f t="shared" ca="1" si="145"/>
        <v>428.05522445334572</v>
      </c>
      <c r="M331" s="306">
        <f t="shared" ca="1" si="161"/>
        <v>1.4566312600038962</v>
      </c>
      <c r="N331" s="304">
        <f t="shared" ca="1" si="162"/>
        <v>83.458823505046524</v>
      </c>
      <c r="P331" s="310">
        <f t="shared" ca="1" si="163"/>
        <v>11</v>
      </c>
      <c r="Q331" s="304">
        <f t="shared" ca="1" si="164"/>
        <v>705.15000000000339</v>
      </c>
      <c r="R331" s="306">
        <f t="shared" ca="1" si="165"/>
        <v>0.35323238375957994</v>
      </c>
      <c r="S331" s="307">
        <f t="shared" ca="1" si="166"/>
        <v>9.5004162253644147</v>
      </c>
      <c r="T331" s="304">
        <f t="shared" ca="1" si="146"/>
        <v>93.199083170824906</v>
      </c>
      <c r="U331" s="311">
        <f t="shared" ca="1" si="147"/>
        <v>0</v>
      </c>
      <c r="V331" s="306">
        <f t="shared" ca="1" si="148"/>
        <v>1.1739517559480015</v>
      </c>
      <c r="W331" s="304">
        <f t="shared" ca="1" si="149"/>
        <v>178.02360460802672</v>
      </c>
      <c r="Y331" s="314" t="str">
        <f t="shared" ca="1" si="167"/>
        <v/>
      </c>
      <c r="Z331" s="315" t="str">
        <f t="shared" ca="1" si="168"/>
        <v/>
      </c>
      <c r="AA331" s="316" t="str">
        <f t="shared" ca="1" si="169"/>
        <v/>
      </c>
      <c r="AC331" s="310" t="e">
        <f t="shared" ca="1" si="170"/>
        <v>#N/A</v>
      </c>
      <c r="AD331" s="323" t="e">
        <f t="shared" ca="1" si="171"/>
        <v>#N/A</v>
      </c>
      <c r="AE331" s="324">
        <f t="shared" ca="1" si="150"/>
        <v>425.58791710111495</v>
      </c>
      <c r="AG331" s="306">
        <f t="shared" ca="1" si="172"/>
        <v>45.805534692399412</v>
      </c>
      <c r="AH331" s="304">
        <f t="shared" ca="1" si="173"/>
        <v>55.55172609770117</v>
      </c>
    </row>
    <row r="332" spans="1:34" x14ac:dyDescent="0.2">
      <c r="A332" s="347">
        <f t="shared" ca="1" si="151"/>
        <v>0.01</v>
      </c>
      <c r="B332" s="304">
        <f t="shared" ca="1" si="152"/>
        <v>3.279999999999974</v>
      </c>
      <c r="D332" s="306">
        <f t="shared" ca="1" si="153"/>
        <v>6.3073999930153493</v>
      </c>
      <c r="E332" s="307">
        <f t="shared" ca="1" si="154"/>
        <v>45.197836358763141</v>
      </c>
      <c r="F332" s="304">
        <f t="shared" ca="1" si="155"/>
        <v>45.635816046011726</v>
      </c>
      <c r="G332" s="306">
        <f t="shared" ca="1" si="156"/>
        <v>27.34629465625969</v>
      </c>
      <c r="H332" s="307">
        <f t="shared" ca="1" si="157"/>
        <v>238.39327570723754</v>
      </c>
      <c r="I332" s="304">
        <f t="shared" ca="1" si="158"/>
        <v>239.9566080228964</v>
      </c>
      <c r="J332" s="306">
        <f t="shared" ca="1" si="159"/>
        <v>46.166502208129103</v>
      </c>
      <c r="K332" s="307">
        <f t="shared" ca="1" si="160"/>
        <v>427.96958996636937</v>
      </c>
      <c r="L332" s="304">
        <f t="shared" ca="1" si="145"/>
        <v>430.45245482180201</v>
      </c>
      <c r="M332" s="306">
        <f t="shared" ca="1" si="161"/>
        <v>1.4565846879158062</v>
      </c>
      <c r="N332" s="304">
        <f t="shared" ca="1" si="162"/>
        <v>83.456155120955856</v>
      </c>
      <c r="P332" s="310">
        <f t="shared" ca="1" si="163"/>
        <v>11</v>
      </c>
      <c r="Q332" s="304">
        <f t="shared" ca="1" si="164"/>
        <v>703.85000000000343</v>
      </c>
      <c r="R332" s="306">
        <f t="shared" ca="1" si="165"/>
        <v>0.35258117182043586</v>
      </c>
      <c r="S332" s="307">
        <f t="shared" ca="1" si="166"/>
        <v>9.4968904136462111</v>
      </c>
      <c r="T332" s="304">
        <f t="shared" ca="1" si="146"/>
        <v>93.164494957869337</v>
      </c>
      <c r="U332" s="311">
        <f t="shared" ca="1" si="147"/>
        <v>0</v>
      </c>
      <c r="V332" s="306">
        <f t="shared" ca="1" si="148"/>
        <v>1.1736720649940358</v>
      </c>
      <c r="W332" s="304">
        <f t="shared" ca="1" si="149"/>
        <v>178.65990547444525</v>
      </c>
      <c r="Y332" s="314" t="str">
        <f t="shared" ca="1" si="167"/>
        <v/>
      </c>
      <c r="Z332" s="315" t="str">
        <f t="shared" ca="1" si="168"/>
        <v/>
      </c>
      <c r="AA332" s="316" t="str">
        <f t="shared" ca="1" si="169"/>
        <v/>
      </c>
      <c r="AC332" s="310" t="e">
        <f t="shared" ca="1" si="170"/>
        <v>#N/A</v>
      </c>
      <c r="AD332" s="323" t="e">
        <f t="shared" ca="1" si="171"/>
        <v>#N/A</v>
      </c>
      <c r="AE332" s="324">
        <f t="shared" ca="1" si="150"/>
        <v>427.96958996636937</v>
      </c>
      <c r="AG332" s="306">
        <f t="shared" ca="1" si="172"/>
        <v>45.622131003401044</v>
      </c>
      <c r="AH332" s="304">
        <f t="shared" ca="1" si="173"/>
        <v>55.368270295760134</v>
      </c>
    </row>
    <row r="333" spans="1:34" x14ac:dyDescent="0.2">
      <c r="A333" s="347">
        <f t="shared" ca="1" si="151"/>
        <v>0.01</v>
      </c>
      <c r="B333" s="304">
        <f t="shared" ca="1" si="152"/>
        <v>3.2899999999999738</v>
      </c>
      <c r="D333" s="306">
        <f t="shared" ca="1" si="153"/>
        <v>6.289056599759701</v>
      </c>
      <c r="E333" s="307">
        <f t="shared" ca="1" si="154"/>
        <v>45.01529983570353</v>
      </c>
      <c r="F333" s="304">
        <f t="shared" ca="1" si="155"/>
        <v>45.452496655445358</v>
      </c>
      <c r="G333" s="306">
        <f t="shared" ca="1" si="156"/>
        <v>27.409185222257289</v>
      </c>
      <c r="H333" s="307">
        <f t="shared" ca="1" si="157"/>
        <v>238.84342870559456</v>
      </c>
      <c r="I333" s="304">
        <f t="shared" ca="1" si="158"/>
        <v>240.41099573520432</v>
      </c>
      <c r="J333" s="306">
        <f t="shared" ca="1" si="159"/>
        <v>46.440279607521688</v>
      </c>
      <c r="K333" s="307">
        <f t="shared" ca="1" si="160"/>
        <v>430.35577348843356</v>
      </c>
      <c r="L333" s="304">
        <f t="shared" ca="1" si="145"/>
        <v>432.85423798878617</v>
      </c>
      <c r="M333" s="306">
        <f t="shared" ca="1" si="161"/>
        <v>1.4565381849710435</v>
      </c>
      <c r="N333" s="304">
        <f t="shared" ca="1" si="162"/>
        <v>83.453490698486021</v>
      </c>
      <c r="P333" s="310">
        <f t="shared" ca="1" si="163"/>
        <v>11</v>
      </c>
      <c r="Q333" s="304">
        <f t="shared" ca="1" si="164"/>
        <v>702.55000000000337</v>
      </c>
      <c r="R333" s="306">
        <f t="shared" ca="1" si="165"/>
        <v>0.35192995988129178</v>
      </c>
      <c r="S333" s="307">
        <f t="shared" ca="1" si="166"/>
        <v>9.4933711140473989</v>
      </c>
      <c r="T333" s="304">
        <f t="shared" ca="1" si="146"/>
        <v>93.129970628804983</v>
      </c>
      <c r="U333" s="311">
        <f t="shared" ca="1" si="147"/>
        <v>0</v>
      </c>
      <c r="V333" s="306">
        <f t="shared" ca="1" si="148"/>
        <v>1.1733919097280296</v>
      </c>
      <c r="W333" s="304">
        <f t="shared" ca="1" si="149"/>
        <v>179.29436791983505</v>
      </c>
      <c r="Y333" s="314" t="str">
        <f t="shared" ca="1" si="167"/>
        <v/>
      </c>
      <c r="Z333" s="315" t="str">
        <f t="shared" ca="1" si="168"/>
        <v/>
      </c>
      <c r="AA333" s="316" t="str">
        <f t="shared" ca="1" si="169"/>
        <v/>
      </c>
      <c r="AC333" s="310" t="e">
        <f t="shared" ca="1" si="170"/>
        <v>#N/A</v>
      </c>
      <c r="AD333" s="323" t="e">
        <f t="shared" ca="1" si="171"/>
        <v>#N/A</v>
      </c>
      <c r="AE333" s="324">
        <f t="shared" ca="1" si="150"/>
        <v>430.35577348843356</v>
      </c>
      <c r="AG333" s="306">
        <f t="shared" ca="1" si="172"/>
        <v>45.438745236069423</v>
      </c>
      <c r="AH333" s="304">
        <f t="shared" ca="1" si="173"/>
        <v>55.184832472245262</v>
      </c>
    </row>
    <row r="334" spans="1:34" x14ac:dyDescent="0.2">
      <c r="A334" s="347">
        <f t="shared" ca="1" si="151"/>
        <v>0.01</v>
      </c>
      <c r="B334" s="304">
        <f t="shared" ca="1" si="152"/>
        <v>3.2999999999999736</v>
      </c>
      <c r="D334" s="306">
        <f t="shared" ca="1" si="153"/>
        <v>6.2706947116523022</v>
      </c>
      <c r="E334" s="307">
        <f t="shared" ca="1" si="154"/>
        <v>44.83278537111984</v>
      </c>
      <c r="F334" s="304">
        <f t="shared" ca="1" si="155"/>
        <v>45.269197654692768</v>
      </c>
      <c r="G334" s="306">
        <f t="shared" ca="1" si="156"/>
        <v>27.471892169373813</v>
      </c>
      <c r="H334" s="307">
        <f t="shared" ca="1" si="157"/>
        <v>239.29175655930575</v>
      </c>
      <c r="I334" s="304">
        <f t="shared" ca="1" si="158"/>
        <v>240.86354978826446</v>
      </c>
      <c r="J334" s="306">
        <f t="shared" ca="1" si="159"/>
        <v>46.714684994479846</v>
      </c>
      <c r="K334" s="307">
        <f t="shared" ca="1" si="160"/>
        <v>432.74644941475805</v>
      </c>
      <c r="L334" s="304">
        <f t="shared" ca="1" si="145"/>
        <v>435.26055561607376</v>
      </c>
      <c r="M334" s="306">
        <f t="shared" ca="1" si="161"/>
        <v>1.4564917505833153</v>
      </c>
      <c r="N334" s="304">
        <f t="shared" ca="1" si="162"/>
        <v>83.450830204044919</v>
      </c>
      <c r="P334" s="310">
        <f t="shared" ca="1" si="163"/>
        <v>11</v>
      </c>
      <c r="Q334" s="304">
        <f t="shared" ca="1" si="164"/>
        <v>701.25000000000341</v>
      </c>
      <c r="R334" s="306">
        <f t="shared" ca="1" si="165"/>
        <v>0.3512787479421477</v>
      </c>
      <c r="S334" s="307">
        <f t="shared" ca="1" si="166"/>
        <v>9.4898583265679779</v>
      </c>
      <c r="T334" s="304">
        <f t="shared" ca="1" si="146"/>
        <v>93.095510183631873</v>
      </c>
      <c r="U334" s="311">
        <f t="shared" ca="1" si="147"/>
        <v>0</v>
      </c>
      <c r="V334" s="306">
        <f t="shared" ca="1" si="148"/>
        <v>1.1731112926404212</v>
      </c>
      <c r="W334" s="304">
        <f t="shared" ca="1" si="149"/>
        <v>179.92697734760816</v>
      </c>
      <c r="Y334" s="314" t="str">
        <f t="shared" ca="1" si="167"/>
        <v/>
      </c>
      <c r="Z334" s="315" t="str">
        <f t="shared" ca="1" si="168"/>
        <v/>
      </c>
      <c r="AA334" s="316" t="str">
        <f t="shared" ca="1" si="169"/>
        <v/>
      </c>
      <c r="AC334" s="310" t="e">
        <f t="shared" ca="1" si="170"/>
        <v>#N/A</v>
      </c>
      <c r="AD334" s="323" t="e">
        <f t="shared" ca="1" si="171"/>
        <v>#N/A</v>
      </c>
      <c r="AE334" s="324">
        <f t="shared" ca="1" si="150"/>
        <v>432.74644941475805</v>
      </c>
      <c r="AG334" s="306">
        <f t="shared" ca="1" si="172"/>
        <v>45.255379339086552</v>
      </c>
      <c r="AH334" s="304">
        <f t="shared" ca="1" si="173"/>
        <v>55.001414575272634</v>
      </c>
    </row>
    <row r="335" spans="1:34" x14ac:dyDescent="0.2">
      <c r="A335" s="347">
        <f t="shared" ca="1" si="151"/>
        <v>0.01</v>
      </c>
      <c r="B335" s="304">
        <f t="shared" ca="1" si="152"/>
        <v>3.3099999999999734</v>
      </c>
      <c r="D335" s="306">
        <f t="shared" ca="1" si="153"/>
        <v>6.2523146224782513</v>
      </c>
      <c r="E335" s="307">
        <f t="shared" ca="1" si="154"/>
        <v>44.650294884316907</v>
      </c>
      <c r="F335" s="304">
        <f t="shared" ca="1" si="155"/>
        <v>45.085920988651345</v>
      </c>
      <c r="G335" s="306">
        <f t="shared" ca="1" si="156"/>
        <v>27.534415315598597</v>
      </c>
      <c r="H335" s="307">
        <f t="shared" ca="1" si="157"/>
        <v>239.73825950814893</v>
      </c>
      <c r="I335" s="304">
        <f t="shared" ca="1" si="158"/>
        <v>241.31427040017428</v>
      </c>
      <c r="J335" s="306">
        <f t="shared" ca="1" si="159"/>
        <v>46.989716531904705</v>
      </c>
      <c r="K335" s="307">
        <f t="shared" ca="1" si="160"/>
        <v>435.14159949509531</v>
      </c>
      <c r="L335" s="304">
        <f t="shared" ca="1" si="145"/>
        <v>437.67138936752383</v>
      </c>
      <c r="M335" s="306">
        <f t="shared" ca="1" si="161"/>
        <v>1.4564453841709946</v>
      </c>
      <c r="N335" s="304">
        <f t="shared" ca="1" si="162"/>
        <v>83.448173604307783</v>
      </c>
      <c r="P335" s="310">
        <f t="shared" ca="1" si="163"/>
        <v>11</v>
      </c>
      <c r="Q335" s="304">
        <f t="shared" ca="1" si="164"/>
        <v>699.95000000000346</v>
      </c>
      <c r="R335" s="306">
        <f t="shared" ca="1" si="165"/>
        <v>0.35062753600300361</v>
      </c>
      <c r="S335" s="307">
        <f t="shared" ca="1" si="166"/>
        <v>9.4863520512079482</v>
      </c>
      <c r="T335" s="304">
        <f t="shared" ca="1" si="146"/>
        <v>93.061113622349978</v>
      </c>
      <c r="U335" s="311">
        <f t="shared" ca="1" si="147"/>
        <v>0</v>
      </c>
      <c r="V335" s="306">
        <f t="shared" ca="1" si="148"/>
        <v>1.1728302162198219</v>
      </c>
      <c r="W335" s="304">
        <f t="shared" ca="1" si="149"/>
        <v>180.55771927842841</v>
      </c>
      <c r="Y335" s="314" t="str">
        <f t="shared" ca="1" si="167"/>
        <v/>
      </c>
      <c r="Z335" s="315" t="str">
        <f t="shared" ca="1" si="168"/>
        <v/>
      </c>
      <c r="AA335" s="316" t="str">
        <f t="shared" ca="1" si="169"/>
        <v/>
      </c>
      <c r="AC335" s="310" t="e">
        <f t="shared" ca="1" si="170"/>
        <v>#N/A</v>
      </c>
      <c r="AD335" s="323" t="e">
        <f t="shared" ca="1" si="171"/>
        <v>#N/A</v>
      </c>
      <c r="AE335" s="324">
        <f t="shared" ca="1" si="150"/>
        <v>435.14159949509531</v>
      </c>
      <c r="AG335" s="306">
        <f t="shared" ca="1" si="172"/>
        <v>45.072035251578122</v>
      </c>
      <c r="AH335" s="304">
        <f t="shared" ca="1" si="173"/>
        <v>54.818018543406048</v>
      </c>
    </row>
    <row r="336" spans="1:34" x14ac:dyDescent="0.2">
      <c r="A336" s="347">
        <f t="shared" ca="1" si="151"/>
        <v>0.01</v>
      </c>
      <c r="B336" s="304">
        <f t="shared" ca="1" si="152"/>
        <v>3.3199999999999732</v>
      </c>
      <c r="D336" s="306">
        <f t="shared" ca="1" si="153"/>
        <v>6.2339166245959854</v>
      </c>
      <c r="E336" s="307">
        <f t="shared" ca="1" si="154"/>
        <v>44.467830285101336</v>
      </c>
      <c r="F336" s="304">
        <f t="shared" ca="1" si="155"/>
        <v>44.902668592712729</v>
      </c>
      <c r="G336" s="306">
        <f t="shared" ca="1" si="156"/>
        <v>27.596754481844556</v>
      </c>
      <c r="H336" s="307">
        <f t="shared" ca="1" si="157"/>
        <v>240.18293781099993</v>
      </c>
      <c r="I336" s="304">
        <f t="shared" ca="1" si="158"/>
        <v>241.76315780832667</v>
      </c>
      <c r="J336" s="306">
        <f t="shared" ca="1" si="159"/>
        <v>47.265372380891918</v>
      </c>
      <c r="K336" s="307">
        <f t="shared" ca="1" si="160"/>
        <v>437.54120548169107</v>
      </c>
      <c r="L336" s="304">
        <f t="shared" ca="1" si="145"/>
        <v>440.0867209092724</v>
      </c>
      <c r="M336" s="306">
        <f t="shared" ca="1" si="161"/>
        <v>1.4563990851570652</v>
      </c>
      <c r="N336" s="304">
        <f t="shared" ca="1" si="162"/>
        <v>83.445520866214011</v>
      </c>
      <c r="P336" s="310">
        <f t="shared" ca="1" si="163"/>
        <v>11</v>
      </c>
      <c r="Q336" s="304">
        <f t="shared" ca="1" si="164"/>
        <v>698.6500000000035</v>
      </c>
      <c r="R336" s="306">
        <f t="shared" ca="1" si="165"/>
        <v>0.34997632406385959</v>
      </c>
      <c r="S336" s="307">
        <f t="shared" ca="1" si="166"/>
        <v>9.4828522879673098</v>
      </c>
      <c r="T336" s="304">
        <f t="shared" ca="1" si="146"/>
        <v>93.026780944959313</v>
      </c>
      <c r="U336" s="311">
        <f t="shared" ca="1" si="147"/>
        <v>0</v>
      </c>
      <c r="V336" s="306">
        <f t="shared" ca="1" si="148"/>
        <v>1.1725486829529854</v>
      </c>
      <c r="W336" s="304">
        <f t="shared" ca="1" si="149"/>
        <v>181.18657935022148</v>
      </c>
      <c r="Y336" s="314" t="str">
        <f t="shared" ca="1" si="167"/>
        <v/>
      </c>
      <c r="Z336" s="315" t="str">
        <f t="shared" ca="1" si="168"/>
        <v/>
      </c>
      <c r="AA336" s="316" t="str">
        <f t="shared" ca="1" si="169"/>
        <v/>
      </c>
      <c r="AC336" s="310" t="e">
        <f t="shared" ca="1" si="170"/>
        <v>#N/A</v>
      </c>
      <c r="AD336" s="323" t="e">
        <f t="shared" ca="1" si="171"/>
        <v>#N/A</v>
      </c>
      <c r="AE336" s="324">
        <f t="shared" ca="1" si="150"/>
        <v>437.54120548169107</v>
      </c>
      <c r="AG336" s="306">
        <f t="shared" ca="1" si="172"/>
        <v>44.88871490308086</v>
      </c>
      <c r="AH336" s="304">
        <f t="shared" ca="1" si="173"/>
        <v>54.6346463056244</v>
      </c>
    </row>
    <row r="337" spans="1:34" x14ac:dyDescent="0.2">
      <c r="A337" s="347">
        <f t="shared" ca="1" si="151"/>
        <v>0.01</v>
      </c>
      <c r="B337" s="304">
        <f t="shared" ca="1" si="152"/>
        <v>3.329999999999973</v>
      </c>
      <c r="D337" s="306">
        <f t="shared" ca="1" si="153"/>
        <v>6.2155010089374887</v>
      </c>
      <c r="E337" s="307">
        <f t="shared" ca="1" si="154"/>
        <v>44.285393473749416</v>
      </c>
      <c r="F337" s="304">
        <f t="shared" ca="1" si="155"/>
        <v>44.719442392732383</v>
      </c>
      <c r="G337" s="306">
        <f t="shared" ca="1" si="156"/>
        <v>27.65890949193393</v>
      </c>
      <c r="H337" s="307">
        <f t="shared" ca="1" si="157"/>
        <v>240.62579174573742</v>
      </c>
      <c r="I337" s="304">
        <f t="shared" ca="1" si="158"/>
        <v>242.21021226931367</v>
      </c>
      <c r="J337" s="306">
        <f t="shared" ca="1" si="159"/>
        <v>47.541650700760812</v>
      </c>
      <c r="K337" s="307">
        <f t="shared" ca="1" si="160"/>
        <v>439.94524912947475</v>
      </c>
      <c r="L337" s="304">
        <f t="shared" ca="1" si="145"/>
        <v>442.50653190992421</v>
      </c>
      <c r="M337" s="306">
        <f t="shared" ca="1" si="161"/>
        <v>1.4563528529690655</v>
      </c>
      <c r="N337" s="304">
        <f t="shared" ca="1" si="162"/>
        <v>83.44287195696397</v>
      </c>
      <c r="P337" s="310">
        <f t="shared" ca="1" si="163"/>
        <v>11</v>
      </c>
      <c r="Q337" s="304">
        <f t="shared" ca="1" si="164"/>
        <v>697.35000000000355</v>
      </c>
      <c r="R337" s="306">
        <f t="shared" ca="1" si="165"/>
        <v>0.34932511212471551</v>
      </c>
      <c r="S337" s="307">
        <f t="shared" ca="1" si="166"/>
        <v>9.4793590368460627</v>
      </c>
      <c r="T337" s="304">
        <f t="shared" ca="1" si="146"/>
        <v>92.992512151459877</v>
      </c>
      <c r="U337" s="311">
        <f t="shared" ca="1" si="147"/>
        <v>0</v>
      </c>
      <c r="V337" s="306">
        <f t="shared" ca="1" si="148"/>
        <v>1.1722666953247773</v>
      </c>
      <c r="W337" s="304">
        <f t="shared" ca="1" si="149"/>
        <v>181.81354331817749</v>
      </c>
      <c r="Y337" s="314" t="str">
        <f t="shared" ca="1" si="167"/>
        <v/>
      </c>
      <c r="Z337" s="315" t="str">
        <f t="shared" ca="1" si="168"/>
        <v/>
      </c>
      <c r="AA337" s="316" t="str">
        <f t="shared" ca="1" si="169"/>
        <v/>
      </c>
      <c r="AC337" s="310" t="e">
        <f t="shared" ca="1" si="170"/>
        <v>#N/A</v>
      </c>
      <c r="AD337" s="323" t="e">
        <f t="shared" ca="1" si="171"/>
        <v>#N/A</v>
      </c>
      <c r="AE337" s="324">
        <f t="shared" ca="1" si="150"/>
        <v>439.94524912947475</v>
      </c>
      <c r="AG337" s="306">
        <f t="shared" ca="1" si="172"/>
        <v>44.705420213510614</v>
      </c>
      <c r="AH337" s="304">
        <f t="shared" ca="1" si="173"/>
        <v>54.451299781289649</v>
      </c>
    </row>
    <row r="338" spans="1:34" x14ac:dyDescent="0.2">
      <c r="A338" s="347">
        <f t="shared" ca="1" si="151"/>
        <v>0.01</v>
      </c>
      <c r="B338" s="304">
        <f t="shared" ca="1" si="152"/>
        <v>3.3399999999999728</v>
      </c>
      <c r="D338" s="306">
        <f t="shared" ca="1" si="153"/>
        <v>6.1970680650085974</v>
      </c>
      <c r="E338" s="307">
        <f t="shared" ca="1" si="154"/>
        <v>44.102986340975754</v>
      </c>
      <c r="F338" s="304">
        <f t="shared" ca="1" si="155"/>
        <v>44.536244304999983</v>
      </c>
      <c r="G338" s="306">
        <f t="shared" ca="1" si="156"/>
        <v>27.720880172584014</v>
      </c>
      <c r="H338" s="307">
        <f t="shared" ca="1" si="157"/>
        <v>241.06682160914718</v>
      </c>
      <c r="I338" s="304">
        <f t="shared" ca="1" si="158"/>
        <v>242.65543405882991</v>
      </c>
      <c r="J338" s="306">
        <f t="shared" ca="1" si="159"/>
        <v>47.818549649083401</v>
      </c>
      <c r="K338" s="307">
        <f t="shared" ca="1" si="160"/>
        <v>442.35371219624915</v>
      </c>
      <c r="L338" s="304">
        <f t="shared" ca="1" si="145"/>
        <v>444.93080404074504</v>
      </c>
      <c r="M338" s="306">
        <f t="shared" ca="1" si="161"/>
        <v>1.4563066870390342</v>
      </c>
      <c r="N338" s="304">
        <f t="shared" ca="1" si="162"/>
        <v>83.440226844015882</v>
      </c>
      <c r="P338" s="310">
        <f t="shared" ca="1" si="163"/>
        <v>11</v>
      </c>
      <c r="Q338" s="304">
        <f t="shared" ca="1" si="164"/>
        <v>696.05000000000359</v>
      </c>
      <c r="R338" s="306">
        <f t="shared" ca="1" si="165"/>
        <v>0.34867390018557143</v>
      </c>
      <c r="S338" s="307">
        <f t="shared" ca="1" si="166"/>
        <v>9.4758722978442069</v>
      </c>
      <c r="T338" s="304">
        <f t="shared" ca="1" si="146"/>
        <v>92.958307241851671</v>
      </c>
      <c r="U338" s="311">
        <f t="shared" ca="1" si="147"/>
        <v>0</v>
      </c>
      <c r="V338" s="306">
        <f t="shared" ca="1" si="148"/>
        <v>1.1719842558181439</v>
      </c>
      <c r="W338" s="304">
        <f t="shared" ca="1" si="149"/>
        <v>182.43859705474685</v>
      </c>
      <c r="Y338" s="314" t="str">
        <f t="shared" ca="1" si="167"/>
        <v/>
      </c>
      <c r="Z338" s="315" t="str">
        <f t="shared" ca="1" si="168"/>
        <v/>
      </c>
      <c r="AA338" s="316" t="str">
        <f t="shared" ca="1" si="169"/>
        <v/>
      </c>
      <c r="AC338" s="310" t="e">
        <f t="shared" ca="1" si="170"/>
        <v>#N/A</v>
      </c>
      <c r="AD338" s="323" t="e">
        <f t="shared" ca="1" si="171"/>
        <v>#N/A</v>
      </c>
      <c r="AE338" s="324">
        <f t="shared" ca="1" si="150"/>
        <v>442.35371219624915</v>
      </c>
      <c r="AG338" s="306">
        <f t="shared" ca="1" si="172"/>
        <v>44.522153093131088</v>
      </c>
      <c r="AH338" s="304">
        <f t="shared" ca="1" si="173"/>
        <v>54.267980880115559</v>
      </c>
    </row>
    <row r="339" spans="1:34" x14ac:dyDescent="0.2">
      <c r="A339" s="347">
        <f t="shared" ca="1" si="151"/>
        <v>0.01</v>
      </c>
      <c r="B339" s="304">
        <f t="shared" ca="1" si="152"/>
        <v>3.3499999999999726</v>
      </c>
      <c r="D339" s="306">
        <f t="shared" ca="1" si="153"/>
        <v>6.1786180808892608</v>
      </c>
      <c r="E339" s="307">
        <f t="shared" ca="1" si="154"/>
        <v>43.920610767902716</v>
      </c>
      <c r="F339" s="304">
        <f t="shared" ca="1" si="155"/>
        <v>44.353076236210534</v>
      </c>
      <c r="G339" s="306">
        <f t="shared" ca="1" si="156"/>
        <v>27.782666353392905</v>
      </c>
      <c r="H339" s="307">
        <f t="shared" ca="1" si="157"/>
        <v>241.50602771682622</v>
      </c>
      <c r="I339" s="304">
        <f t="shared" ca="1" si="158"/>
        <v>243.09882347157583</v>
      </c>
      <c r="J339" s="306">
        <f t="shared" ca="1" si="159"/>
        <v>48.096067381713283</v>
      </c>
      <c r="K339" s="307">
        <f t="shared" ca="1" si="160"/>
        <v>444.766576442879</v>
      </c>
      <c r="L339" s="304">
        <f t="shared" ca="1" si="145"/>
        <v>447.35951897585193</v>
      </c>
      <c r="M339" s="306">
        <f t="shared" ca="1" si="161"/>
        <v>1.456260586803457</v>
      </c>
      <c r="N339" s="304">
        <f t="shared" ca="1" si="162"/>
        <v>83.437585495082757</v>
      </c>
      <c r="P339" s="310">
        <f t="shared" ca="1" si="163"/>
        <v>11</v>
      </c>
      <c r="Q339" s="304">
        <f t="shared" ca="1" si="164"/>
        <v>694.75000000000352</v>
      </c>
      <c r="R339" s="306">
        <f t="shared" ca="1" si="165"/>
        <v>0.34802268824642735</v>
      </c>
      <c r="S339" s="307">
        <f t="shared" ca="1" si="166"/>
        <v>9.4723920709617424</v>
      </c>
      <c r="T339" s="304">
        <f t="shared" ca="1" si="146"/>
        <v>92.924166216134694</v>
      </c>
      <c r="U339" s="311">
        <f t="shared" ca="1" si="147"/>
        <v>0</v>
      </c>
      <c r="V339" s="306">
        <f t="shared" ca="1" si="148"/>
        <v>1.1717013669140828</v>
      </c>
      <c r="W339" s="304">
        <f t="shared" ca="1" si="149"/>
        <v>183.06172654962981</v>
      </c>
      <c r="Y339" s="314" t="str">
        <f t="shared" ca="1" si="167"/>
        <v/>
      </c>
      <c r="Z339" s="315" t="str">
        <f t="shared" ca="1" si="168"/>
        <v/>
      </c>
      <c r="AA339" s="316" t="str">
        <f t="shared" ca="1" si="169"/>
        <v/>
      </c>
      <c r="AC339" s="310" t="e">
        <f t="shared" ca="1" si="170"/>
        <v>#N/A</v>
      </c>
      <c r="AD339" s="323" t="e">
        <f t="shared" ca="1" si="171"/>
        <v>#N/A</v>
      </c>
      <c r="AE339" s="324">
        <f t="shared" ca="1" si="150"/>
        <v>444.766576442879</v>
      </c>
      <c r="AG339" s="306">
        <f t="shared" ca="1" si="172"/>
        <v>44.338915442523458</v>
      </c>
      <c r="AH339" s="304">
        <f t="shared" ca="1" si="173"/>
        <v>54.084691502137233</v>
      </c>
    </row>
    <row r="340" spans="1:34" x14ac:dyDescent="0.2">
      <c r="A340" s="347">
        <f t="shared" ca="1" si="151"/>
        <v>0.01</v>
      </c>
      <c r="B340" s="304">
        <f t="shared" ca="1" si="152"/>
        <v>3.3599999999999723</v>
      </c>
      <c r="D340" s="306">
        <f t="shared" ca="1" si="153"/>
        <v>6.1601513432337951</v>
      </c>
      <c r="E340" s="307">
        <f t="shared" ca="1" si="154"/>
        <v>43.738268626030639</v>
      </c>
      <c r="F340" s="304">
        <f t="shared" ca="1" si="155"/>
        <v>44.169940083436394</v>
      </c>
      <c r="G340" s="306">
        <f t="shared" ca="1" si="156"/>
        <v>27.844267866825241</v>
      </c>
      <c r="H340" s="307">
        <f t="shared" ca="1" si="157"/>
        <v>241.94341040308652</v>
      </c>
      <c r="I340" s="304">
        <f t="shared" ca="1" si="158"/>
        <v>243.54038082116048</v>
      </c>
      <c r="J340" s="306">
        <f t="shared" ca="1" si="159"/>
        <v>48.374202052814375</v>
      </c>
      <c r="K340" s="307">
        <f t="shared" ca="1" si="160"/>
        <v>447.18382363347854</v>
      </c>
      <c r="L340" s="304">
        <f t="shared" ca="1" si="145"/>
        <v>449.79265839240259</v>
      </c>
      <c r="M340" s="306">
        <f t="shared" ca="1" si="161"/>
        <v>1.4562145517032137</v>
      </c>
      <c r="N340" s="304">
        <f t="shared" ca="1" si="162"/>
        <v>83.43494787812935</v>
      </c>
      <c r="P340" s="310">
        <f t="shared" ca="1" si="163"/>
        <v>11</v>
      </c>
      <c r="Q340" s="304">
        <f t="shared" ca="1" si="164"/>
        <v>693.45000000000357</v>
      </c>
      <c r="R340" s="306">
        <f t="shared" ca="1" si="165"/>
        <v>0.34737147630728327</v>
      </c>
      <c r="S340" s="307">
        <f t="shared" ca="1" si="166"/>
        <v>9.4689183561986692</v>
      </c>
      <c r="T340" s="304">
        <f t="shared" ca="1" si="146"/>
        <v>92.890089074308946</v>
      </c>
      <c r="U340" s="311">
        <f t="shared" ca="1" si="147"/>
        <v>0</v>
      </c>
      <c r="V340" s="306">
        <f t="shared" ca="1" si="148"/>
        <v>1.1714180310916122</v>
      </c>
      <c r="W340" s="304">
        <f t="shared" ca="1" si="149"/>
        <v>183.68291790975928</v>
      </c>
      <c r="Y340" s="314" t="str">
        <f t="shared" ca="1" si="167"/>
        <v/>
      </c>
      <c r="Z340" s="315" t="str">
        <f t="shared" ca="1" si="168"/>
        <v/>
      </c>
      <c r="AA340" s="316" t="str">
        <f t="shared" ca="1" si="169"/>
        <v/>
      </c>
      <c r="AC340" s="310" t="e">
        <f t="shared" ca="1" si="170"/>
        <v>#N/A</v>
      </c>
      <c r="AD340" s="323" t="e">
        <f t="shared" ca="1" si="171"/>
        <v>#N/A</v>
      </c>
      <c r="AE340" s="324">
        <f t="shared" ca="1" si="150"/>
        <v>447.18382363347854</v>
      </c>
      <c r="AG340" s="306">
        <f t="shared" ca="1" si="172"/>
        <v>44.155709152556653</v>
      </c>
      <c r="AH340" s="304">
        <f t="shared" ca="1" si="173"/>
        <v>53.90143353768137</v>
      </c>
    </row>
    <row r="341" spans="1:34" x14ac:dyDescent="0.2">
      <c r="A341" s="347">
        <f t="shared" ca="1" si="151"/>
        <v>0.01</v>
      </c>
      <c r="B341" s="304">
        <f t="shared" ca="1" si="152"/>
        <v>3.3699999999999721</v>
      </c>
      <c r="D341" s="306">
        <f t="shared" ca="1" si="153"/>
        <v>6.1416681372711519</v>
      </c>
      <c r="E341" s="307">
        <f t="shared" ca="1" si="154"/>
        <v>43.555961777208601</v>
      </c>
      <c r="F341" s="304">
        <f t="shared" ca="1" si="155"/>
        <v>43.986837734099829</v>
      </c>
      <c r="G341" s="306">
        <f t="shared" ca="1" si="156"/>
        <v>27.905684548197954</v>
      </c>
      <c r="H341" s="307">
        <f t="shared" ca="1" si="157"/>
        <v>242.37897002085862</v>
      </c>
      <c r="I341" s="304">
        <f t="shared" ca="1" si="158"/>
        <v>243.98010644000428</v>
      </c>
      <c r="J341" s="306">
        <f t="shared" ca="1" si="159"/>
        <v>48.652951814889491</v>
      </c>
      <c r="K341" s="307">
        <f t="shared" ca="1" si="160"/>
        <v>449.60543553559825</v>
      </c>
      <c r="L341" s="304">
        <f t="shared" ca="1" si="145"/>
        <v>452.23020397078403</v>
      </c>
      <c r="M341" s="306">
        <f t="shared" ca="1" si="161"/>
        <v>1.4561685811835261</v>
      </c>
      <c r="N341" s="304">
        <f t="shared" ca="1" si="162"/>
        <v>83.432313961369232</v>
      </c>
      <c r="P341" s="310">
        <f t="shared" ca="1" si="163"/>
        <v>11</v>
      </c>
      <c r="Q341" s="304">
        <f t="shared" ca="1" si="164"/>
        <v>692.15000000000362</v>
      </c>
      <c r="R341" s="306">
        <f t="shared" ca="1" si="165"/>
        <v>0.34672026436813919</v>
      </c>
      <c r="S341" s="307">
        <f t="shared" ca="1" si="166"/>
        <v>9.4654511535549872</v>
      </c>
      <c r="T341" s="304">
        <f t="shared" ca="1" si="146"/>
        <v>92.856075816374428</v>
      </c>
      <c r="U341" s="311">
        <f t="shared" ca="1" si="147"/>
        <v>0</v>
      </c>
      <c r="V341" s="306">
        <f t="shared" ca="1" si="148"/>
        <v>1.1711342508277416</v>
      </c>
      <c r="W341" s="304">
        <f t="shared" ca="1" si="149"/>
        <v>184.30215735927678</v>
      </c>
      <c r="Y341" s="314" t="str">
        <f t="shared" ca="1" si="167"/>
        <v/>
      </c>
      <c r="Z341" s="315" t="str">
        <f t="shared" ca="1" si="168"/>
        <v/>
      </c>
      <c r="AA341" s="316" t="str">
        <f t="shared" ca="1" si="169"/>
        <v/>
      </c>
      <c r="AC341" s="310" t="e">
        <f t="shared" ca="1" si="170"/>
        <v>#N/A</v>
      </c>
      <c r="AD341" s="323" t="e">
        <f t="shared" ca="1" si="171"/>
        <v>#N/A</v>
      </c>
      <c r="AE341" s="324">
        <f t="shared" ca="1" si="150"/>
        <v>449.60543553559825</v>
      </c>
      <c r="AG341" s="306">
        <f t="shared" ca="1" si="172"/>
        <v>43.972536104358326</v>
      </c>
      <c r="AH341" s="304">
        <f t="shared" ca="1" si="173"/>
        <v>53.718208867337168</v>
      </c>
    </row>
    <row r="342" spans="1:34" x14ac:dyDescent="0.2">
      <c r="A342" s="347">
        <f t="shared" ca="1" si="151"/>
        <v>0.01</v>
      </c>
      <c r="B342" s="304">
        <f t="shared" ca="1" si="152"/>
        <v>3.3799999999999719</v>
      </c>
      <c r="D342" s="306">
        <f t="shared" ca="1" si="153"/>
        <v>6.1231687468051765</v>
      </c>
      <c r="E342" s="307">
        <f t="shared" ca="1" si="154"/>
        <v>43.373692073606165</v>
      </c>
      <c r="F342" s="304">
        <f t="shared" ca="1" si="155"/>
        <v>43.80377106594657</v>
      </c>
      <c r="G342" s="306">
        <f t="shared" ca="1" si="156"/>
        <v>27.966916235666005</v>
      </c>
      <c r="H342" s="307">
        <f t="shared" ca="1" si="157"/>
        <v>242.81270694159468</v>
      </c>
      <c r="I342" s="304">
        <f t="shared" ca="1" si="158"/>
        <v>244.41800067924109</v>
      </c>
      <c r="J342" s="306">
        <f t="shared" ca="1" si="159"/>
        <v>48.932314818808813</v>
      </c>
      <c r="K342" s="307">
        <f t="shared" ca="1" si="160"/>
        <v>452.03139392041049</v>
      </c>
      <c r="L342" s="304">
        <f t="shared" ca="1" si="145"/>
        <v>454.67213739480047</v>
      </c>
      <c r="M342" s="306">
        <f t="shared" ca="1" si="161"/>
        <v>1.4561226746939067</v>
      </c>
      <c r="N342" s="304">
        <f t="shared" ca="1" si="162"/>
        <v>83.429683713261767</v>
      </c>
      <c r="P342" s="310">
        <f t="shared" ca="1" si="163"/>
        <v>11</v>
      </c>
      <c r="Q342" s="304">
        <f t="shared" ca="1" si="164"/>
        <v>690.85000000000366</v>
      </c>
      <c r="R342" s="306">
        <f t="shared" ca="1" si="165"/>
        <v>0.34606905242899516</v>
      </c>
      <c r="S342" s="307">
        <f t="shared" ca="1" si="166"/>
        <v>9.4619904630306966</v>
      </c>
      <c r="T342" s="304">
        <f t="shared" ca="1" si="146"/>
        <v>92.82212644233114</v>
      </c>
      <c r="U342" s="311">
        <f t="shared" ca="1" si="147"/>
        <v>0</v>
      </c>
      <c r="V342" s="306">
        <f t="shared" ca="1" si="148"/>
        <v>1.1708500285974424</v>
      </c>
      <c r="W342" s="304">
        <f t="shared" ca="1" si="149"/>
        <v>184.91943123950244</v>
      </c>
      <c r="Y342" s="314" t="str">
        <f t="shared" ca="1" si="167"/>
        <v/>
      </c>
      <c r="Z342" s="315" t="str">
        <f t="shared" ca="1" si="168"/>
        <v/>
      </c>
      <c r="AA342" s="316" t="str">
        <f t="shared" ca="1" si="169"/>
        <v/>
      </c>
      <c r="AC342" s="310" t="e">
        <f t="shared" ca="1" si="170"/>
        <v>#N/A</v>
      </c>
      <c r="AD342" s="323" t="e">
        <f t="shared" ca="1" si="171"/>
        <v>#N/A</v>
      </c>
      <c r="AE342" s="324">
        <f t="shared" ca="1" si="150"/>
        <v>452.03139392041049</v>
      </c>
      <c r="AG342" s="306">
        <f t="shared" ca="1" si="172"/>
        <v>43.789398169286599</v>
      </c>
      <c r="AH342" s="304">
        <f t="shared" ca="1" si="173"/>
        <v>53.53501936192805</v>
      </c>
    </row>
    <row r="343" spans="1:34" x14ac:dyDescent="0.2">
      <c r="A343" s="347">
        <f t="shared" ca="1" si="151"/>
        <v>0.01</v>
      </c>
      <c r="B343" s="304">
        <f t="shared" ca="1" si="152"/>
        <v>3.3899999999999717</v>
      </c>
      <c r="D343" s="306">
        <f t="shared" ca="1" si="153"/>
        <v>6.1046534542149224</v>
      </c>
      <c r="E343" s="307">
        <f t="shared" ca="1" si="154"/>
        <v>43.191461357685647</v>
      </c>
      <c r="F343" s="304">
        <f t="shared" ca="1" si="155"/>
        <v>43.620741947020008</v>
      </c>
      <c r="G343" s="306">
        <f t="shared" ca="1" si="156"/>
        <v>28.027962770208156</v>
      </c>
      <c r="H343" s="307">
        <f t="shared" ca="1" si="157"/>
        <v>243.24462155517153</v>
      </c>
      <c r="I343" s="304">
        <f t="shared" ca="1" si="158"/>
        <v>244.85406390862047</v>
      </c>
      <c r="J343" s="306">
        <f t="shared" ca="1" si="159"/>
        <v>49.212289213838183</v>
      </c>
      <c r="K343" s="307">
        <f t="shared" ca="1" si="160"/>
        <v>454.46168056289434</v>
      </c>
      <c r="L343" s="304">
        <f t="shared" ca="1" si="145"/>
        <v>457.1184403518597</v>
      </c>
      <c r="M343" s="306">
        <f t="shared" ca="1" si="161"/>
        <v>1.4560768316881072</v>
      </c>
      <c r="N343" s="304">
        <f t="shared" ca="1" si="162"/>
        <v>83.427057102509266</v>
      </c>
      <c r="P343" s="310">
        <f t="shared" ca="1" si="163"/>
        <v>11</v>
      </c>
      <c r="Q343" s="304">
        <f t="shared" ca="1" si="164"/>
        <v>689.55000000000371</v>
      </c>
      <c r="R343" s="306">
        <f t="shared" ca="1" si="165"/>
        <v>0.34541784048985108</v>
      </c>
      <c r="S343" s="307">
        <f t="shared" ca="1" si="166"/>
        <v>9.4585362846257972</v>
      </c>
      <c r="T343" s="304">
        <f t="shared" ca="1" si="146"/>
        <v>92.788240952179081</v>
      </c>
      <c r="U343" s="311">
        <f t="shared" ca="1" si="147"/>
        <v>0</v>
      </c>
      <c r="V343" s="306">
        <f t="shared" ca="1" si="148"/>
        <v>1.1705653668736176</v>
      </c>
      <c r="W343" s="304">
        <f t="shared" ca="1" si="149"/>
        <v>185.53472600889802</v>
      </c>
      <c r="Y343" s="314" t="str">
        <f t="shared" ca="1" si="167"/>
        <v/>
      </c>
      <c r="Z343" s="315" t="str">
        <f t="shared" ca="1" si="168"/>
        <v/>
      </c>
      <c r="AA343" s="316" t="str">
        <f t="shared" ca="1" si="169"/>
        <v/>
      </c>
      <c r="AC343" s="310" t="e">
        <f t="shared" ca="1" si="170"/>
        <v>#N/A</v>
      </c>
      <c r="AD343" s="323" t="e">
        <f t="shared" ca="1" si="171"/>
        <v>#N/A</v>
      </c>
      <c r="AE343" s="324">
        <f t="shared" ca="1" si="150"/>
        <v>454.46168056289434</v>
      </c>
      <c r="AG343" s="306">
        <f t="shared" ca="1" si="172"/>
        <v>43.606297208902561</v>
      </c>
      <c r="AH343" s="304">
        <f t="shared" ca="1" si="173"/>
        <v>53.351866882484096</v>
      </c>
    </row>
    <row r="344" spans="1:34" x14ac:dyDescent="0.2">
      <c r="A344" s="347">
        <f t="shared" ca="1" si="151"/>
        <v>0.01</v>
      </c>
      <c r="B344" s="304">
        <f t="shared" ca="1" si="152"/>
        <v>3.3999999999999715</v>
      </c>
      <c r="D344" s="306">
        <f t="shared" ca="1" si="153"/>
        <v>6.086122540454955</v>
      </c>
      <c r="E344" s="307">
        <f t="shared" ca="1" si="154"/>
        <v>43.009271462175249</v>
      </c>
      <c r="F344" s="304">
        <f t="shared" ca="1" si="155"/>
        <v>43.437752235636182</v>
      </c>
      <c r="G344" s="306">
        <f t="shared" ca="1" si="156"/>
        <v>28.088823995612707</v>
      </c>
      <c r="H344" s="307">
        <f t="shared" ca="1" si="157"/>
        <v>243.6747142697933</v>
      </c>
      <c r="I344" s="304">
        <f t="shared" ca="1" si="158"/>
        <v>245.28829651640928</v>
      </c>
      <c r="J344" s="306">
        <f t="shared" ca="1" si="159"/>
        <v>49.492873147667289</v>
      </c>
      <c r="K344" s="307">
        <f t="shared" ca="1" si="160"/>
        <v>456.89627724201915</v>
      </c>
      <c r="L344" s="304">
        <f t="shared" ca="1" si="145"/>
        <v>459.56909453315842</v>
      </c>
      <c r="M344" s="306">
        <f t="shared" ca="1" si="161"/>
        <v>1.4560310516240702</v>
      </c>
      <c r="N344" s="304">
        <f t="shared" ca="1" si="162"/>
        <v>83.424434098054107</v>
      </c>
      <c r="P344" s="310">
        <f t="shared" ca="1" si="163"/>
        <v>11</v>
      </c>
      <c r="Q344" s="304">
        <f t="shared" ca="1" si="164"/>
        <v>688.25000000000375</v>
      </c>
      <c r="R344" s="306">
        <f t="shared" ca="1" si="165"/>
        <v>0.344766628550707</v>
      </c>
      <c r="S344" s="307">
        <f t="shared" ca="1" si="166"/>
        <v>9.4550886183402909</v>
      </c>
      <c r="T344" s="304">
        <f t="shared" ca="1" si="146"/>
        <v>92.754419345918265</v>
      </c>
      <c r="U344" s="311">
        <f t="shared" ca="1" si="147"/>
        <v>0</v>
      </c>
      <c r="V344" s="306">
        <f t="shared" ca="1" si="148"/>
        <v>1.1702802681270736</v>
      </c>
      <c r="W344" s="304">
        <f t="shared" ca="1" si="149"/>
        <v>186.14802824302367</v>
      </c>
      <c r="Y344" s="314" t="str">
        <f t="shared" ca="1" si="167"/>
        <v/>
      </c>
      <c r="Z344" s="315" t="str">
        <f t="shared" ca="1" si="168"/>
        <v/>
      </c>
      <c r="AA344" s="316" t="str">
        <f t="shared" ca="1" si="169"/>
        <v/>
      </c>
      <c r="AC344" s="310" t="e">
        <f t="shared" ca="1" si="170"/>
        <v>#N/A</v>
      </c>
      <c r="AD344" s="323" t="e">
        <f t="shared" ca="1" si="171"/>
        <v>#N/A</v>
      </c>
      <c r="AE344" s="324">
        <f t="shared" ca="1" si="150"/>
        <v>456.89627724201915</v>
      </c>
      <c r="AG344" s="306">
        <f t="shared" ca="1" si="172"/>
        <v>43.423235074943449</v>
      </c>
      <c r="AH344" s="304">
        <f t="shared" ca="1" si="173"/>
        <v>53.168753280215199</v>
      </c>
    </row>
    <row r="345" spans="1:34" x14ac:dyDescent="0.2">
      <c r="A345" s="347">
        <f t="shared" ca="1" si="151"/>
        <v>0.01</v>
      </c>
      <c r="B345" s="304">
        <f t="shared" ca="1" si="152"/>
        <v>3.4099999999999713</v>
      </c>
      <c r="D345" s="306">
        <f t="shared" ca="1" si="153"/>
        <v>6.0675762850555977</v>
      </c>
      <c r="E345" s="307">
        <f t="shared" ca="1" si="154"/>
        <v>42.827124210042832</v>
      </c>
      <c r="F345" s="304">
        <f t="shared" ca="1" si="155"/>
        <v>43.254803780359538</v>
      </c>
      <c r="G345" s="306">
        <f t="shared" ca="1" si="156"/>
        <v>28.149499758463264</v>
      </c>
      <c r="H345" s="307">
        <f t="shared" ca="1" si="157"/>
        <v>244.10298551189373</v>
      </c>
      <c r="I345" s="304">
        <f t="shared" ca="1" si="158"/>
        <v>245.72069890929322</v>
      </c>
      <c r="J345" s="306">
        <f t="shared" ca="1" si="159"/>
        <v>49.774064766437668</v>
      </c>
      <c r="K345" s="307">
        <f t="shared" ca="1" si="160"/>
        <v>459.33516574092761</v>
      </c>
      <c r="L345" s="304">
        <f t="shared" ca="1" si="145"/>
        <v>462.02408163386781</v>
      </c>
      <c r="M345" s="306">
        <f t="shared" ca="1" si="161"/>
        <v>1.4559853339638786</v>
      </c>
      <c r="N345" s="304">
        <f t="shared" ca="1" si="162"/>
        <v>83.421814669075928</v>
      </c>
      <c r="P345" s="310">
        <f t="shared" ca="1" si="163"/>
        <v>11</v>
      </c>
      <c r="Q345" s="304">
        <f t="shared" ca="1" si="164"/>
        <v>686.95000000000368</v>
      </c>
      <c r="R345" s="306">
        <f t="shared" ca="1" si="165"/>
        <v>0.34411541661156292</v>
      </c>
      <c r="S345" s="307">
        <f t="shared" ca="1" si="166"/>
        <v>9.4516474641741759</v>
      </c>
      <c r="T345" s="304">
        <f t="shared" ca="1" si="146"/>
        <v>92.720661623548665</v>
      </c>
      <c r="U345" s="311">
        <f t="shared" ca="1" si="147"/>
        <v>0</v>
      </c>
      <c r="V345" s="306">
        <f t="shared" ca="1" si="148"/>
        <v>1.1699947348264912</v>
      </c>
      <c r="W345" s="304">
        <f t="shared" ca="1" si="149"/>
        <v>186.75932463448859</v>
      </c>
      <c r="Y345" s="314" t="str">
        <f t="shared" ca="1" si="167"/>
        <v/>
      </c>
      <c r="Z345" s="315" t="str">
        <f t="shared" ca="1" si="168"/>
        <v/>
      </c>
      <c r="AA345" s="316" t="str">
        <f t="shared" ca="1" si="169"/>
        <v/>
      </c>
      <c r="AC345" s="310" t="e">
        <f t="shared" ca="1" si="170"/>
        <v>#N/A</v>
      </c>
      <c r="AD345" s="323" t="e">
        <f t="shared" ca="1" si="171"/>
        <v>#N/A</v>
      </c>
      <c r="AE345" s="324">
        <f t="shared" ca="1" si="150"/>
        <v>459.33516574092761</v>
      </c>
      <c r="AG345" s="306">
        <f t="shared" ca="1" si="172"/>
        <v>43.240213609296582</v>
      </c>
      <c r="AH345" s="304">
        <f t="shared" ca="1" si="173"/>
        <v>52.985680396484923</v>
      </c>
    </row>
    <row r="346" spans="1:34" x14ac:dyDescent="0.2">
      <c r="A346" s="347">
        <f t="shared" ca="1" si="151"/>
        <v>0.01</v>
      </c>
      <c r="B346" s="304">
        <f t="shared" ca="1" si="152"/>
        <v>3.4199999999999711</v>
      </c>
      <c r="D346" s="306">
        <f t="shared" ca="1" si="153"/>
        <v>6.0490149661232921</v>
      </c>
      <c r="E346" s="307">
        <f t="shared" ca="1" si="154"/>
        <v>42.64502141447047</v>
      </c>
      <c r="F346" s="304">
        <f t="shared" ca="1" si="155"/>
        <v>43.071898419979455</v>
      </c>
      <c r="G346" s="306">
        <f t="shared" ca="1" si="156"/>
        <v>28.209989908124498</v>
      </c>
      <c r="H346" s="307">
        <f t="shared" ca="1" si="157"/>
        <v>244.52943572603843</v>
      </c>
      <c r="I346" s="304">
        <f t="shared" ca="1" si="158"/>
        <v>246.1512715122781</v>
      </c>
      <c r="J346" s="306">
        <f t="shared" ca="1" si="159"/>
        <v>50.055862214770606</v>
      </c>
      <c r="K346" s="307">
        <f t="shared" ca="1" si="160"/>
        <v>461.77832784711728</v>
      </c>
      <c r="L346" s="304">
        <f t="shared" ca="1" si="145"/>
        <v>464.48338335331636</v>
      </c>
      <c r="M346" s="306">
        <f t="shared" ca="1" si="161"/>
        <v>1.4559396781737082</v>
      </c>
      <c r="N346" s="304">
        <f t="shared" ca="1" si="162"/>
        <v>83.419198784988822</v>
      </c>
      <c r="P346" s="310">
        <f t="shared" ca="1" si="163"/>
        <v>11</v>
      </c>
      <c r="Q346" s="304">
        <f t="shared" ca="1" si="164"/>
        <v>685.65000000000373</v>
      </c>
      <c r="R346" s="306">
        <f t="shared" ca="1" si="165"/>
        <v>0.34346420467241884</v>
      </c>
      <c r="S346" s="307">
        <f t="shared" ca="1" si="166"/>
        <v>9.4482128221274522</v>
      </c>
      <c r="T346" s="304">
        <f t="shared" ca="1" si="146"/>
        <v>92.686967785070308</v>
      </c>
      <c r="U346" s="311">
        <f t="shared" ca="1" si="147"/>
        <v>0</v>
      </c>
      <c r="V346" s="306">
        <f t="shared" ca="1" si="148"/>
        <v>1.1697087694383954</v>
      </c>
      <c r="W346" s="304">
        <f t="shared" ca="1" si="149"/>
        <v>187.36860199289464</v>
      </c>
      <c r="Y346" s="314" t="str">
        <f t="shared" ca="1" si="167"/>
        <v/>
      </c>
      <c r="Z346" s="315" t="str">
        <f t="shared" ca="1" si="168"/>
        <v/>
      </c>
      <c r="AA346" s="316" t="str">
        <f t="shared" ca="1" si="169"/>
        <v/>
      </c>
      <c r="AC346" s="310" t="e">
        <f t="shared" ca="1" si="170"/>
        <v>#N/A</v>
      </c>
      <c r="AD346" s="323" t="e">
        <f t="shared" ca="1" si="171"/>
        <v>#N/A</v>
      </c>
      <c r="AE346" s="324">
        <f t="shared" ca="1" si="150"/>
        <v>461.77832784711728</v>
      </c>
      <c r="AG346" s="306">
        <f t="shared" ca="1" si="172"/>
        <v>43.057234643973949</v>
      </c>
      <c r="AH346" s="304">
        <f t="shared" ca="1" si="173"/>
        <v>52.802650062785098</v>
      </c>
    </row>
    <row r="347" spans="1:34" x14ac:dyDescent="0.2">
      <c r="A347" s="347">
        <f t="shared" ca="1" si="151"/>
        <v>0.01</v>
      </c>
      <c r="B347" s="304">
        <f t="shared" ca="1" si="152"/>
        <v>3.4299999999999708</v>
      </c>
      <c r="D347" s="306">
        <f t="shared" ca="1" si="153"/>
        <v>6.0304388603408876</v>
      </c>
      <c r="E347" s="307">
        <f t="shared" ca="1" si="154"/>
        <v>42.462964878829702</v>
      </c>
      <c r="F347" s="304">
        <f t="shared" ca="1" si="155"/>
        <v>42.889037983487505</v>
      </c>
      <c r="G347" s="306">
        <f t="shared" ca="1" si="156"/>
        <v>28.270294296727908</v>
      </c>
      <c r="H347" s="307">
        <f t="shared" ca="1" si="157"/>
        <v>244.95406537482671</v>
      </c>
      <c r="I347" s="304">
        <f t="shared" ca="1" si="158"/>
        <v>246.58001476859084</v>
      </c>
      <c r="J347" s="306">
        <f t="shared" ca="1" si="159"/>
        <v>50.338263635794867</v>
      </c>
      <c r="K347" s="307">
        <f t="shared" ca="1" si="160"/>
        <v>464.22574535262163</v>
      </c>
      <c r="L347" s="304">
        <f t="shared" ca="1" si="145"/>
        <v>466.94698139517283</v>
      </c>
      <c r="M347" s="306">
        <f t="shared" ca="1" si="161"/>
        <v>1.4558940837237782</v>
      </c>
      <c r="N347" s="304">
        <f t="shared" ca="1" si="162"/>
        <v>83.416586415438601</v>
      </c>
      <c r="P347" s="310">
        <f t="shared" ca="1" si="163"/>
        <v>11</v>
      </c>
      <c r="Q347" s="304">
        <f t="shared" ca="1" si="164"/>
        <v>684.35000000000377</v>
      </c>
      <c r="R347" s="306">
        <f t="shared" ca="1" si="165"/>
        <v>0.34281299273327476</v>
      </c>
      <c r="S347" s="307">
        <f t="shared" ca="1" si="166"/>
        <v>9.4447846922001197</v>
      </c>
      <c r="T347" s="304">
        <f t="shared" ca="1" si="146"/>
        <v>92.653337830483181</v>
      </c>
      <c r="U347" s="311">
        <f t="shared" ca="1" si="147"/>
        <v>0</v>
      </c>
      <c r="V347" s="306">
        <f t="shared" ca="1" si="148"/>
        <v>1.1694223744271286</v>
      </c>
      <c r="W347" s="304">
        <f t="shared" ca="1" si="149"/>
        <v>187.97584724477466</v>
      </c>
      <c r="Y347" s="314" t="str">
        <f t="shared" ca="1" si="167"/>
        <v/>
      </c>
      <c r="Z347" s="315" t="str">
        <f t="shared" ca="1" si="168"/>
        <v/>
      </c>
      <c r="AA347" s="316" t="str">
        <f t="shared" ca="1" si="169"/>
        <v/>
      </c>
      <c r="AC347" s="310" t="e">
        <f t="shared" ca="1" si="170"/>
        <v>#N/A</v>
      </c>
      <c r="AD347" s="323" t="e">
        <f t="shared" ca="1" si="171"/>
        <v>#N/A</v>
      </c>
      <c r="AE347" s="324">
        <f t="shared" ca="1" si="150"/>
        <v>464.22574535262163</v>
      </c>
      <c r="AG347" s="306">
        <f t="shared" ca="1" si="172"/>
        <v>42.874300001087661</v>
      </c>
      <c r="AH347" s="304">
        <f t="shared" ca="1" si="173"/>
        <v>52.619664100711184</v>
      </c>
    </row>
    <row r="348" spans="1:34" x14ac:dyDescent="0.2">
      <c r="A348" s="347">
        <f t="shared" ca="1" si="151"/>
        <v>0.01</v>
      </c>
      <c r="B348" s="304">
        <f t="shared" ca="1" si="152"/>
        <v>3.4399999999999706</v>
      </c>
      <c r="D348" s="306">
        <f t="shared" ca="1" si="153"/>
        <v>6.0118482429680258</v>
      </c>
      <c r="E348" s="307">
        <f t="shared" ca="1" si="154"/>
        <v>42.280956396657402</v>
      </c>
      <c r="F348" s="304">
        <f t="shared" ca="1" si="155"/>
        <v>42.706224290055452</v>
      </c>
      <c r="G348" s="306">
        <f t="shared" ca="1" si="156"/>
        <v>28.330412779157587</v>
      </c>
      <c r="H348" s="307">
        <f t="shared" ca="1" si="157"/>
        <v>245.37687493879329</v>
      </c>
      <c r="I348" s="304">
        <f t="shared" ca="1" si="158"/>
        <v>247.00692913958034</v>
      </c>
      <c r="J348" s="306">
        <f t="shared" ca="1" si="159"/>
        <v>50.621267171174296</v>
      </c>
      <c r="K348" s="307">
        <f t="shared" ca="1" si="160"/>
        <v>466.67740005418972</v>
      </c>
      <c r="L348" s="304">
        <f t="shared" ca="1" si="145"/>
        <v>469.41485746762817</v>
      </c>
      <c r="M348" s="306">
        <f t="shared" ca="1" si="161"/>
        <v>1.455848550088306</v>
      </c>
      <c r="N348" s="304">
        <f t="shared" ca="1" si="162"/>
        <v>83.413977530300173</v>
      </c>
      <c r="P348" s="310">
        <f t="shared" ca="1" si="163"/>
        <v>11</v>
      </c>
      <c r="Q348" s="304">
        <f t="shared" ca="1" si="164"/>
        <v>683.05000000000382</v>
      </c>
      <c r="R348" s="306">
        <f t="shared" ca="1" si="165"/>
        <v>0.34216178079413073</v>
      </c>
      <c r="S348" s="307">
        <f t="shared" ca="1" si="166"/>
        <v>9.4413630743921786</v>
      </c>
      <c r="T348" s="304">
        <f t="shared" ca="1" si="146"/>
        <v>92.61977175978727</v>
      </c>
      <c r="U348" s="311">
        <f t="shared" ca="1" si="147"/>
        <v>0</v>
      </c>
      <c r="V348" s="306">
        <f t="shared" ca="1" si="148"/>
        <v>1.1691355522548212</v>
      </c>
      <c r="W348" s="304">
        <f t="shared" ca="1" si="149"/>
        <v>188.58104743352385</v>
      </c>
      <c r="Y348" s="314" t="str">
        <f t="shared" ca="1" si="167"/>
        <v/>
      </c>
      <c r="Z348" s="315" t="str">
        <f t="shared" ca="1" si="168"/>
        <v/>
      </c>
      <c r="AA348" s="316" t="str">
        <f t="shared" ca="1" si="169"/>
        <v/>
      </c>
      <c r="AC348" s="310" t="e">
        <f t="shared" ca="1" si="170"/>
        <v>#N/A</v>
      </c>
      <c r="AD348" s="323" t="e">
        <f t="shared" ca="1" si="171"/>
        <v>#N/A</v>
      </c>
      <c r="AE348" s="324">
        <f t="shared" ca="1" si="150"/>
        <v>466.67740005418972</v>
      </c>
      <c r="AG348" s="306">
        <f t="shared" ca="1" si="172"/>
        <v>42.69141149282585</v>
      </c>
      <c r="AH348" s="304">
        <f t="shared" ca="1" si="173"/>
        <v>52.436724321938158</v>
      </c>
    </row>
    <row r="349" spans="1:34" x14ac:dyDescent="0.2">
      <c r="A349" s="347">
        <f t="shared" ca="1" si="151"/>
        <v>0.01</v>
      </c>
      <c r="B349" s="304">
        <f t="shared" ca="1" si="152"/>
        <v>3.4499999999999704</v>
      </c>
      <c r="D349" s="306">
        <f t="shared" ca="1" si="153"/>
        <v>5.9932433878414217</v>
      </c>
      <c r="E349" s="307">
        <f t="shared" ca="1" si="154"/>
        <v>42.098997751632545</v>
      </c>
      <c r="F349" s="304">
        <f t="shared" ca="1" si="155"/>
        <v>42.523459149014052</v>
      </c>
      <c r="G349" s="306">
        <f t="shared" ca="1" si="156"/>
        <v>28.390345213036003</v>
      </c>
      <c r="H349" s="307">
        <f t="shared" ca="1" si="157"/>
        <v>245.79786491630961</v>
      </c>
      <c r="I349" s="304">
        <f t="shared" ca="1" si="158"/>
        <v>247.43201510461768</v>
      </c>
      <c r="J349" s="306">
        <f t="shared" ca="1" si="159"/>
        <v>50.904870961135266</v>
      </c>
      <c r="K349" s="307">
        <f t="shared" ca="1" si="160"/>
        <v>469.13327375346523</v>
      </c>
      <c r="L349" s="304">
        <f t="shared" ca="1" si="145"/>
        <v>471.88699328357586</v>
      </c>
      <c r="M349" s="306">
        <f t="shared" ca="1" si="161"/>
        <v>1.4558030767454595</v>
      </c>
      <c r="N349" s="304">
        <f t="shared" ca="1" si="162"/>
        <v>83.411372099674708</v>
      </c>
      <c r="P349" s="310">
        <f t="shared" ca="1" si="163"/>
        <v>11</v>
      </c>
      <c r="Q349" s="304">
        <f t="shared" ca="1" si="164"/>
        <v>681.75000000000387</v>
      </c>
      <c r="R349" s="306">
        <f t="shared" ca="1" si="165"/>
        <v>0.34151056885498665</v>
      </c>
      <c r="S349" s="307">
        <f t="shared" ca="1" si="166"/>
        <v>9.4379479687036287</v>
      </c>
      <c r="T349" s="304">
        <f t="shared" ca="1" si="146"/>
        <v>92.586269572982602</v>
      </c>
      <c r="U349" s="311">
        <f t="shared" ca="1" si="147"/>
        <v>0</v>
      </c>
      <c r="V349" s="306">
        <f t="shared" ca="1" si="148"/>
        <v>1.168848305381363</v>
      </c>
      <c r="W349" s="304">
        <f t="shared" ca="1" si="149"/>
        <v>189.18418971932488</v>
      </c>
      <c r="Y349" s="314" t="str">
        <f t="shared" ca="1" si="167"/>
        <v/>
      </c>
      <c r="Z349" s="315" t="str">
        <f t="shared" ca="1" si="168"/>
        <v/>
      </c>
      <c r="AA349" s="316" t="str">
        <f t="shared" ca="1" si="169"/>
        <v/>
      </c>
      <c r="AC349" s="310" t="e">
        <f t="shared" ca="1" si="170"/>
        <v>#N/A</v>
      </c>
      <c r="AD349" s="323" t="e">
        <f t="shared" ca="1" si="171"/>
        <v>#N/A</v>
      </c>
      <c r="AE349" s="324">
        <f t="shared" ca="1" si="150"/>
        <v>469.13327375346523</v>
      </c>
      <c r="AG349" s="306">
        <f t="shared" ca="1" si="172"/>
        <v>42.508570921429595</v>
      </c>
      <c r="AH349" s="304">
        <f t="shared" ca="1" si="173"/>
        <v>52.253832528197378</v>
      </c>
    </row>
    <row r="350" spans="1:34" x14ac:dyDescent="0.2">
      <c r="A350" s="347">
        <f t="shared" ca="1" si="151"/>
        <v>0.01</v>
      </c>
      <c r="B350" s="304">
        <f t="shared" ca="1" si="152"/>
        <v>3.4599999999999702</v>
      </c>
      <c r="D350" s="306">
        <f t="shared" ca="1" si="153"/>
        <v>5.9746245673752902</v>
      </c>
      <c r="E350" s="307">
        <f t="shared" ca="1" si="154"/>
        <v>41.917090717553577</v>
      </c>
      <c r="F350" s="304">
        <f t="shared" ca="1" si="155"/>
        <v>42.340744359832655</v>
      </c>
      <c r="G350" s="306">
        <f t="shared" ca="1" si="156"/>
        <v>28.450091458709757</v>
      </c>
      <c r="H350" s="307">
        <f t="shared" ca="1" si="157"/>
        <v>246.21703582348513</v>
      </c>
      <c r="I350" s="304">
        <f t="shared" ca="1" si="158"/>
        <v>247.85527316099675</v>
      </c>
      <c r="J350" s="306">
        <f t="shared" ca="1" si="159"/>
        <v>51.189073144493996</v>
      </c>
      <c r="K350" s="307">
        <f t="shared" ca="1" si="160"/>
        <v>471.59334825716422</v>
      </c>
      <c r="L350" s="304">
        <f t="shared" ca="1" si="145"/>
        <v>474.36337056079208</v>
      </c>
      <c r="M350" s="306">
        <f t="shared" ca="1" si="161"/>
        <v>1.455757663177311</v>
      </c>
      <c r="N350" s="304">
        <f t="shared" ca="1" si="162"/>
        <v>83.408770093887171</v>
      </c>
      <c r="P350" s="310">
        <f t="shared" ca="1" si="163"/>
        <v>11</v>
      </c>
      <c r="Q350" s="304">
        <f t="shared" ca="1" si="164"/>
        <v>680.45000000000391</v>
      </c>
      <c r="R350" s="306">
        <f t="shared" ca="1" si="165"/>
        <v>0.34085935691584257</v>
      </c>
      <c r="S350" s="307">
        <f t="shared" ca="1" si="166"/>
        <v>9.4345393751344702</v>
      </c>
      <c r="T350" s="304">
        <f t="shared" ca="1" si="146"/>
        <v>92.552831270069163</v>
      </c>
      <c r="U350" s="311">
        <f t="shared" ca="1" si="147"/>
        <v>0</v>
      </c>
      <c r="V350" s="306">
        <f t="shared" ca="1" si="148"/>
        <v>1.1685606362643768</v>
      </c>
      <c r="W350" s="304">
        <f t="shared" ca="1" si="149"/>
        <v>189.78526137906755</v>
      </c>
      <c r="Y350" s="314" t="str">
        <f t="shared" ca="1" si="167"/>
        <v/>
      </c>
      <c r="Z350" s="315" t="str">
        <f t="shared" ca="1" si="168"/>
        <v/>
      </c>
      <c r="AA350" s="316" t="str">
        <f t="shared" ca="1" si="169"/>
        <v/>
      </c>
      <c r="AC350" s="310" t="e">
        <f t="shared" ca="1" si="170"/>
        <v>#N/A</v>
      </c>
      <c r="AD350" s="323" t="e">
        <f t="shared" ca="1" si="171"/>
        <v>#N/A</v>
      </c>
      <c r="AE350" s="324">
        <f t="shared" ca="1" si="150"/>
        <v>471.59334825716422</v>
      </c>
      <c r="AG350" s="306">
        <f t="shared" ca="1" si="172"/>
        <v>42.325780079170336</v>
      </c>
      <c r="AH350" s="304">
        <f t="shared" ca="1" si="173"/>
        <v>52.070990511253981</v>
      </c>
    </row>
    <row r="351" spans="1:34" x14ac:dyDescent="0.2">
      <c r="A351" s="347">
        <f t="shared" ca="1" si="151"/>
        <v>0.01</v>
      </c>
      <c r="B351" s="304">
        <f t="shared" ca="1" si="152"/>
        <v>3.46999999999997</v>
      </c>
      <c r="D351" s="306">
        <f t="shared" ca="1" si="153"/>
        <v>5.9559920525617045</v>
      </c>
      <c r="E351" s="307">
        <f t="shared" ca="1" si="154"/>
        <v>41.735237058316436</v>
      </c>
      <c r="F351" s="304">
        <f t="shared" ca="1" si="155"/>
        <v>42.158081712099374</v>
      </c>
      <c r="G351" s="306">
        <f t="shared" ca="1" si="156"/>
        <v>28.509651379235375</v>
      </c>
      <c r="H351" s="307">
        <f t="shared" ca="1" si="157"/>
        <v>246.63438819406829</v>
      </c>
      <c r="I351" s="304">
        <f t="shared" ca="1" si="158"/>
        <v>248.27670382383425</v>
      </c>
      <c r="J351" s="306">
        <f t="shared" ca="1" si="159"/>
        <v>51.473871858683722</v>
      </c>
      <c r="K351" s="307">
        <f t="shared" ca="1" si="160"/>
        <v>474.057605377252</v>
      </c>
      <c r="L351" s="304">
        <f t="shared" ca="1" si="145"/>
        <v>476.84397102211386</v>
      </c>
      <c r="M351" s="306">
        <f t="shared" ca="1" si="161"/>
        <v>1.4557123088697927</v>
      </c>
      <c r="N351" s="304">
        <f t="shared" ca="1" si="162"/>
        <v>83.406171483483632</v>
      </c>
      <c r="P351" s="310">
        <f t="shared" ca="1" si="163"/>
        <v>11</v>
      </c>
      <c r="Q351" s="304">
        <f t="shared" ca="1" si="164"/>
        <v>679.15000000000396</v>
      </c>
      <c r="R351" s="306">
        <f t="shared" ca="1" si="165"/>
        <v>0.34020814497669855</v>
      </c>
      <c r="S351" s="307">
        <f t="shared" ca="1" si="166"/>
        <v>9.4311372936847029</v>
      </c>
      <c r="T351" s="304">
        <f t="shared" ca="1" si="146"/>
        <v>92.51945685104694</v>
      </c>
      <c r="U351" s="311">
        <f t="shared" ca="1" si="147"/>
        <v>0</v>
      </c>
      <c r="V351" s="306">
        <f t="shared" ca="1" si="148"/>
        <v>1.1682725473591893</v>
      </c>
      <c r="W351" s="304">
        <f t="shared" ca="1" si="149"/>
        <v>190.38424980626209</v>
      </c>
      <c r="Y351" s="314" t="str">
        <f t="shared" ca="1" si="167"/>
        <v/>
      </c>
      <c r="Z351" s="315" t="str">
        <f t="shared" ca="1" si="168"/>
        <v/>
      </c>
      <c r="AA351" s="316" t="str">
        <f t="shared" ca="1" si="169"/>
        <v/>
      </c>
      <c r="AC351" s="310" t="e">
        <f t="shared" ca="1" si="170"/>
        <v>#N/A</v>
      </c>
      <c r="AD351" s="323" t="e">
        <f t="shared" ca="1" si="171"/>
        <v>#N/A</v>
      </c>
      <c r="AE351" s="324">
        <f t="shared" ca="1" si="150"/>
        <v>474.057605377252</v>
      </c>
      <c r="AG351" s="306">
        <f t="shared" ca="1" si="172"/>
        <v>42.143040748328076</v>
      </c>
      <c r="AH351" s="304">
        <f t="shared" ca="1" si="173"/>
        <v>51.888200052885011</v>
      </c>
    </row>
    <row r="352" spans="1:34" x14ac:dyDescent="0.2">
      <c r="A352" s="347">
        <f t="shared" ca="1" si="151"/>
        <v>0.01</v>
      </c>
      <c r="B352" s="304">
        <f t="shared" ca="1" si="152"/>
        <v>3.4799999999999698</v>
      </c>
      <c r="D352" s="306">
        <f t="shared" ca="1" si="153"/>
        <v>5.9373461129709808</v>
      </c>
      <c r="E352" s="307">
        <f t="shared" ca="1" si="154"/>
        <v>41.553438527893348</v>
      </c>
      <c r="F352" s="304">
        <f t="shared" ca="1" si="155"/>
        <v>41.975472985502179</v>
      </c>
      <c r="G352" s="306">
        <f t="shared" ca="1" si="156"/>
        <v>28.569024840365085</v>
      </c>
      <c r="H352" s="307">
        <f t="shared" ca="1" si="157"/>
        <v>247.04992257934722</v>
      </c>
      <c r="I352" s="304">
        <f t="shared" ca="1" si="158"/>
        <v>248.6963076259695</v>
      </c>
      <c r="J352" s="306">
        <f t="shared" ca="1" si="159"/>
        <v>51.759265239781726</v>
      </c>
      <c r="K352" s="307">
        <f t="shared" ca="1" si="160"/>
        <v>476.52602693111908</v>
      </c>
      <c r="L352" s="304">
        <f t="shared" ca="1" si="145"/>
        <v>479.3287763956173</v>
      </c>
      <c r="M352" s="306">
        <f t="shared" ca="1" si="161"/>
        <v>1.4556670133126521</v>
      </c>
      <c r="N352" s="304">
        <f t="shared" ca="1" si="162"/>
        <v>83.403576239228784</v>
      </c>
      <c r="P352" s="310">
        <f t="shared" ca="1" si="163"/>
        <v>11</v>
      </c>
      <c r="Q352" s="304">
        <f t="shared" ca="1" si="164"/>
        <v>677.85000000000389</v>
      </c>
      <c r="R352" s="306">
        <f t="shared" ca="1" si="165"/>
        <v>0.33955693303755441</v>
      </c>
      <c r="S352" s="307">
        <f t="shared" ca="1" si="166"/>
        <v>9.4277417243543269</v>
      </c>
      <c r="T352" s="304">
        <f t="shared" ca="1" si="146"/>
        <v>92.486146315915946</v>
      </c>
      <c r="U352" s="311">
        <f t="shared" ca="1" si="147"/>
        <v>0</v>
      </c>
      <c r="V352" s="306">
        <f t="shared" ca="1" si="148"/>
        <v>1.1679840411188043</v>
      </c>
      <c r="W352" s="304">
        <f t="shared" ca="1" si="149"/>
        <v>190.98114251094574</v>
      </c>
      <c r="Y352" s="314" t="str">
        <f t="shared" ca="1" si="167"/>
        <v/>
      </c>
      <c r="Z352" s="315" t="str">
        <f t="shared" ca="1" si="168"/>
        <v/>
      </c>
      <c r="AA352" s="316" t="str">
        <f t="shared" ca="1" si="169"/>
        <v/>
      </c>
      <c r="AC352" s="310" t="e">
        <f t="shared" ca="1" si="170"/>
        <v>#N/A</v>
      </c>
      <c r="AD352" s="323" t="e">
        <f t="shared" ca="1" si="171"/>
        <v>#N/A</v>
      </c>
      <c r="AE352" s="324">
        <f t="shared" ca="1" si="150"/>
        <v>476.52602693111908</v>
      </c>
      <c r="AG352" s="306">
        <f t="shared" ca="1" si="172"/>
        <v>41.960354701170189</v>
      </c>
      <c r="AH352" s="304">
        <f t="shared" ca="1" si="173"/>
        <v>51.705462924858246</v>
      </c>
    </row>
    <row r="353" spans="1:34" x14ac:dyDescent="0.2">
      <c r="A353" s="347">
        <f t="shared" ca="1" si="151"/>
        <v>0.01</v>
      </c>
      <c r="B353" s="304">
        <f t="shared" ca="1" si="152"/>
        <v>3.4899999999999696</v>
      </c>
      <c r="D353" s="306">
        <f t="shared" ca="1" si="153"/>
        <v>5.9186870167520915</v>
      </c>
      <c r="E353" s="307">
        <f t="shared" ca="1" si="154"/>
        <v>41.371696870312419</v>
      </c>
      <c r="F353" s="304">
        <f t="shared" ca="1" si="155"/>
        <v>41.792919949810738</v>
      </c>
      <c r="G353" s="306">
        <f t="shared" ca="1" si="156"/>
        <v>28.628211710532607</v>
      </c>
      <c r="H353" s="307">
        <f t="shared" ca="1" si="157"/>
        <v>247.46363954805034</v>
      </c>
      <c r="I353" s="304">
        <f t="shared" ca="1" si="158"/>
        <v>249.11408511786414</v>
      </c>
      <c r="J353" s="306">
        <f t="shared" ca="1" si="159"/>
        <v>52.045251422536218</v>
      </c>
      <c r="K353" s="307">
        <f t="shared" ca="1" si="160"/>
        <v>478.99859474175605</v>
      </c>
      <c r="L353" s="304">
        <f t="shared" ca="1" si="145"/>
        <v>481.81776841479399</v>
      </c>
      <c r="M353" s="306">
        <f t="shared" ca="1" si="161"/>
        <v>1.455621775999407</v>
      </c>
      <c r="N353" s="304">
        <f t="shared" ca="1" si="162"/>
        <v>83.400984332103334</v>
      </c>
      <c r="P353" s="310">
        <f t="shared" ca="1" si="163"/>
        <v>11</v>
      </c>
      <c r="Q353" s="304">
        <f t="shared" ca="1" si="164"/>
        <v>676.55000000000393</v>
      </c>
      <c r="R353" s="306">
        <f t="shared" ca="1" si="165"/>
        <v>0.33890572109841033</v>
      </c>
      <c r="S353" s="307">
        <f t="shared" ca="1" si="166"/>
        <v>9.4243526671433422</v>
      </c>
      <c r="T353" s="304">
        <f t="shared" ca="1" si="146"/>
        <v>92.452899664676195</v>
      </c>
      <c r="U353" s="311">
        <f t="shared" ca="1" si="147"/>
        <v>0</v>
      </c>
      <c r="V353" s="306">
        <f t="shared" ca="1" si="148"/>
        <v>1.1676951199938741</v>
      </c>
      <c r="W353" s="304">
        <f t="shared" ca="1" si="149"/>
        <v>191.57592711958449</v>
      </c>
      <c r="Y353" s="314" t="str">
        <f t="shared" ca="1" si="167"/>
        <v/>
      </c>
      <c r="Z353" s="315" t="str">
        <f t="shared" ca="1" si="168"/>
        <v/>
      </c>
      <c r="AA353" s="316" t="str">
        <f t="shared" ca="1" si="169"/>
        <v/>
      </c>
      <c r="AC353" s="310" t="e">
        <f t="shared" ca="1" si="170"/>
        <v>#N/A</v>
      </c>
      <c r="AD353" s="323" t="e">
        <f t="shared" ca="1" si="171"/>
        <v>#N/A</v>
      </c>
      <c r="AE353" s="324">
        <f t="shared" ca="1" si="150"/>
        <v>478.99859474175605</v>
      </c>
      <c r="AG353" s="306">
        <f t="shared" ca="1" si="172"/>
        <v>41.77772369993118</v>
      </c>
      <c r="AH353" s="304">
        <f t="shared" ca="1" si="173"/>
        <v>51.522780888911825</v>
      </c>
    </row>
    <row r="354" spans="1:34" x14ac:dyDescent="0.2">
      <c r="A354" s="347">
        <f t="shared" ca="1" si="151"/>
        <v>0.01</v>
      </c>
      <c r="B354" s="304">
        <f t="shared" ca="1" si="152"/>
        <v>3.4999999999999694</v>
      </c>
      <c r="D354" s="306">
        <f t="shared" ca="1" si="153"/>
        <v>5.9000150306331287</v>
      </c>
      <c r="E354" s="307">
        <f t="shared" ca="1" si="154"/>
        <v>41.190013819637635</v>
      </c>
      <c r="F354" s="304">
        <f t="shared" ca="1" si="155"/>
        <v>41.610424364858815</v>
      </c>
      <c r="G354" s="306">
        <f t="shared" ca="1" si="156"/>
        <v>28.687211860838939</v>
      </c>
      <c r="H354" s="307">
        <f t="shared" ca="1" si="157"/>
        <v>247.87553968624673</v>
      </c>
      <c r="I354" s="304">
        <f t="shared" ca="1" si="158"/>
        <v>249.53003686750165</v>
      </c>
      <c r="J354" s="306">
        <f t="shared" ca="1" si="159"/>
        <v>52.331828540393076</v>
      </c>
      <c r="K354" s="307">
        <f t="shared" ca="1" si="160"/>
        <v>481.47529063792751</v>
      </c>
      <c r="L354" s="304">
        <f t="shared" ca="1" si="145"/>
        <v>484.31092881872684</v>
      </c>
      <c r="M354" s="306">
        <f t="shared" ca="1" si="161"/>
        <v>1.4555765964273031</v>
      </c>
      <c r="N354" s="304">
        <f t="shared" ca="1" si="162"/>
        <v>83.39839573330157</v>
      </c>
      <c r="P354" s="310">
        <f t="shared" ca="1" si="163"/>
        <v>11</v>
      </c>
      <c r="Q354" s="304">
        <f t="shared" ca="1" si="164"/>
        <v>675.25000000000398</v>
      </c>
      <c r="R354" s="306">
        <f t="shared" ca="1" si="165"/>
        <v>0.33825450915926625</v>
      </c>
      <c r="S354" s="307">
        <f t="shared" ca="1" si="166"/>
        <v>9.4209701220517488</v>
      </c>
      <c r="T354" s="304">
        <f t="shared" ca="1" si="146"/>
        <v>92.41971689732766</v>
      </c>
      <c r="U354" s="311">
        <f t="shared" ca="1" si="147"/>
        <v>0</v>
      </c>
      <c r="V354" s="306">
        <f t="shared" ca="1" si="148"/>
        <v>1.1674057864326735</v>
      </c>
      <c r="W354" s="304">
        <f t="shared" ca="1" si="149"/>
        <v>192.16859137496803</v>
      </c>
      <c r="Y354" s="314" t="str">
        <f t="shared" ca="1" si="167"/>
        <v/>
      </c>
      <c r="Z354" s="315" t="str">
        <f t="shared" ca="1" si="168"/>
        <v/>
      </c>
      <c r="AA354" s="316" t="str">
        <f t="shared" ca="1" si="169"/>
        <v>Satellite</v>
      </c>
      <c r="AC354" s="310" t="e">
        <f t="shared" ca="1" si="170"/>
        <v>#N/A</v>
      </c>
      <c r="AD354" s="323" t="e">
        <f t="shared" ca="1" si="171"/>
        <v>#N/A</v>
      </c>
      <c r="AE354" s="324">
        <f t="shared" ca="1" si="150"/>
        <v>481.47529063792751</v>
      </c>
      <c r="AG354" s="306">
        <f t="shared" ca="1" si="172"/>
        <v>41.595149496792743</v>
      </c>
      <c r="AH354" s="304">
        <f t="shared" ca="1" si="173"/>
        <v>51.340155696734378</v>
      </c>
    </row>
    <row r="355" spans="1:34" x14ac:dyDescent="0.2">
      <c r="A355" s="347">
        <f t="shared" ca="1" si="151"/>
        <v>0.01</v>
      </c>
      <c r="B355" s="304">
        <f t="shared" ca="1" si="152"/>
        <v>3.5099999999999691</v>
      </c>
      <c r="D355" s="306">
        <f t="shared" ca="1" si="153"/>
        <v>5.8813304199217145</v>
      </c>
      <c r="E355" s="307">
        <f t="shared" ca="1" si="154"/>
        <v>41.008391099949897</v>
      </c>
      <c r="F355" s="304">
        <f t="shared" ca="1" si="155"/>
        <v>41.427987980527689</v>
      </c>
      <c r="G355" s="306">
        <f t="shared" ca="1" si="156"/>
        <v>28.746025165038155</v>
      </c>
      <c r="H355" s="307">
        <f t="shared" ca="1" si="157"/>
        <v>248.28562359724623</v>
      </c>
      <c r="I355" s="304">
        <f t="shared" ca="1" si="158"/>
        <v>249.94416346028655</v>
      </c>
      <c r="J355" s="306">
        <f t="shared" ca="1" si="159"/>
        <v>52.618994725522462</v>
      </c>
      <c r="K355" s="307">
        <f t="shared" ca="1" si="160"/>
        <v>483.95609645434496</v>
      </c>
      <c r="L355" s="304">
        <f t="shared" ca="1" si="145"/>
        <v>486.80823935226465</v>
      </c>
      <c r="M355" s="306">
        <f t="shared" ca="1" si="161"/>
        <v>1.4555314740972707</v>
      </c>
      <c r="N355" s="304">
        <f t="shared" ca="1" si="162"/>
        <v>83.395810414228919</v>
      </c>
      <c r="P355" s="310">
        <f t="shared" ca="1" si="163"/>
        <v>11</v>
      </c>
      <c r="Q355" s="304">
        <f t="shared" ca="1" si="164"/>
        <v>673.95000000000402</v>
      </c>
      <c r="R355" s="306">
        <f t="shared" ca="1" si="165"/>
        <v>0.33760329722012222</v>
      </c>
      <c r="S355" s="307">
        <f t="shared" ca="1" si="166"/>
        <v>9.4175940890795484</v>
      </c>
      <c r="T355" s="304">
        <f t="shared" ca="1" si="146"/>
        <v>92.386598013870369</v>
      </c>
      <c r="U355" s="311">
        <f t="shared" ca="1" si="147"/>
        <v>0</v>
      </c>
      <c r="V355" s="306">
        <f t="shared" ca="1" si="148"/>
        <v>1.1671160428810732</v>
      </c>
      <c r="W355" s="304">
        <f t="shared" ca="1" si="149"/>
        <v>192.75912313609939</v>
      </c>
      <c r="Y355" s="314" t="str">
        <f t="shared" ca="1" si="167"/>
        <v/>
      </c>
      <c r="Z355" s="315" t="str">
        <f t="shared" ca="1" si="168"/>
        <v/>
      </c>
      <c r="AA355" s="316" t="str">
        <f t="shared" ca="1" si="169"/>
        <v/>
      </c>
      <c r="AC355" s="310" t="e">
        <f t="shared" ca="1" si="170"/>
        <v>#N/A</v>
      </c>
      <c r="AD355" s="323" t="e">
        <f t="shared" ca="1" si="171"/>
        <v>#N/A</v>
      </c>
      <c r="AE355" s="324">
        <f t="shared" ca="1" si="150"/>
        <v>483.95609645434496</v>
      </c>
      <c r="AG355" s="306">
        <f t="shared" ca="1" si="172"/>
        <v>41.412633833864874</v>
      </c>
      <c r="AH355" s="304">
        <f t="shared" ca="1" si="173"/>
        <v>51.157589089946015</v>
      </c>
    </row>
    <row r="356" spans="1:34" x14ac:dyDescent="0.2">
      <c r="A356" s="347">
        <f t="shared" ca="1" si="151"/>
        <v>0.01</v>
      </c>
      <c r="B356" s="304">
        <f t="shared" ca="1" si="152"/>
        <v>3.5199999999999689</v>
      </c>
      <c r="D356" s="306">
        <f t="shared" ca="1" si="153"/>
        <v>5.8626334485054947</v>
      </c>
      <c r="E356" s="307">
        <f t="shared" ca="1" si="154"/>
        <v>40.826830425328438</v>
      </c>
      <c r="F356" s="304">
        <f t="shared" ca="1" si="155"/>
        <v>41.245612536730007</v>
      </c>
      <c r="G356" s="306">
        <f t="shared" ca="1" si="156"/>
        <v>28.80465149952321</v>
      </c>
      <c r="H356" s="307">
        <f t="shared" ca="1" si="157"/>
        <v>248.69389190149951</v>
      </c>
      <c r="I356" s="304">
        <f t="shared" ca="1" si="158"/>
        <v>250.35646549894352</v>
      </c>
      <c r="J356" s="306">
        <f t="shared" ca="1" si="159"/>
        <v>52.906748108845271</v>
      </c>
      <c r="K356" s="307">
        <f t="shared" ca="1" si="160"/>
        <v>486.44099403183867</v>
      </c>
      <c r="L356" s="304">
        <f t="shared" ca="1" si="145"/>
        <v>489.30968176619609</v>
      </c>
      <c r="M356" s="306">
        <f t="shared" ca="1" si="161"/>
        <v>1.4554864085138826</v>
      </c>
      <c r="N356" s="304">
        <f t="shared" ca="1" si="162"/>
        <v>83.393228346499484</v>
      </c>
      <c r="P356" s="310">
        <f t="shared" ca="1" si="163"/>
        <v>11</v>
      </c>
      <c r="Q356" s="304">
        <f t="shared" ca="1" si="164"/>
        <v>672.65000000000407</v>
      </c>
      <c r="R356" s="306">
        <f t="shared" ca="1" si="165"/>
        <v>0.33695208528097814</v>
      </c>
      <c r="S356" s="307">
        <f t="shared" ca="1" si="166"/>
        <v>9.4142245682267394</v>
      </c>
      <c r="T356" s="304">
        <f t="shared" ca="1" si="146"/>
        <v>92.353543014304321</v>
      </c>
      <c r="U356" s="311">
        <f t="shared" ca="1" si="147"/>
        <v>0</v>
      </c>
      <c r="V356" s="306">
        <f t="shared" ca="1" si="148"/>
        <v>1.1668258917825114</v>
      </c>
      <c r="W356" s="304">
        <f t="shared" ca="1" si="149"/>
        <v>193.34751037807806</v>
      </c>
      <c r="Y356" s="314" t="str">
        <f t="shared" ca="1" si="167"/>
        <v/>
      </c>
      <c r="Z356" s="315" t="str">
        <f t="shared" ca="1" si="168"/>
        <v/>
      </c>
      <c r="AA356" s="316" t="str">
        <f t="shared" ca="1" si="169"/>
        <v/>
      </c>
      <c r="AC356" s="310" t="e">
        <f t="shared" ca="1" si="170"/>
        <v>#N/A</v>
      </c>
      <c r="AD356" s="323" t="e">
        <f t="shared" ca="1" si="171"/>
        <v>#N/A</v>
      </c>
      <c r="AE356" s="324">
        <f t="shared" ca="1" si="150"/>
        <v>486.44099403183867</v>
      </c>
      <c r="AG356" s="306">
        <f t="shared" ca="1" si="172"/>
        <v>41.230178443167461</v>
      </c>
      <c r="AH356" s="304">
        <f t="shared" ca="1" si="173"/>
        <v>50.975082800079917</v>
      </c>
    </row>
    <row r="357" spans="1:34" x14ac:dyDescent="0.2">
      <c r="A357" s="347">
        <f t="shared" ca="1" si="151"/>
        <v>0.01</v>
      </c>
      <c r="B357" s="304">
        <f t="shared" ca="1" si="152"/>
        <v>3.5299999999999687</v>
      </c>
      <c r="D357" s="306">
        <f t="shared" ca="1" si="153"/>
        <v>5.8439243788526278</v>
      </c>
      <c r="E357" s="307">
        <f t="shared" ca="1" si="154"/>
        <v>40.645333499833214</v>
      </c>
      <c r="F357" s="304">
        <f t="shared" ca="1" si="155"/>
        <v>41.063299763394717</v>
      </c>
      <c r="G357" s="306">
        <f t="shared" ca="1" si="156"/>
        <v>28.863090743311737</v>
      </c>
      <c r="H357" s="307">
        <f t="shared" ca="1" si="157"/>
        <v>249.10034523649784</v>
      </c>
      <c r="I357" s="304">
        <f t="shared" ca="1" si="158"/>
        <v>250.76694360341648</v>
      </c>
      <c r="J357" s="306">
        <f t="shared" ca="1" si="159"/>
        <v>53.195086820059444</v>
      </c>
      <c r="K357" s="307">
        <f t="shared" ca="1" si="160"/>
        <v>488.92996521752866</v>
      </c>
      <c r="L357" s="304">
        <f t="shared" ca="1" si="145"/>
        <v>491.81523781742209</v>
      </c>
      <c r="M357" s="306">
        <f t="shared" ca="1" si="161"/>
        <v>1.4554413991853119</v>
      </c>
      <c r="N357" s="304">
        <f t="shared" ca="1" si="162"/>
        <v>83.390649501933666</v>
      </c>
      <c r="P357" s="310">
        <f t="shared" ca="1" si="163"/>
        <v>11</v>
      </c>
      <c r="Q357" s="304">
        <f t="shared" ca="1" si="164"/>
        <v>671.35000000000412</v>
      </c>
      <c r="R357" s="306">
        <f t="shared" ca="1" si="165"/>
        <v>0.33630087334183406</v>
      </c>
      <c r="S357" s="307">
        <f t="shared" ca="1" si="166"/>
        <v>9.4108615594933216</v>
      </c>
      <c r="T357" s="304">
        <f t="shared" ca="1" si="146"/>
        <v>92.320551898629489</v>
      </c>
      <c r="U357" s="311">
        <f t="shared" ca="1" si="147"/>
        <v>0</v>
      </c>
      <c r="V357" s="306">
        <f t="shared" ca="1" si="148"/>
        <v>1.1665353355779686</v>
      </c>
      <c r="W357" s="304">
        <f t="shared" ca="1" si="149"/>
        <v>193.93374119197838</v>
      </c>
      <c r="Y357" s="314" t="str">
        <f t="shared" ca="1" si="167"/>
        <v/>
      </c>
      <c r="Z357" s="315" t="str">
        <f t="shared" ca="1" si="168"/>
        <v/>
      </c>
      <c r="AA357" s="316" t="str">
        <f t="shared" ca="1" si="169"/>
        <v/>
      </c>
      <c r="AC357" s="310" t="e">
        <f t="shared" ca="1" si="170"/>
        <v>#N/A</v>
      </c>
      <c r="AD357" s="323" t="e">
        <f t="shared" ca="1" si="171"/>
        <v>#N/A</v>
      </c>
      <c r="AE357" s="324">
        <f t="shared" ca="1" si="150"/>
        <v>488.92996521752866</v>
      </c>
      <c r="AG357" s="306">
        <f t="shared" ca="1" si="172"/>
        <v>41.047785046612667</v>
      </c>
      <c r="AH357" s="304">
        <f t="shared" ca="1" si="173"/>
        <v>50.792638548564689</v>
      </c>
    </row>
    <row r="358" spans="1:34" x14ac:dyDescent="0.2">
      <c r="A358" s="347">
        <f t="shared" ca="1" si="151"/>
        <v>0.01</v>
      </c>
      <c r="B358" s="304">
        <f t="shared" ca="1" si="152"/>
        <v>3.5399999999999685</v>
      </c>
      <c r="D358" s="306">
        <f t="shared" ca="1" si="153"/>
        <v>5.8252034720123014</v>
      </c>
      <c r="E358" s="307">
        <f t="shared" ca="1" si="154"/>
        <v>40.463902017487641</v>
      </c>
      <c r="F358" s="304">
        <f t="shared" ca="1" si="155"/>
        <v>40.881051380452341</v>
      </c>
      <c r="G358" s="306">
        <f t="shared" ca="1" si="156"/>
        <v>28.92134277803186</v>
      </c>
      <c r="H358" s="307">
        <f t="shared" ca="1" si="157"/>
        <v>249.50498425667271</v>
      </c>
      <c r="I358" s="304">
        <f t="shared" ca="1" si="158"/>
        <v>251.17559841076701</v>
      </c>
      <c r="J358" s="306">
        <f t="shared" ca="1" si="159"/>
        <v>53.484008987666165</v>
      </c>
      <c r="K358" s="307">
        <f t="shared" ca="1" si="160"/>
        <v>491.42299186499451</v>
      </c>
      <c r="L358" s="304">
        <f t="shared" ca="1" si="145"/>
        <v>494.32488926912754</v>
      </c>
      <c r="M358" s="306">
        <f t="shared" ca="1" si="161"/>
        <v>1.4553964456232924</v>
      </c>
      <c r="N358" s="304">
        <f t="shared" ca="1" si="162"/>
        <v>83.388073852555863</v>
      </c>
      <c r="P358" s="310">
        <f t="shared" ca="1" si="163"/>
        <v>11</v>
      </c>
      <c r="Q358" s="304">
        <f t="shared" ca="1" si="164"/>
        <v>670.05000000000405</v>
      </c>
      <c r="R358" s="306">
        <f t="shared" ca="1" si="165"/>
        <v>0.33564966140268998</v>
      </c>
      <c r="S358" s="307">
        <f t="shared" ca="1" si="166"/>
        <v>9.4075050628792951</v>
      </c>
      <c r="T358" s="304">
        <f t="shared" ca="1" si="146"/>
        <v>92.287624666845886</v>
      </c>
      <c r="U358" s="311">
        <f t="shared" ca="1" si="147"/>
        <v>0</v>
      </c>
      <c r="V358" s="306">
        <f t="shared" ca="1" si="148"/>
        <v>1.1662443767059412</v>
      </c>
      <c r="W358" s="304">
        <f t="shared" ca="1" si="149"/>
        <v>194.51780378472097</v>
      </c>
      <c r="Y358" s="314" t="str">
        <f t="shared" ca="1" si="167"/>
        <v/>
      </c>
      <c r="Z358" s="315" t="str">
        <f t="shared" ca="1" si="168"/>
        <v/>
      </c>
      <c r="AA358" s="316" t="str">
        <f t="shared" ca="1" si="169"/>
        <v/>
      </c>
      <c r="AC358" s="310" t="e">
        <f t="shared" ca="1" si="170"/>
        <v>#N/A</v>
      </c>
      <c r="AD358" s="323" t="e">
        <f t="shared" ca="1" si="171"/>
        <v>#N/A</v>
      </c>
      <c r="AE358" s="324">
        <f t="shared" ca="1" si="150"/>
        <v>491.42299186499451</v>
      </c>
      <c r="AG358" s="306">
        <f t="shared" ca="1" si="172"/>
        <v>40.865455355987848</v>
      </c>
      <c r="AH358" s="304">
        <f t="shared" ca="1" si="173"/>
        <v>50.610258046707216</v>
      </c>
    </row>
    <row r="359" spans="1:34" x14ac:dyDescent="0.2">
      <c r="A359" s="347">
        <f t="shared" ca="1" si="151"/>
        <v>0.01</v>
      </c>
      <c r="B359" s="304">
        <f t="shared" ca="1" si="152"/>
        <v>3.5499999999999683</v>
      </c>
      <c r="D359" s="306">
        <f t="shared" ca="1" si="153"/>
        <v>5.8064709876152243</v>
      </c>
      <c r="E359" s="307">
        <f t="shared" ca="1" si="154"/>
        <v>40.28253766226242</v>
      </c>
      <c r="F359" s="304">
        <f t="shared" ca="1" si="155"/>
        <v>40.698869097821472</v>
      </c>
      <c r="G359" s="306">
        <f t="shared" ca="1" si="156"/>
        <v>28.979407487908013</v>
      </c>
      <c r="H359" s="307">
        <f t="shared" ca="1" si="157"/>
        <v>249.90780963329533</v>
      </c>
      <c r="I359" s="304">
        <f t="shared" ca="1" si="158"/>
        <v>251.58243057507332</v>
      </c>
      <c r="J359" s="306">
        <f t="shared" ca="1" si="159"/>
        <v>53.773512738995862</v>
      </c>
      <c r="K359" s="307">
        <f t="shared" ca="1" si="160"/>
        <v>493.92005583444438</v>
      </c>
      <c r="L359" s="304">
        <f t="shared" ca="1" si="145"/>
        <v>496.83861789095221</v>
      </c>
      <c r="M359" s="306">
        <f t="shared" ca="1" si="161"/>
        <v>1.4553515473430763</v>
      </c>
      <c r="N359" s="304">
        <f t="shared" ca="1" si="162"/>
        <v>83.385501370592081</v>
      </c>
      <c r="P359" s="310">
        <f t="shared" ca="1" si="163"/>
        <v>11</v>
      </c>
      <c r="Q359" s="304">
        <f t="shared" ca="1" si="164"/>
        <v>668.75000000000409</v>
      </c>
      <c r="R359" s="306">
        <f t="shared" ca="1" si="165"/>
        <v>0.3349984494635459</v>
      </c>
      <c r="S359" s="307">
        <f t="shared" ca="1" si="166"/>
        <v>9.4041550783846599</v>
      </c>
      <c r="T359" s="304">
        <f t="shared" ca="1" si="146"/>
        <v>92.254761318953513</v>
      </c>
      <c r="U359" s="311">
        <f t="shared" ca="1" si="147"/>
        <v>0</v>
      </c>
      <c r="V359" s="306">
        <f t="shared" ca="1" si="148"/>
        <v>1.165953017602414</v>
      </c>
      <c r="W359" s="304">
        <f t="shared" ca="1" si="149"/>
        <v>195.09968647893965</v>
      </c>
      <c r="Y359" s="314" t="str">
        <f t="shared" ca="1" si="167"/>
        <v/>
      </c>
      <c r="Z359" s="315" t="str">
        <f t="shared" ca="1" si="168"/>
        <v/>
      </c>
      <c r="AA359" s="316" t="str">
        <f t="shared" ca="1" si="169"/>
        <v/>
      </c>
      <c r="AC359" s="310" t="e">
        <f t="shared" ca="1" si="170"/>
        <v>#N/A</v>
      </c>
      <c r="AD359" s="323" t="e">
        <f t="shared" ca="1" si="171"/>
        <v>#N/A</v>
      </c>
      <c r="AE359" s="324">
        <f t="shared" ca="1" si="150"/>
        <v>493.92005583444438</v>
      </c>
      <c r="AG359" s="306">
        <f t="shared" ca="1" si="172"/>
        <v>40.683191072939401</v>
      </c>
      <c r="AH359" s="304">
        <f t="shared" ca="1" si="173"/>
        <v>50.427942995676482</v>
      </c>
    </row>
    <row r="360" spans="1:34" x14ac:dyDescent="0.2">
      <c r="A360" s="347">
        <f t="shared" ca="1" si="151"/>
        <v>0.01</v>
      </c>
      <c r="B360" s="304">
        <f t="shared" ca="1" si="152"/>
        <v>3.5599999999999681</v>
      </c>
      <c r="D360" s="306">
        <f t="shared" ca="1" si="153"/>
        <v>5.7877271838742415</v>
      </c>
      <c r="E360" s="307">
        <f t="shared" ca="1" si="154"/>
        <v>40.101242108059616</v>
      </c>
      <c r="F360" s="304">
        <f t="shared" ca="1" si="155"/>
        <v>40.516754615395477</v>
      </c>
      <c r="G360" s="306">
        <f t="shared" ca="1" si="156"/>
        <v>29.037284759746754</v>
      </c>
      <c r="H360" s="307">
        <f t="shared" ca="1" si="157"/>
        <v>250.30882205437592</v>
      </c>
      <c r="I360" s="304">
        <f t="shared" ca="1" si="158"/>
        <v>251.98744076732842</v>
      </c>
      <c r="J360" s="306">
        <f t="shared" ca="1" si="159"/>
        <v>54.063596200234137</v>
      </c>
      <c r="K360" s="307">
        <f t="shared" ca="1" si="160"/>
        <v>496.42113899288273</v>
      </c>
      <c r="L360" s="304">
        <f t="shared" ca="1" si="145"/>
        <v>499.35640545915999</v>
      </c>
      <c r="M360" s="306">
        <f t="shared" ca="1" si="161"/>
        <v>1.4553067038633947</v>
      </c>
      <c r="N360" s="304">
        <f t="shared" ca="1" si="162"/>
        <v>83.38293202846765</v>
      </c>
      <c r="P360" s="310">
        <f t="shared" ca="1" si="163"/>
        <v>11</v>
      </c>
      <c r="Q360" s="304">
        <f t="shared" ca="1" si="164"/>
        <v>667.45000000000414</v>
      </c>
      <c r="R360" s="306">
        <f t="shared" ca="1" si="165"/>
        <v>0.33434723752440182</v>
      </c>
      <c r="S360" s="307">
        <f t="shared" ca="1" si="166"/>
        <v>9.400811606009416</v>
      </c>
      <c r="T360" s="304">
        <f t="shared" ca="1" si="146"/>
        <v>92.221961854952369</v>
      </c>
      <c r="U360" s="311">
        <f t="shared" ca="1" si="147"/>
        <v>0</v>
      </c>
      <c r="V360" s="306">
        <f t="shared" ca="1" si="148"/>
        <v>1.1656612607008365</v>
      </c>
      <c r="W360" s="304">
        <f t="shared" ca="1" si="149"/>
        <v>195.67937771284195</v>
      </c>
      <c r="Y360" s="314" t="str">
        <f t="shared" ca="1" si="167"/>
        <v/>
      </c>
      <c r="Z360" s="315" t="str">
        <f t="shared" ca="1" si="168"/>
        <v/>
      </c>
      <c r="AA360" s="316" t="str">
        <f t="shared" ca="1" si="169"/>
        <v/>
      </c>
      <c r="AC360" s="310" t="e">
        <f t="shared" ca="1" si="170"/>
        <v>#N/A</v>
      </c>
      <c r="AD360" s="323" t="e">
        <f t="shared" ca="1" si="171"/>
        <v>#N/A</v>
      </c>
      <c r="AE360" s="324">
        <f t="shared" ca="1" si="150"/>
        <v>496.42113899288273</v>
      </c>
      <c r="AG360" s="306">
        <f t="shared" ca="1" si="172"/>
        <v>40.500993888956963</v>
      </c>
      <c r="AH360" s="304">
        <f t="shared" ca="1" si="173"/>
        <v>50.245695086487764</v>
      </c>
    </row>
    <row r="361" spans="1:34" x14ac:dyDescent="0.2">
      <c r="A361" s="347">
        <f t="shared" ca="1" si="151"/>
        <v>0.01</v>
      </c>
      <c r="B361" s="304">
        <f t="shared" ca="1" si="152"/>
        <v>3.5699999999999679</v>
      </c>
      <c r="D361" s="306">
        <f t="shared" ca="1" si="153"/>
        <v>5.7689723175848888</v>
      </c>
      <c r="E361" s="307">
        <f t="shared" ca="1" si="154"/>
        <v>39.920017018697699</v>
      </c>
      <c r="F361" s="304">
        <f t="shared" ca="1" si="155"/>
        <v>40.334709623030321</v>
      </c>
      <c r="G361" s="306">
        <f t="shared" ca="1" si="156"/>
        <v>29.094974482922602</v>
      </c>
      <c r="H361" s="307">
        <f t="shared" ca="1" si="157"/>
        <v>250.70802222456291</v>
      </c>
      <c r="I361" s="304">
        <f t="shared" ca="1" si="158"/>
        <v>252.39062967533849</v>
      </c>
      <c r="J361" s="306">
        <f t="shared" ca="1" si="159"/>
        <v>54.354257496447481</v>
      </c>
      <c r="K361" s="307">
        <f t="shared" ca="1" si="160"/>
        <v>498.9262232142774</v>
      </c>
      <c r="L361" s="304">
        <f t="shared" ca="1" si="145"/>
        <v>501.87823375680784</v>
      </c>
      <c r="M361" s="306">
        <f t="shared" ca="1" si="161"/>
        <v>1.4552619147064185</v>
      </c>
      <c r="N361" s="304">
        <f t="shared" ca="1" si="162"/>
        <v>83.380365798804974</v>
      </c>
      <c r="P361" s="310">
        <f t="shared" ca="1" si="163"/>
        <v>11</v>
      </c>
      <c r="Q361" s="304">
        <f t="shared" ca="1" si="164"/>
        <v>666.15000000000418</v>
      </c>
      <c r="R361" s="306">
        <f t="shared" ca="1" si="165"/>
        <v>0.33369602558525779</v>
      </c>
      <c r="S361" s="307">
        <f t="shared" ca="1" si="166"/>
        <v>9.3974746457535634</v>
      </c>
      <c r="T361" s="304">
        <f t="shared" ca="1" si="146"/>
        <v>92.189226274842468</v>
      </c>
      <c r="U361" s="311">
        <f t="shared" ca="1" si="147"/>
        <v>0</v>
      </c>
      <c r="V361" s="306">
        <f t="shared" ca="1" si="148"/>
        <v>1.1653691084320947</v>
      </c>
      <c r="W361" s="304">
        <f t="shared" ca="1" si="149"/>
        <v>196.2568660400641</v>
      </c>
      <c r="Y361" s="314" t="str">
        <f t="shared" ca="1" si="167"/>
        <v/>
      </c>
      <c r="Z361" s="315" t="str">
        <f t="shared" ca="1" si="168"/>
        <v/>
      </c>
      <c r="AA361" s="316" t="str">
        <f t="shared" ca="1" si="169"/>
        <v/>
      </c>
      <c r="AC361" s="310" t="e">
        <f t="shared" ca="1" si="170"/>
        <v>#N/A</v>
      </c>
      <c r="AD361" s="323" t="e">
        <f t="shared" ca="1" si="171"/>
        <v>#N/A</v>
      </c>
      <c r="AE361" s="324">
        <f t="shared" ca="1" si="150"/>
        <v>498.9262232142774</v>
      </c>
      <c r="AG361" s="306">
        <f t="shared" ca="1" si="172"/>
        <v>40.31886548535855</v>
      </c>
      <c r="AH361" s="304">
        <f t="shared" ca="1" si="173"/>
        <v>50.063515999987693</v>
      </c>
    </row>
    <row r="362" spans="1:34" x14ac:dyDescent="0.2">
      <c r="A362" s="347">
        <f t="shared" ca="1" si="151"/>
        <v>0.01</v>
      </c>
      <c r="B362" s="304">
        <f t="shared" ca="1" si="152"/>
        <v>3.5799999999999677</v>
      </c>
      <c r="D362" s="306">
        <f t="shared" ca="1" si="153"/>
        <v>5.7502066441259956</v>
      </c>
      <c r="E362" s="307">
        <f t="shared" ca="1" si="154"/>
        <v>39.738864047897152</v>
      </c>
      <c r="F362" s="304">
        <f t="shared" ca="1" si="155"/>
        <v>40.152735800532987</v>
      </c>
      <c r="G362" s="306">
        <f t="shared" ca="1" si="156"/>
        <v>29.152476549363861</v>
      </c>
      <c r="H362" s="307">
        <f t="shared" ca="1" si="157"/>
        <v>251.10541086504188</v>
      </c>
      <c r="I362" s="304">
        <f t="shared" ca="1" si="158"/>
        <v>252.79199800362096</v>
      </c>
      <c r="J362" s="306">
        <f t="shared" ca="1" si="159"/>
        <v>54.645494751608915</v>
      </c>
      <c r="K362" s="307">
        <f t="shared" ca="1" si="160"/>
        <v>501.43529037972542</v>
      </c>
      <c r="L362" s="304">
        <f t="shared" ca="1" si="145"/>
        <v>504.40408457391351</v>
      </c>
      <c r="M362" s="306">
        <f t="shared" ca="1" si="161"/>
        <v>1.4552171793977198</v>
      </c>
      <c r="N362" s="304">
        <f t="shared" ca="1" si="162"/>
        <v>83.377802654421316</v>
      </c>
      <c r="P362" s="310">
        <f t="shared" ca="1" si="163"/>
        <v>11</v>
      </c>
      <c r="Q362" s="304">
        <f t="shared" ca="1" si="164"/>
        <v>664.85000000000423</v>
      </c>
      <c r="R362" s="306">
        <f t="shared" ca="1" si="165"/>
        <v>0.33304481364611371</v>
      </c>
      <c r="S362" s="307">
        <f t="shared" ca="1" si="166"/>
        <v>9.3941441976171021</v>
      </c>
      <c r="T362" s="304">
        <f t="shared" ca="1" si="146"/>
        <v>92.156554578623769</v>
      </c>
      <c r="U362" s="311">
        <f t="shared" ca="1" si="147"/>
        <v>0</v>
      </c>
      <c r="V362" s="306">
        <f t="shared" ca="1" si="148"/>
        <v>1.1650765632244875</v>
      </c>
      <c r="W362" s="304">
        <f t="shared" ca="1" si="149"/>
        <v>196.83214012952104</v>
      </c>
      <c r="Y362" s="314" t="str">
        <f t="shared" ca="1" si="167"/>
        <v/>
      </c>
      <c r="Z362" s="315" t="str">
        <f t="shared" ca="1" si="168"/>
        <v/>
      </c>
      <c r="AA362" s="316" t="str">
        <f t="shared" ca="1" si="169"/>
        <v/>
      </c>
      <c r="AC362" s="310" t="e">
        <f t="shared" ca="1" si="170"/>
        <v>#N/A</v>
      </c>
      <c r="AD362" s="323" t="e">
        <f t="shared" ca="1" si="171"/>
        <v>#N/A</v>
      </c>
      <c r="AE362" s="324">
        <f t="shared" ca="1" si="150"/>
        <v>501.43529037972542</v>
      </c>
      <c r="AG362" s="306">
        <f t="shared" ca="1" si="172"/>
        <v>40.136807533276247</v>
      </c>
      <c r="AH362" s="304">
        <f t="shared" ca="1" si="173"/>
        <v>49.881407406839934</v>
      </c>
    </row>
    <row r="363" spans="1:34" x14ac:dyDescent="0.2">
      <c r="A363" s="347">
        <f t="shared" ca="1" si="151"/>
        <v>0.01</v>
      </c>
      <c r="B363" s="304">
        <f t="shared" ca="1" si="152"/>
        <v>3.5899999999999674</v>
      </c>
      <c r="D363" s="306">
        <f t="shared" ca="1" si="153"/>
        <v>5.7314304174602899</v>
      </c>
      <c r="E363" s="307">
        <f t="shared" ca="1" si="154"/>
        <v>39.557784839266731</v>
      </c>
      <c r="F363" s="304">
        <f t="shared" ca="1" si="155"/>
        <v>39.970834817650605</v>
      </c>
      <c r="G363" s="306">
        <f t="shared" ca="1" si="156"/>
        <v>29.209790853538465</v>
      </c>
      <c r="H363" s="307">
        <f t="shared" ca="1" si="157"/>
        <v>251.50098871343454</v>
      </c>
      <c r="I363" s="304">
        <f t="shared" ca="1" si="158"/>
        <v>253.19154647330265</v>
      </c>
      <c r="J363" s="306">
        <f t="shared" ca="1" si="159"/>
        <v>54.93730608862343</v>
      </c>
      <c r="K363" s="307">
        <f t="shared" ca="1" si="160"/>
        <v>503.94832237761779</v>
      </c>
      <c r="L363" s="304">
        <f t="shared" ca="1" si="145"/>
        <v>506.93393970762156</v>
      </c>
      <c r="M363" s="306">
        <f t="shared" ca="1" si="161"/>
        <v>1.4551724974662321</v>
      </c>
      <c r="N363" s="304">
        <f t="shared" ca="1" si="162"/>
        <v>83.375242568326584</v>
      </c>
      <c r="P363" s="310">
        <f t="shared" ca="1" si="163"/>
        <v>11</v>
      </c>
      <c r="Q363" s="304">
        <f t="shared" ca="1" si="164"/>
        <v>663.55000000000427</v>
      </c>
      <c r="R363" s="306">
        <f t="shared" ca="1" si="165"/>
        <v>0.33239360170696963</v>
      </c>
      <c r="S363" s="307">
        <f t="shared" ca="1" si="166"/>
        <v>9.390820261600032</v>
      </c>
      <c r="T363" s="304">
        <f t="shared" ca="1" si="146"/>
        <v>92.123946766296314</v>
      </c>
      <c r="U363" s="311">
        <f t="shared" ca="1" si="147"/>
        <v>0</v>
      </c>
      <c r="V363" s="306">
        <f t="shared" ca="1" si="148"/>
        <v>1.1647836275037007</v>
      </c>
      <c r="W363" s="304">
        <f t="shared" ca="1" si="149"/>
        <v>197.4051887652507</v>
      </c>
      <c r="Y363" s="314" t="str">
        <f t="shared" ca="1" si="167"/>
        <v/>
      </c>
      <c r="Z363" s="315" t="str">
        <f t="shared" ca="1" si="168"/>
        <v/>
      </c>
      <c r="AA363" s="316" t="str">
        <f t="shared" ca="1" si="169"/>
        <v/>
      </c>
      <c r="AC363" s="310" t="e">
        <f t="shared" ca="1" si="170"/>
        <v>#N/A</v>
      </c>
      <c r="AD363" s="323" t="e">
        <f t="shared" ca="1" si="171"/>
        <v>#N/A</v>
      </c>
      <c r="AE363" s="324">
        <f t="shared" ca="1" si="150"/>
        <v>503.94832237761779</v>
      </c>
      <c r="AG363" s="306">
        <f t="shared" ca="1" si="172"/>
        <v>39.954821693642558</v>
      </c>
      <c r="AH363" s="304">
        <f t="shared" ca="1" si="173"/>
        <v>49.699370967511484</v>
      </c>
    </row>
    <row r="364" spans="1:34" x14ac:dyDescent="0.2">
      <c r="A364" s="347">
        <f t="shared" ca="1" si="151"/>
        <v>0.01</v>
      </c>
      <c r="B364" s="304">
        <f t="shared" ca="1" si="152"/>
        <v>3.5999999999999672</v>
      </c>
      <c r="D364" s="306">
        <f t="shared" ca="1" si="153"/>
        <v>5.7126438901350873</v>
      </c>
      <c r="E364" s="307">
        <f t="shared" ca="1" si="154"/>
        <v>39.376781026290367</v>
      </c>
      <c r="F364" s="304">
        <f t="shared" ca="1" si="155"/>
        <v>39.789008334060284</v>
      </c>
      <c r="G364" s="306">
        <f t="shared" ca="1" si="156"/>
        <v>29.266917292439814</v>
      </c>
      <c r="H364" s="307">
        <f t="shared" ca="1" si="157"/>
        <v>251.89475652369745</v>
      </c>
      <c r="I364" s="304">
        <f t="shared" ca="1" si="158"/>
        <v>253.58927582201764</v>
      </c>
      <c r="J364" s="306">
        <f t="shared" ca="1" si="159"/>
        <v>55.229689629353324</v>
      </c>
      <c r="K364" s="307">
        <f t="shared" ca="1" si="160"/>
        <v>506.46530110380343</v>
      </c>
      <c r="L364" s="304">
        <f t="shared" ca="1" si="145"/>
        <v>509.46778096236955</v>
      </c>
      <c r="M364" s="306">
        <f t="shared" ca="1" si="161"/>
        <v>1.4551278684442137</v>
      </c>
      <c r="N364" s="304">
        <f t="shared" ca="1" si="162"/>
        <v>83.372685513721123</v>
      </c>
      <c r="P364" s="310">
        <f t="shared" ca="1" si="163"/>
        <v>11</v>
      </c>
      <c r="Q364" s="304">
        <f t="shared" ca="1" si="164"/>
        <v>662.25000000000421</v>
      </c>
      <c r="R364" s="306">
        <f t="shared" ca="1" si="165"/>
        <v>0.33174238976782555</v>
      </c>
      <c r="S364" s="307">
        <f t="shared" ca="1" si="166"/>
        <v>9.3875028377023533</v>
      </c>
      <c r="T364" s="304">
        <f t="shared" ca="1" si="146"/>
        <v>92.091402837860088</v>
      </c>
      <c r="U364" s="311">
        <f t="shared" ca="1" si="147"/>
        <v>0</v>
      </c>
      <c r="V364" s="306">
        <f t="shared" ca="1" si="148"/>
        <v>1.1644903036927809</v>
      </c>
      <c r="W364" s="304">
        <f t="shared" ca="1" si="149"/>
        <v>197.97600084625253</v>
      </c>
      <c r="Y364" s="314" t="str">
        <f t="shared" ca="1" si="167"/>
        <v/>
      </c>
      <c r="Z364" s="315" t="str">
        <f t="shared" ca="1" si="168"/>
        <v/>
      </c>
      <c r="AA364" s="316" t="str">
        <f t="shared" ca="1" si="169"/>
        <v/>
      </c>
      <c r="AC364" s="310" t="e">
        <f t="shared" ca="1" si="170"/>
        <v>#N/A</v>
      </c>
      <c r="AD364" s="323" t="e">
        <f t="shared" ca="1" si="171"/>
        <v>#N/A</v>
      </c>
      <c r="AE364" s="324">
        <f t="shared" ca="1" si="150"/>
        <v>506.46530110380343</v>
      </c>
      <c r="AG364" s="306">
        <f t="shared" ca="1" si="172"/>
        <v>39.772909617177355</v>
      </c>
      <c r="AH364" s="304">
        <f t="shared" ca="1" si="173"/>
        <v>49.517408332259635</v>
      </c>
    </row>
    <row r="365" spans="1:34" x14ac:dyDescent="0.2">
      <c r="A365" s="347">
        <f t="shared" ca="1" si="151"/>
        <v>0.01</v>
      </c>
      <c r="B365" s="304">
        <f t="shared" ca="1" si="152"/>
        <v>3.609999999999967</v>
      </c>
      <c r="D365" s="306">
        <f t="shared" ca="1" si="153"/>
        <v>5.6938473132829559</v>
      </c>
      <c r="E365" s="307">
        <f t="shared" ca="1" si="154"/>
        <v>39.195854232314851</v>
      </c>
      <c r="F365" s="304">
        <f t="shared" ca="1" si="155"/>
        <v>39.607257999359838</v>
      </c>
      <c r="G365" s="306">
        <f t="shared" ca="1" si="156"/>
        <v>29.323855765572645</v>
      </c>
      <c r="H365" s="307">
        <f t="shared" ca="1" si="157"/>
        <v>252.28671506602061</v>
      </c>
      <c r="I365" s="304">
        <f t="shared" ca="1" si="158"/>
        <v>253.98518680380471</v>
      </c>
      <c r="J365" s="306">
        <f t="shared" ca="1" si="159"/>
        <v>55.522643494643383</v>
      </c>
      <c r="K365" s="307">
        <f t="shared" ca="1" si="160"/>
        <v>508.98620846175203</v>
      </c>
      <c r="L365" s="304">
        <f t="shared" ca="1" si="145"/>
        <v>512.00559015005229</v>
      </c>
      <c r="M365" s="306">
        <f t="shared" ca="1" si="161"/>
        <v>1.4550832918672094</v>
      </c>
      <c r="N365" s="304">
        <f t="shared" ca="1" si="162"/>
        <v>83.370131463993644</v>
      </c>
      <c r="P365" s="310">
        <f t="shared" ca="1" si="163"/>
        <v>11</v>
      </c>
      <c r="Q365" s="304">
        <f t="shared" ca="1" si="164"/>
        <v>660.95000000000425</v>
      </c>
      <c r="R365" s="306">
        <f t="shared" ca="1" si="165"/>
        <v>0.33109117782868147</v>
      </c>
      <c r="S365" s="307">
        <f t="shared" ca="1" si="166"/>
        <v>9.3841919259240658</v>
      </c>
      <c r="T365" s="304">
        <f t="shared" ca="1" si="146"/>
        <v>92.058922793315091</v>
      </c>
      <c r="U365" s="311">
        <f t="shared" ca="1" si="147"/>
        <v>0</v>
      </c>
      <c r="V365" s="306">
        <f t="shared" ca="1" si="148"/>
        <v>1.1641965942121122</v>
      </c>
      <c r="W365" s="304">
        <f t="shared" ca="1" si="149"/>
        <v>198.5445653863207</v>
      </c>
      <c r="Y365" s="314" t="str">
        <f t="shared" ca="1" si="167"/>
        <v/>
      </c>
      <c r="Z365" s="315" t="str">
        <f t="shared" ca="1" si="168"/>
        <v/>
      </c>
      <c r="AA365" s="316" t="str">
        <f t="shared" ca="1" si="169"/>
        <v/>
      </c>
      <c r="AC365" s="310" t="e">
        <f t="shared" ca="1" si="170"/>
        <v>#N/A</v>
      </c>
      <c r="AD365" s="323" t="e">
        <f t="shared" ca="1" si="171"/>
        <v>#N/A</v>
      </c>
      <c r="AE365" s="324">
        <f t="shared" ca="1" si="150"/>
        <v>508.98620846175203</v>
      </c>
      <c r="AG365" s="306">
        <f t="shared" ca="1" si="172"/>
        <v>39.591072944375739</v>
      </c>
      <c r="AH365" s="304">
        <f t="shared" ca="1" si="173"/>
        <v>49.33552114111972</v>
      </c>
    </row>
    <row r="366" spans="1:34" x14ac:dyDescent="0.2">
      <c r="A366" s="347">
        <f t="shared" ca="1" si="151"/>
        <v>0.01</v>
      </c>
      <c r="B366" s="304">
        <f t="shared" ca="1" si="152"/>
        <v>3.6199999999999668</v>
      </c>
      <c r="D366" s="306">
        <f t="shared" ca="1" si="153"/>
        <v>5.6750409366224215</v>
      </c>
      <c r="E366" s="307">
        <f t="shared" ca="1" si="154"/>
        <v>39.015006070537993</v>
      </c>
      <c r="F366" s="304">
        <f t="shared" ca="1" si="155"/>
        <v>39.425585453058993</v>
      </c>
      <c r="G366" s="306">
        <f t="shared" ca="1" si="156"/>
        <v>29.380606174938869</v>
      </c>
      <c r="H366" s="307">
        <f t="shared" ca="1" si="157"/>
        <v>252.67686512672597</v>
      </c>
      <c r="I366" s="304">
        <f t="shared" ca="1" si="158"/>
        <v>254.37928018900541</v>
      </c>
      <c r="J366" s="306">
        <f t="shared" ca="1" si="159"/>
        <v>55.816165804345943</v>
      </c>
      <c r="K366" s="307">
        <f t="shared" ca="1" si="160"/>
        <v>511.51102636271577</v>
      </c>
      <c r="L366" s="304">
        <f t="shared" ca="1" si="145"/>
        <v>514.54734909018543</v>
      </c>
      <c r="M366" s="306">
        <f t="shared" ca="1" si="161"/>
        <v>1.4550387672740142</v>
      </c>
      <c r="N366" s="304">
        <f t="shared" ca="1" si="162"/>
        <v>83.36758039271902</v>
      </c>
      <c r="P366" s="310">
        <f t="shared" ca="1" si="163"/>
        <v>11</v>
      </c>
      <c r="Q366" s="304">
        <f t="shared" ca="1" si="164"/>
        <v>659.6500000000043</v>
      </c>
      <c r="R366" s="306">
        <f t="shared" ca="1" si="165"/>
        <v>0.33043996588953739</v>
      </c>
      <c r="S366" s="307">
        <f t="shared" ca="1" si="166"/>
        <v>9.3808875262651696</v>
      </c>
      <c r="T366" s="304">
        <f t="shared" ca="1" si="146"/>
        <v>92.026506632661324</v>
      </c>
      <c r="U366" s="311">
        <f t="shared" ca="1" si="147"/>
        <v>0</v>
      </c>
      <c r="V366" s="306">
        <f t="shared" ca="1" si="148"/>
        <v>1.1639025014793907</v>
      </c>
      <c r="W366" s="304">
        <f t="shared" ca="1" si="149"/>
        <v>199.11087151387309</v>
      </c>
      <c r="Y366" s="314" t="str">
        <f t="shared" ca="1" si="167"/>
        <v/>
      </c>
      <c r="Z366" s="315" t="str">
        <f t="shared" ca="1" si="168"/>
        <v/>
      </c>
      <c r="AA366" s="316" t="str">
        <f t="shared" ca="1" si="169"/>
        <v/>
      </c>
      <c r="AC366" s="310" t="e">
        <f t="shared" ca="1" si="170"/>
        <v>#N/A</v>
      </c>
      <c r="AD366" s="323" t="e">
        <f t="shared" ca="1" si="171"/>
        <v>#N/A</v>
      </c>
      <c r="AE366" s="324">
        <f t="shared" ca="1" si="150"/>
        <v>511.51102636271577</v>
      </c>
      <c r="AG366" s="306">
        <f t="shared" ca="1" si="172"/>
        <v>39.409313305496198</v>
      </c>
      <c r="AH366" s="304">
        <f t="shared" ca="1" si="173"/>
        <v>49.153711023893322</v>
      </c>
    </row>
    <row r="367" spans="1:34" x14ac:dyDescent="0.2">
      <c r="A367" s="347">
        <f t="shared" ca="1" si="151"/>
        <v>0.01</v>
      </c>
      <c r="B367" s="304">
        <f t="shared" ca="1" si="152"/>
        <v>3.6299999999999666</v>
      </c>
      <c r="D367" s="306">
        <f t="shared" ca="1" si="153"/>
        <v>5.6562250084586809</v>
      </c>
      <c r="E367" s="307">
        <f t="shared" ca="1" si="154"/>
        <v>38.834238143997482</v>
      </c>
      <c r="F367" s="304">
        <f t="shared" ca="1" si="155"/>
        <v>39.243992324571444</v>
      </c>
      <c r="G367" s="306">
        <f t="shared" ca="1" si="156"/>
        <v>29.437168425023454</v>
      </c>
      <c r="H367" s="307">
        <f t="shared" ca="1" si="157"/>
        <v>253.06520750816594</v>
      </c>
      <c r="I367" s="304">
        <f t="shared" ca="1" si="158"/>
        <v>254.77155676416135</v>
      </c>
      <c r="J367" s="306">
        <f t="shared" ca="1" si="159"/>
        <v>56.110254677345758</v>
      </c>
      <c r="K367" s="307">
        <f t="shared" ca="1" si="160"/>
        <v>514.03973672589018</v>
      </c>
      <c r="L367" s="304">
        <f t="shared" ca="1" si="145"/>
        <v>517.09303961006776</v>
      </c>
      <c r="M367" s="306">
        <f t="shared" ca="1" si="161"/>
        <v>1.4549942942066363</v>
      </c>
      <c r="N367" s="304">
        <f t="shared" ca="1" si="162"/>
        <v>83.365032273656269</v>
      </c>
      <c r="P367" s="310">
        <f t="shared" ca="1" si="163"/>
        <v>11</v>
      </c>
      <c r="Q367" s="304">
        <f t="shared" ca="1" si="164"/>
        <v>658.35000000000434</v>
      </c>
      <c r="R367" s="306">
        <f t="shared" ca="1" si="165"/>
        <v>0.32978875395039337</v>
      </c>
      <c r="S367" s="307">
        <f t="shared" ca="1" si="166"/>
        <v>9.3775896387256665</v>
      </c>
      <c r="T367" s="304">
        <f t="shared" ca="1" si="146"/>
        <v>91.9941543558988</v>
      </c>
      <c r="U367" s="311">
        <f t="shared" ca="1" si="147"/>
        <v>0</v>
      </c>
      <c r="V367" s="306">
        <f t="shared" ca="1" si="148"/>
        <v>1.1636080279095999</v>
      </c>
      <c r="W367" s="304">
        <f t="shared" ca="1" si="149"/>
        <v>199.67490847177336</v>
      </c>
      <c r="Y367" s="314" t="str">
        <f t="shared" ca="1" si="167"/>
        <v/>
      </c>
      <c r="Z367" s="315" t="str">
        <f t="shared" ca="1" si="168"/>
        <v/>
      </c>
      <c r="AA367" s="316" t="str">
        <f t="shared" ca="1" si="169"/>
        <v/>
      </c>
      <c r="AC367" s="310" t="e">
        <f t="shared" ca="1" si="170"/>
        <v>#N/A</v>
      </c>
      <c r="AD367" s="323" t="e">
        <f t="shared" ca="1" si="171"/>
        <v>#N/A</v>
      </c>
      <c r="AE367" s="324">
        <f t="shared" ca="1" si="150"/>
        <v>514.03973672589018</v>
      </c>
      <c r="AG367" s="306">
        <f t="shared" ca="1" si="172"/>
        <v>39.227632320549603</v>
      </c>
      <c r="AH367" s="304">
        <f t="shared" ca="1" si="173"/>
        <v>48.971979600137189</v>
      </c>
    </row>
    <row r="368" spans="1:34" x14ac:dyDescent="0.2">
      <c r="A368" s="347">
        <f t="shared" ca="1" si="151"/>
        <v>0.01</v>
      </c>
      <c r="B368" s="304">
        <f t="shared" ca="1" si="152"/>
        <v>3.6399999999999664</v>
      </c>
      <c r="D368" s="306">
        <f t="shared" ca="1" si="153"/>
        <v>5.6373997756843828</v>
      </c>
      <c r="E368" s="307">
        <f t="shared" ca="1" si="154"/>
        <v>38.653552045560559</v>
      </c>
      <c r="F368" s="304">
        <f t="shared" ca="1" si="155"/>
        <v>39.062480233207737</v>
      </c>
      <c r="G368" s="306">
        <f t="shared" ca="1" si="156"/>
        <v>29.493542422780298</v>
      </c>
      <c r="H368" s="307">
        <f t="shared" ca="1" si="157"/>
        <v>253.45174302862154</v>
      </c>
      <c r="I368" s="304">
        <f t="shared" ca="1" si="158"/>
        <v>255.16201733191158</v>
      </c>
      <c r="J368" s="306">
        <f t="shared" ca="1" si="159"/>
        <v>56.404908231584777</v>
      </c>
      <c r="K368" s="307">
        <f t="shared" ca="1" si="160"/>
        <v>516.57232147857417</v>
      </c>
      <c r="L368" s="304">
        <f t="shared" ca="1" si="145"/>
        <v>519.6426435449431</v>
      </c>
      <c r="M368" s="306">
        <f t="shared" ca="1" si="161"/>
        <v>1.4549498722102618</v>
      </c>
      <c r="N368" s="304">
        <f t="shared" ca="1" si="162"/>
        <v>83.362487080746462</v>
      </c>
      <c r="P368" s="310">
        <f t="shared" ca="1" si="163"/>
        <v>11</v>
      </c>
      <c r="Q368" s="304">
        <f t="shared" ca="1" si="164"/>
        <v>657.05000000000439</v>
      </c>
      <c r="R368" s="306">
        <f t="shared" ca="1" si="165"/>
        <v>0.32913754201124928</v>
      </c>
      <c r="S368" s="307">
        <f t="shared" ca="1" si="166"/>
        <v>9.3742982633055547</v>
      </c>
      <c r="T368" s="304">
        <f t="shared" ca="1" si="146"/>
        <v>91.961865963027492</v>
      </c>
      <c r="U368" s="311">
        <f t="shared" ca="1" si="147"/>
        <v>0</v>
      </c>
      <c r="V368" s="306">
        <f t="shared" ca="1" si="148"/>
        <v>1.1633131759149864</v>
      </c>
      <c r="W368" s="304">
        <f t="shared" ca="1" si="149"/>
        <v>200.2366656171489</v>
      </c>
      <c r="Y368" s="314" t="str">
        <f t="shared" ca="1" si="167"/>
        <v/>
      </c>
      <c r="Z368" s="315" t="str">
        <f t="shared" ca="1" si="168"/>
        <v/>
      </c>
      <c r="AA368" s="316" t="str">
        <f t="shared" ca="1" si="169"/>
        <v/>
      </c>
      <c r="AC368" s="310" t="e">
        <f t="shared" ca="1" si="170"/>
        <v>#N/A</v>
      </c>
      <c r="AD368" s="323" t="e">
        <f t="shared" ca="1" si="171"/>
        <v>#N/A</v>
      </c>
      <c r="AE368" s="324">
        <f t="shared" ca="1" si="150"/>
        <v>516.57232147857417</v>
      </c>
      <c r="AG368" s="306">
        <f t="shared" ca="1" si="172"/>
        <v>39.046031599288959</v>
      </c>
      <c r="AH368" s="304">
        <f t="shared" ca="1" si="173"/>
        <v>48.790328479152947</v>
      </c>
    </row>
    <row r="369" spans="1:34" x14ac:dyDescent="0.2">
      <c r="A369" s="347">
        <f t="shared" ca="1" si="151"/>
        <v>0.01</v>
      </c>
      <c r="B369" s="304">
        <f t="shared" ca="1" si="152"/>
        <v>3.6499999999999662</v>
      </c>
      <c r="D369" s="306">
        <f t="shared" ca="1" si="153"/>
        <v>5.6185654837803893</v>
      </c>
      <c r="E369" s="307">
        <f t="shared" ca="1" si="154"/>
        <v>38.47294935791404</v>
      </c>
      <c r="F369" s="304">
        <f t="shared" ca="1" si="155"/>
        <v>38.881050788168608</v>
      </c>
      <c r="G369" s="306">
        <f t="shared" ca="1" si="156"/>
        <v>29.549728077618102</v>
      </c>
      <c r="H369" s="307">
        <f t="shared" ca="1" si="157"/>
        <v>253.83647252220067</v>
      </c>
      <c r="I369" s="304">
        <f t="shared" ca="1" si="158"/>
        <v>255.55066271089007</v>
      </c>
      <c r="J369" s="306">
        <f t="shared" ca="1" si="159"/>
        <v>56.700124584086772</v>
      </c>
      <c r="K369" s="307">
        <f t="shared" ca="1" si="160"/>
        <v>519.10876255632832</v>
      </c>
      <c r="L369" s="304">
        <f t="shared" ca="1" si="145"/>
        <v>522.19614273816057</v>
      </c>
      <c r="M369" s="306">
        <f t="shared" ca="1" si="161"/>
        <v>1.4549055008332183</v>
      </c>
      <c r="N369" s="304">
        <f t="shared" ca="1" si="162"/>
        <v>83.359944788110681</v>
      </c>
      <c r="P369" s="310">
        <f t="shared" ca="1" si="163"/>
        <v>11</v>
      </c>
      <c r="Q369" s="304">
        <f t="shared" ca="1" si="164"/>
        <v>655.75000000000443</v>
      </c>
      <c r="R369" s="306">
        <f t="shared" ca="1" si="165"/>
        <v>0.3284863300721052</v>
      </c>
      <c r="S369" s="307">
        <f t="shared" ca="1" si="166"/>
        <v>9.3710134000048342</v>
      </c>
      <c r="T369" s="304">
        <f t="shared" ca="1" si="146"/>
        <v>91.929641454047427</v>
      </c>
      <c r="U369" s="311">
        <f t="shared" ca="1" si="147"/>
        <v>0</v>
      </c>
      <c r="V369" s="306">
        <f t="shared" ca="1" si="148"/>
        <v>1.163017947905036</v>
      </c>
      <c r="W369" s="304">
        <f t="shared" ca="1" si="149"/>
        <v>200.79613242120334</v>
      </c>
      <c r="Y369" s="314" t="str">
        <f t="shared" ca="1" si="167"/>
        <v/>
      </c>
      <c r="Z369" s="315" t="str">
        <f t="shared" ca="1" si="168"/>
        <v/>
      </c>
      <c r="AA369" s="316" t="str">
        <f t="shared" ca="1" si="169"/>
        <v/>
      </c>
      <c r="AC369" s="310" t="e">
        <f t="shared" ca="1" si="170"/>
        <v>#N/A</v>
      </c>
      <c r="AD369" s="323" t="e">
        <f t="shared" ca="1" si="171"/>
        <v>#N/A</v>
      </c>
      <c r="AE369" s="324">
        <f t="shared" ca="1" si="150"/>
        <v>519.10876255632832</v>
      </c>
      <c r="AG369" s="306">
        <f t="shared" ca="1" si="172"/>
        <v>38.864512741199505</v>
      </c>
      <c r="AH369" s="304">
        <f t="shared" ca="1" si="173"/>
        <v>48.608759259977212</v>
      </c>
    </row>
    <row r="370" spans="1:34" x14ac:dyDescent="0.2">
      <c r="A370" s="347">
        <f t="shared" ca="1" si="151"/>
        <v>0.01</v>
      </c>
      <c r="B370" s="304">
        <f t="shared" ca="1" si="152"/>
        <v>3.6599999999999659</v>
      </c>
      <c r="D370" s="306">
        <f t="shared" ca="1" si="153"/>
        <v>5.6063483849713629</v>
      </c>
      <c r="E370" s="307">
        <f t="shared" ca="1" si="154"/>
        <v>38.34935002967304</v>
      </c>
      <c r="F370" s="304">
        <f t="shared" ca="1" si="155"/>
        <v>38.75698375663481</v>
      </c>
      <c r="G370" s="306">
        <f t="shared" ca="1" si="156"/>
        <v>29.605791561467814</v>
      </c>
      <c r="H370" s="307">
        <f t="shared" ca="1" si="157"/>
        <v>254.2199660224974</v>
      </c>
      <c r="I370" s="304">
        <f t="shared" ca="1" si="158"/>
        <v>255.93806676315427</v>
      </c>
      <c r="J370" s="306">
        <f t="shared" ca="1" si="159"/>
        <v>56.995902182282201</v>
      </c>
      <c r="K370" s="307">
        <f t="shared" ca="1" si="160"/>
        <v>521.64904474905177</v>
      </c>
      <c r="L370" s="304">
        <f t="shared" ca="1" si="145"/>
        <v>524.7535219063999</v>
      </c>
      <c r="M370" s="306">
        <f t="shared" ca="1" si="161"/>
        <v>1.4548611797261728</v>
      </c>
      <c r="N370" s="304">
        <f t="shared" ca="1" si="162"/>
        <v>83.357405375733634</v>
      </c>
      <c r="P370" s="310">
        <f t="shared" ca="1" si="163"/>
        <v>12</v>
      </c>
      <c r="Q370" s="304">
        <f t="shared" ca="1" si="164"/>
        <v>654.98666666666747</v>
      </c>
      <c r="R370" s="306">
        <f t="shared" ca="1" si="165"/>
        <v>0.32810395177963164</v>
      </c>
      <c r="S370" s="307">
        <f t="shared" ca="1" si="166"/>
        <v>9.3677323604870377</v>
      </c>
      <c r="T370" s="304">
        <f t="shared" ca="1" si="146"/>
        <v>91.897454456377844</v>
      </c>
      <c r="U370" s="311">
        <f t="shared" ca="1" si="147"/>
        <v>0</v>
      </c>
      <c r="V370" s="306">
        <f t="shared" ca="1" si="148"/>
        <v>1.1627223459553222</v>
      </c>
      <c r="W370" s="304">
        <f t="shared" ca="1" si="149"/>
        <v>201.35420004677223</v>
      </c>
      <c r="Y370" s="314" t="str">
        <f t="shared" ca="1" si="167"/>
        <v/>
      </c>
      <c r="Z370" s="315" t="str">
        <f t="shared" ca="1" si="168"/>
        <v/>
      </c>
      <c r="AA370" s="316" t="str">
        <f t="shared" ca="1" si="169"/>
        <v/>
      </c>
      <c r="AC370" s="310" t="e">
        <f t="shared" ca="1" si="170"/>
        <v>#N/A</v>
      </c>
      <c r="AD370" s="323" t="e">
        <f t="shared" ca="1" si="171"/>
        <v>#N/A</v>
      </c>
      <c r="AE370" s="324">
        <f t="shared" ca="1" si="150"/>
        <v>521.64904474905177</v>
      </c>
      <c r="AG370" s="306">
        <f t="shared" ca="1" si="172"/>
        <v>38.740380088686685</v>
      </c>
      <c r="AH370" s="304">
        <f t="shared" ca="1" si="173"/>
        <v>48.484576284569506</v>
      </c>
    </row>
    <row r="371" spans="1:34" x14ac:dyDescent="0.2">
      <c r="A371" s="347">
        <f t="shared" ca="1" si="151"/>
        <v>0.01</v>
      </c>
      <c r="B371" s="304">
        <f t="shared" ca="1" si="152"/>
        <v>3.6699999999999657</v>
      </c>
      <c r="D371" s="306">
        <f t="shared" ca="1" si="153"/>
        <v>5.6007536973597505</v>
      </c>
      <c r="E371" s="307">
        <f t="shared" ca="1" si="154"/>
        <v>38.282732521169613</v>
      </c>
      <c r="F371" s="304">
        <f t="shared" ca="1" si="155"/>
        <v>38.690257834058258</v>
      </c>
      <c r="G371" s="306">
        <f t="shared" ca="1" si="156"/>
        <v>29.661799098441413</v>
      </c>
      <c r="H371" s="307">
        <f t="shared" ca="1" si="157"/>
        <v>254.60279334770911</v>
      </c>
      <c r="I371" s="304">
        <f t="shared" ca="1" si="158"/>
        <v>256.3248031428339</v>
      </c>
      <c r="J371" s="306">
        <f t="shared" ca="1" si="159"/>
        <v>57.29224013558175</v>
      </c>
      <c r="K371" s="307">
        <f t="shared" ca="1" si="160"/>
        <v>524.19315854590275</v>
      </c>
      <c r="L371" s="304">
        <f t="shared" ca="1" si="145"/>
        <v>527.31477150377941</v>
      </c>
      <c r="M371" s="306">
        <f t="shared" ca="1" si="161"/>
        <v>1.4548169086410518</v>
      </c>
      <c r="N371" s="304">
        <f t="shared" ca="1" si="162"/>
        <v>83.354868829401738</v>
      </c>
      <c r="P371" s="310">
        <f t="shared" ca="1" si="163"/>
        <v>12</v>
      </c>
      <c r="Q371" s="304">
        <f t="shared" ca="1" si="164"/>
        <v>654.76000000000079</v>
      </c>
      <c r="R371" s="306">
        <f t="shared" ca="1" si="165"/>
        <v>0.32799040713383215</v>
      </c>
      <c r="S371" s="307">
        <f t="shared" ca="1" si="166"/>
        <v>9.3644524564156999</v>
      </c>
      <c r="T371" s="304">
        <f t="shared" ca="1" si="146"/>
        <v>91.865278597438021</v>
      </c>
      <c r="U371" s="311">
        <f t="shared" ca="1" si="147"/>
        <v>0</v>
      </c>
      <c r="V371" s="306">
        <f t="shared" ca="1" si="148"/>
        <v>1.1624263714769849</v>
      </c>
      <c r="W371" s="304">
        <f t="shared" ca="1" si="149"/>
        <v>201.91176382044969</v>
      </c>
      <c r="Y371" s="314" t="str">
        <f t="shared" ca="1" si="167"/>
        <v/>
      </c>
      <c r="Z371" s="315" t="str">
        <f t="shared" ca="1" si="168"/>
        <v/>
      </c>
      <c r="AA371" s="316" t="str">
        <f t="shared" ca="1" si="169"/>
        <v/>
      </c>
      <c r="AC371" s="310" t="e">
        <f t="shared" ca="1" si="170"/>
        <v>#N/A</v>
      </c>
      <c r="AD371" s="323" t="e">
        <f t="shared" ca="1" si="171"/>
        <v>#N/A</v>
      </c>
      <c r="AE371" s="324">
        <f t="shared" ca="1" si="150"/>
        <v>524.19315854590275</v>
      </c>
      <c r="AG371" s="306">
        <f t="shared" ca="1" si="172"/>
        <v>38.673612849044957</v>
      </c>
      <c r="AH371" s="304">
        <f t="shared" ca="1" si="173"/>
        <v>48.417758759893616</v>
      </c>
    </row>
    <row r="372" spans="1:34" x14ac:dyDescent="0.2">
      <c r="A372" s="347">
        <f t="shared" ca="1" si="151"/>
        <v>0.01</v>
      </c>
      <c r="B372" s="304">
        <f t="shared" ca="1" si="152"/>
        <v>3.6799999999999655</v>
      </c>
      <c r="D372" s="306">
        <f t="shared" ca="1" si="153"/>
        <v>5.5951508448448051</v>
      </c>
      <c r="E372" s="307">
        <f t="shared" ca="1" si="154"/>
        <v>38.21611701237412</v>
      </c>
      <c r="F372" s="304">
        <f t="shared" ca="1" si="155"/>
        <v>38.623533143409318</v>
      </c>
      <c r="G372" s="306">
        <f t="shared" ca="1" si="156"/>
        <v>29.717750606889862</v>
      </c>
      <c r="H372" s="307">
        <f t="shared" ca="1" si="157"/>
        <v>254.98495451783285</v>
      </c>
      <c r="I372" s="304">
        <f t="shared" ca="1" si="158"/>
        <v>256.71087186092177</v>
      </c>
      <c r="J372" s="306">
        <f t="shared" ca="1" si="159"/>
        <v>57.589137884108403</v>
      </c>
      <c r="K372" s="307">
        <f t="shared" ca="1" si="160"/>
        <v>526.74109728523047</v>
      </c>
      <c r="L372" s="304">
        <f t="shared" ca="1" si="145"/>
        <v>529.87988485267442</v>
      </c>
      <c r="M372" s="306">
        <f t="shared" ca="1" si="161"/>
        <v>1.4547726873312017</v>
      </c>
      <c r="N372" s="304">
        <f t="shared" ca="1" si="162"/>
        <v>83.352335134982781</v>
      </c>
      <c r="P372" s="310">
        <f t="shared" ca="1" si="163"/>
        <v>12</v>
      </c>
      <c r="Q372" s="304">
        <f t="shared" ca="1" si="164"/>
        <v>654.5333333333341</v>
      </c>
      <c r="R372" s="306">
        <f t="shared" ca="1" si="165"/>
        <v>0.32787686248803266</v>
      </c>
      <c r="S372" s="307">
        <f t="shared" ca="1" si="166"/>
        <v>9.3611736877908189</v>
      </c>
      <c r="T372" s="304">
        <f t="shared" ca="1" si="146"/>
        <v>91.833113877227944</v>
      </c>
      <c r="U372" s="311">
        <f t="shared" ca="1" si="147"/>
        <v>0</v>
      </c>
      <c r="V372" s="306">
        <f t="shared" ca="1" si="148"/>
        <v>1.1621300255489904</v>
      </c>
      <c r="W372" s="304">
        <f t="shared" ca="1" si="149"/>
        <v>202.46881870117429</v>
      </c>
      <c r="Y372" s="314" t="str">
        <f t="shared" ca="1" si="167"/>
        <v/>
      </c>
      <c r="Z372" s="315" t="str">
        <f t="shared" ca="1" si="168"/>
        <v/>
      </c>
      <c r="AA372" s="316" t="str">
        <f t="shared" ca="1" si="169"/>
        <v/>
      </c>
      <c r="AC372" s="310" t="e">
        <f t="shared" ca="1" si="170"/>
        <v>#N/A</v>
      </c>
      <c r="AD372" s="323" t="e">
        <f t="shared" ca="1" si="171"/>
        <v>#N/A</v>
      </c>
      <c r="AE372" s="324">
        <f t="shared" ca="1" si="150"/>
        <v>526.74109728523047</v>
      </c>
      <c r="AG372" s="306">
        <f t="shared" ca="1" si="172"/>
        <v>38.606846708565506</v>
      </c>
      <c r="AH372" s="304">
        <f t="shared" ca="1" si="173"/>
        <v>48.350942372024335</v>
      </c>
    </row>
    <row r="373" spans="1:34" x14ac:dyDescent="0.2">
      <c r="A373" s="347">
        <f t="shared" ca="1" si="151"/>
        <v>0.01</v>
      </c>
      <c r="B373" s="304">
        <f t="shared" ca="1" si="152"/>
        <v>3.6899999999999653</v>
      </c>
      <c r="D373" s="306">
        <f t="shared" ca="1" si="153"/>
        <v>5.5895399147591096</v>
      </c>
      <c r="E373" s="307">
        <f t="shared" ca="1" si="154"/>
        <v>38.149504061859567</v>
      </c>
      <c r="F373" s="304">
        <f t="shared" ca="1" si="155"/>
        <v>38.556810249611218</v>
      </c>
      <c r="G373" s="306">
        <f t="shared" ca="1" si="156"/>
        <v>29.773646006037453</v>
      </c>
      <c r="H373" s="307">
        <f t="shared" ca="1" si="157"/>
        <v>255.36644955845145</v>
      </c>
      <c r="I373" s="304">
        <f t="shared" ca="1" si="158"/>
        <v>257.09627293405475</v>
      </c>
      <c r="J373" s="306">
        <f t="shared" ca="1" si="159"/>
        <v>57.886594867173038</v>
      </c>
      <c r="K373" s="307">
        <f t="shared" ca="1" si="160"/>
        <v>529.29285430561185</v>
      </c>
      <c r="L373" s="304">
        <f t="shared" ca="1" si="145"/>
        <v>532.44885527560098</v>
      </c>
      <c r="M373" s="306">
        <f t="shared" ca="1" si="161"/>
        <v>1.4547285155513756</v>
      </c>
      <c r="N373" s="304">
        <f t="shared" ca="1" si="162"/>
        <v>83.349804278425168</v>
      </c>
      <c r="P373" s="310">
        <f t="shared" ca="1" si="163"/>
        <v>12</v>
      </c>
      <c r="Q373" s="304">
        <f t="shared" ca="1" si="164"/>
        <v>654.30666666666752</v>
      </c>
      <c r="R373" s="306">
        <f t="shared" ca="1" si="165"/>
        <v>0.32776331784223323</v>
      </c>
      <c r="S373" s="307">
        <f t="shared" ca="1" si="166"/>
        <v>9.3578960546123966</v>
      </c>
      <c r="T373" s="304">
        <f t="shared" ca="1" si="146"/>
        <v>91.800960295747615</v>
      </c>
      <c r="U373" s="311">
        <f t="shared" ca="1" si="147"/>
        <v>0</v>
      </c>
      <c r="V373" s="306">
        <f t="shared" ca="1" si="148"/>
        <v>1.1618333092497741</v>
      </c>
      <c r="W373" s="304">
        <f t="shared" ca="1" si="149"/>
        <v>203.02535967237739</v>
      </c>
      <c r="Y373" s="314" t="str">
        <f t="shared" ca="1" si="167"/>
        <v/>
      </c>
      <c r="Z373" s="315" t="str">
        <f t="shared" ca="1" si="168"/>
        <v/>
      </c>
      <c r="AA373" s="316" t="str">
        <f t="shared" ca="1" si="169"/>
        <v/>
      </c>
      <c r="AC373" s="310" t="e">
        <f t="shared" ca="1" si="170"/>
        <v>#N/A</v>
      </c>
      <c r="AD373" s="323" t="e">
        <f t="shared" ca="1" si="171"/>
        <v>#N/A</v>
      </c>
      <c r="AE373" s="324">
        <f t="shared" ca="1" si="150"/>
        <v>529.29285430561185</v>
      </c>
      <c r="AG373" s="306">
        <f t="shared" ca="1" si="172"/>
        <v>38.540082231676166</v>
      </c>
      <c r="AH373" s="304">
        <f t="shared" ca="1" si="173"/>
        <v>48.284127685174241</v>
      </c>
    </row>
    <row r="374" spans="1:34" x14ac:dyDescent="0.2">
      <c r="A374" s="347">
        <f t="shared" ca="1" si="151"/>
        <v>0.01</v>
      </c>
      <c r="B374" s="304">
        <f t="shared" ca="1" si="152"/>
        <v>3.6999999999999651</v>
      </c>
      <c r="D374" s="306">
        <f t="shared" ca="1" si="153"/>
        <v>5.5839209941888495</v>
      </c>
      <c r="E374" s="307">
        <f t="shared" ca="1" si="154"/>
        <v>38.082894226382443</v>
      </c>
      <c r="F374" s="304">
        <f t="shared" ca="1" si="155"/>
        <v>38.490089715758991</v>
      </c>
      <c r="G374" s="306">
        <f t="shared" ca="1" si="156"/>
        <v>29.829485215979339</v>
      </c>
      <c r="H374" s="307">
        <f t="shared" ca="1" si="157"/>
        <v>255.74727850071528</v>
      </c>
      <c r="I374" s="304">
        <f t="shared" ca="1" si="158"/>
        <v>257.48100638449574</v>
      </c>
      <c r="J374" s="306">
        <f t="shared" ca="1" si="159"/>
        <v>58.184610523283119</v>
      </c>
      <c r="K374" s="307">
        <f t="shared" ca="1" si="160"/>
        <v>531.84842294590771</v>
      </c>
      <c r="L374" s="304">
        <f t="shared" ca="1" si="145"/>
        <v>535.02167609527305</v>
      </c>
      <c r="M374" s="306">
        <f t="shared" ca="1" si="161"/>
        <v>1.4546843930577249</v>
      </c>
      <c r="N374" s="304">
        <f t="shared" ca="1" si="162"/>
        <v>83.347276245757385</v>
      </c>
      <c r="P374" s="310">
        <f t="shared" ca="1" si="163"/>
        <v>12</v>
      </c>
      <c r="Q374" s="304">
        <f t="shared" ca="1" si="164"/>
        <v>654.08000000000084</v>
      </c>
      <c r="R374" s="306">
        <f t="shared" ca="1" si="165"/>
        <v>0.32764977319643374</v>
      </c>
      <c r="S374" s="307">
        <f t="shared" ca="1" si="166"/>
        <v>9.3546195568804329</v>
      </c>
      <c r="T374" s="304">
        <f t="shared" ca="1" si="146"/>
        <v>91.768817852997046</v>
      </c>
      <c r="U374" s="311">
        <f t="shared" ca="1" si="147"/>
        <v>0</v>
      </c>
      <c r="V374" s="306">
        <f t="shared" ca="1" si="148"/>
        <v>1.1615362236572313</v>
      </c>
      <c r="W374" s="304">
        <f t="shared" ca="1" si="149"/>
        <v>203.58138174200982</v>
      </c>
      <c r="Y374" s="314" t="str">
        <f t="shared" ca="1" si="167"/>
        <v/>
      </c>
      <c r="Z374" s="315" t="str">
        <f t="shared" ca="1" si="168"/>
        <v/>
      </c>
      <c r="AA374" s="316" t="str">
        <f t="shared" ca="1" si="169"/>
        <v/>
      </c>
      <c r="AC374" s="310" t="e">
        <f t="shared" ca="1" si="170"/>
        <v>#N/A</v>
      </c>
      <c r="AD374" s="323" t="e">
        <f t="shared" ca="1" si="171"/>
        <v>#N/A</v>
      </c>
      <c r="AE374" s="324">
        <f t="shared" ca="1" si="150"/>
        <v>531.84842294590771</v>
      </c>
      <c r="AG374" s="306">
        <f t="shared" ca="1" si="172"/>
        <v>38.473319980975091</v>
      </c>
      <c r="AH374" s="304">
        <f t="shared" ca="1" si="173"/>
        <v>48.217315261727293</v>
      </c>
    </row>
    <row r="375" spans="1:34" x14ac:dyDescent="0.2">
      <c r="A375" s="347">
        <f t="shared" ca="1" si="151"/>
        <v>0.01</v>
      </c>
      <c r="B375" s="304">
        <f t="shared" ca="1" si="152"/>
        <v>3.7099999999999649</v>
      </c>
      <c r="D375" s="306">
        <f t="shared" ca="1" si="153"/>
        <v>5.5782941699732653</v>
      </c>
      <c r="E375" s="307">
        <f t="shared" ca="1" si="154"/>
        <v>38.016288060875979</v>
      </c>
      <c r="F375" s="304">
        <f t="shared" ca="1" si="155"/>
        <v>38.423372103112705</v>
      </c>
      <c r="G375" s="306">
        <f t="shared" ca="1" si="156"/>
        <v>29.885268157679072</v>
      </c>
      <c r="H375" s="307">
        <f t="shared" ca="1" si="157"/>
        <v>256.12744138132405</v>
      </c>
      <c r="I375" s="304">
        <f t="shared" ca="1" si="158"/>
        <v>257.86507224011547</v>
      </c>
      <c r="J375" s="306">
        <f t="shared" ca="1" si="159"/>
        <v>58.483184290151414</v>
      </c>
      <c r="K375" s="307">
        <f t="shared" ca="1" si="160"/>
        <v>534.40779654531786</v>
      </c>
      <c r="L375" s="304">
        <f t="shared" ca="1" si="145"/>
        <v>537.59834063465792</v>
      </c>
      <c r="M375" s="306">
        <f t="shared" ca="1" si="161"/>
        <v>1.4546403196077875</v>
      </c>
      <c r="N375" s="304">
        <f t="shared" ca="1" si="162"/>
        <v>83.344751023087397</v>
      </c>
      <c r="P375" s="310">
        <f t="shared" ca="1" si="163"/>
        <v>12</v>
      </c>
      <c r="Q375" s="304">
        <f t="shared" ca="1" si="164"/>
        <v>653.85333333333415</v>
      </c>
      <c r="R375" s="306">
        <f t="shared" ca="1" si="165"/>
        <v>0.32753622855063425</v>
      </c>
      <c r="S375" s="307">
        <f t="shared" ca="1" si="166"/>
        <v>9.3513441945949261</v>
      </c>
      <c r="T375" s="304">
        <f t="shared" ca="1" si="146"/>
        <v>91.736686548976223</v>
      </c>
      <c r="U375" s="311">
        <f t="shared" ca="1" si="147"/>
        <v>0</v>
      </c>
      <c r="V375" s="306">
        <f t="shared" ca="1" si="148"/>
        <v>1.1612387698487072</v>
      </c>
      <c r="W375" s="304">
        <f t="shared" ca="1" si="149"/>
        <v>204.13687994256716</v>
      </c>
      <c r="Y375" s="314" t="str">
        <f t="shared" ca="1" si="167"/>
        <v/>
      </c>
      <c r="Z375" s="315" t="str">
        <f t="shared" ca="1" si="168"/>
        <v/>
      </c>
      <c r="AA375" s="316" t="str">
        <f t="shared" ca="1" si="169"/>
        <v/>
      </c>
      <c r="AC375" s="310" t="e">
        <f t="shared" ca="1" si="170"/>
        <v>#N/A</v>
      </c>
      <c r="AD375" s="323" t="e">
        <f t="shared" ca="1" si="171"/>
        <v>#N/A</v>
      </c>
      <c r="AE375" s="324">
        <f t="shared" ca="1" si="150"/>
        <v>534.40779654531786</v>
      </c>
      <c r="AG375" s="306">
        <f t="shared" ca="1" si="172"/>
        <v>38.406560517223966</v>
      </c>
      <c r="AH375" s="304">
        <f t="shared" ca="1" si="173"/>
        <v>48.150505662232106</v>
      </c>
    </row>
    <row r="376" spans="1:34" x14ac:dyDescent="0.2">
      <c r="A376" s="347">
        <f t="shared" ca="1" si="151"/>
        <v>0.01</v>
      </c>
      <c r="B376" s="304">
        <f t="shared" ca="1" si="152"/>
        <v>3.7199999999999647</v>
      </c>
      <c r="D376" s="306">
        <f t="shared" ca="1" si="153"/>
        <v>5.5726595287042286</v>
      </c>
      <c r="E376" s="307">
        <f t="shared" ca="1" si="154"/>
        <v>37.949686118443616</v>
      </c>
      <c r="F376" s="304">
        <f t="shared" ca="1" si="155"/>
        <v>38.35665797109089</v>
      </c>
      <c r="G376" s="306">
        <f t="shared" ca="1" si="156"/>
        <v>29.940994752966112</v>
      </c>
      <c r="H376" s="307">
        <f t="shared" ca="1" si="157"/>
        <v>256.50693824250851</v>
      </c>
      <c r="I376" s="304">
        <f t="shared" ca="1" si="158"/>
        <v>258.24847053437355</v>
      </c>
      <c r="J376" s="306">
        <f t="shared" ca="1" si="159"/>
        <v>58.782315604704642</v>
      </c>
      <c r="K376" s="307">
        <f t="shared" ca="1" si="160"/>
        <v>536.97096844343707</v>
      </c>
      <c r="L376" s="304">
        <f t="shared" ca="1" si="145"/>
        <v>540.17884221703264</v>
      </c>
      <c r="M376" s="306">
        <f t="shared" ca="1" si="161"/>
        <v>1.4545962949604769</v>
      </c>
      <c r="N376" s="304">
        <f t="shared" ca="1" si="162"/>
        <v>83.342228596601942</v>
      </c>
      <c r="P376" s="310">
        <f t="shared" ca="1" si="163"/>
        <v>12</v>
      </c>
      <c r="Q376" s="304">
        <f t="shared" ca="1" si="164"/>
        <v>653.62666666666746</v>
      </c>
      <c r="R376" s="306">
        <f t="shared" ca="1" si="165"/>
        <v>0.32742268390483475</v>
      </c>
      <c r="S376" s="307">
        <f t="shared" ca="1" si="166"/>
        <v>9.3480699677558778</v>
      </c>
      <c r="T376" s="304">
        <f t="shared" ca="1" si="146"/>
        <v>91.704566383685162</v>
      </c>
      <c r="U376" s="311">
        <f t="shared" ca="1" si="147"/>
        <v>0</v>
      </c>
      <c r="V376" s="306">
        <f t="shared" ca="1" si="148"/>
        <v>1.1609409489009892</v>
      </c>
      <c r="W376" s="304">
        <f t="shared" ca="1" si="149"/>
        <v>204.69184933111305</v>
      </c>
      <c r="Y376" s="314" t="str">
        <f t="shared" ca="1" si="167"/>
        <v/>
      </c>
      <c r="Z376" s="315" t="str">
        <f t="shared" ca="1" si="168"/>
        <v/>
      </c>
      <c r="AA376" s="316" t="str">
        <f t="shared" ca="1" si="169"/>
        <v/>
      </c>
      <c r="AC376" s="310" t="e">
        <f t="shared" ca="1" si="170"/>
        <v>#N/A</v>
      </c>
      <c r="AD376" s="323" t="e">
        <f t="shared" ca="1" si="171"/>
        <v>#N/A</v>
      </c>
      <c r="AE376" s="324">
        <f t="shared" ca="1" si="150"/>
        <v>536.97096844343707</v>
      </c>
      <c r="AG376" s="306">
        <f t="shared" ca="1" si="172"/>
        <v>38.339804399341475</v>
      </c>
      <c r="AH376" s="304">
        <f t="shared" ca="1" si="173"/>
        <v>48.083699445395361</v>
      </c>
    </row>
    <row r="377" spans="1:34" x14ac:dyDescent="0.2">
      <c r="A377" s="347">
        <f t="shared" ca="1" si="151"/>
        <v>0.01</v>
      </c>
      <c r="B377" s="304">
        <f t="shared" ca="1" si="152"/>
        <v>3.7299999999999645</v>
      </c>
      <c r="D377" s="306">
        <f t="shared" ca="1" si="153"/>
        <v>5.5670171567258144</v>
      </c>
      <c r="E377" s="307">
        <f t="shared" ca="1" si="154"/>
        <v>37.88308895035258</v>
      </c>
      <c r="F377" s="304">
        <f t="shared" ca="1" si="155"/>
        <v>38.289947877264147</v>
      </c>
      <c r="G377" s="306">
        <f t="shared" ca="1" si="156"/>
        <v>29.99666492453337</v>
      </c>
      <c r="H377" s="307">
        <f t="shared" ca="1" si="157"/>
        <v>256.88576913201206</v>
      </c>
      <c r="I377" s="304">
        <f t="shared" ca="1" si="158"/>
        <v>258.63120130630051</v>
      </c>
      <c r="J377" s="306">
        <f t="shared" ca="1" si="159"/>
        <v>59.082003903092136</v>
      </c>
      <c r="K377" s="307">
        <f t="shared" ca="1" si="160"/>
        <v>539.53793198030962</v>
      </c>
      <c r="L377" s="304">
        <f t="shared" ca="1" si="145"/>
        <v>542.76317416603922</v>
      </c>
      <c r="M377" s="306">
        <f t="shared" ca="1" si="161"/>
        <v>1.4545523188760732</v>
      </c>
      <c r="N377" s="304">
        <f t="shared" ca="1" si="162"/>
        <v>83.339708952566099</v>
      </c>
      <c r="P377" s="310">
        <f t="shared" ca="1" si="163"/>
        <v>12</v>
      </c>
      <c r="Q377" s="304">
        <f t="shared" ca="1" si="164"/>
        <v>653.40000000000089</v>
      </c>
      <c r="R377" s="306">
        <f t="shared" ca="1" si="165"/>
        <v>0.32730913925903532</v>
      </c>
      <c r="S377" s="307">
        <f t="shared" ca="1" si="166"/>
        <v>9.3447968763632883</v>
      </c>
      <c r="T377" s="304">
        <f t="shared" ca="1" si="146"/>
        <v>91.672457357123861</v>
      </c>
      <c r="U377" s="311">
        <f t="shared" ca="1" si="147"/>
        <v>0</v>
      </c>
      <c r="V377" s="306">
        <f t="shared" ca="1" si="148"/>
        <v>1.1606427618902957</v>
      </c>
      <c r="W377" s="304">
        <f t="shared" ca="1" si="149"/>
        <v>205.24628498930343</v>
      </c>
      <c r="Y377" s="314" t="str">
        <f t="shared" ca="1" si="167"/>
        <v/>
      </c>
      <c r="Z377" s="315" t="str">
        <f t="shared" ca="1" si="168"/>
        <v/>
      </c>
      <c r="AA377" s="316" t="str">
        <f t="shared" ca="1" si="169"/>
        <v/>
      </c>
      <c r="AC377" s="310" t="e">
        <f t="shared" ca="1" si="170"/>
        <v>#N/A</v>
      </c>
      <c r="AD377" s="323" t="e">
        <f t="shared" ca="1" si="171"/>
        <v>#N/A</v>
      </c>
      <c r="AE377" s="324">
        <f t="shared" ca="1" si="150"/>
        <v>539.53793198030962</v>
      </c>
      <c r="AG377" s="306">
        <f t="shared" ca="1" si="172"/>
        <v>38.273052184396825</v>
      </c>
      <c r="AH377" s="304">
        <f t="shared" ca="1" si="173"/>
        <v>48.016897168075353</v>
      </c>
    </row>
    <row r="378" spans="1:34" x14ac:dyDescent="0.2">
      <c r="A378" s="347">
        <f t="shared" ca="1" si="151"/>
        <v>0.01</v>
      </c>
      <c r="B378" s="304">
        <f t="shared" ca="1" si="152"/>
        <v>3.7399999999999642</v>
      </c>
      <c r="D378" s="306">
        <f t="shared" ca="1" si="153"/>
        <v>5.5613671401337745</v>
      </c>
      <c r="E378" s="307">
        <f t="shared" ca="1" si="154"/>
        <v>37.816497106027448</v>
      </c>
      <c r="F378" s="304">
        <f t="shared" ca="1" si="155"/>
        <v>38.223242377348654</v>
      </c>
      <c r="G378" s="306">
        <f t="shared" ca="1" si="156"/>
        <v>30.052278595934709</v>
      </c>
      <c r="H378" s="307">
        <f t="shared" ca="1" si="157"/>
        <v>257.26393410307236</v>
      </c>
      <c r="I378" s="304">
        <f t="shared" ca="1" si="158"/>
        <v>259.01326460047875</v>
      </c>
      <c r="J378" s="306">
        <f t="shared" ca="1" si="159"/>
        <v>59.382248620694476</v>
      </c>
      <c r="K378" s="307">
        <f t="shared" ca="1" si="160"/>
        <v>542.10868049648502</v>
      </c>
      <c r="L378" s="304">
        <f t="shared" ca="1" si="145"/>
        <v>545.35132980574099</v>
      </c>
      <c r="M378" s="306">
        <f t="shared" ca="1" si="161"/>
        <v>1.4545083911162104</v>
      </c>
      <c r="N378" s="304">
        <f t="shared" ca="1" si="162"/>
        <v>83.337192077322499</v>
      </c>
      <c r="P378" s="310">
        <f t="shared" ca="1" si="163"/>
        <v>12</v>
      </c>
      <c r="Q378" s="304">
        <f t="shared" ca="1" si="164"/>
        <v>653.1733333333342</v>
      </c>
      <c r="R378" s="306">
        <f t="shared" ca="1" si="165"/>
        <v>0.32719559461323577</v>
      </c>
      <c r="S378" s="307">
        <f t="shared" ca="1" si="166"/>
        <v>9.3415249204171555</v>
      </c>
      <c r="T378" s="304">
        <f t="shared" ca="1" si="146"/>
        <v>91.640359469292306</v>
      </c>
      <c r="U378" s="311">
        <f t="shared" ca="1" si="147"/>
        <v>0</v>
      </c>
      <c r="V378" s="306">
        <f t="shared" ca="1" si="148"/>
        <v>1.1603442098922689</v>
      </c>
      <c r="W378" s="304">
        <f t="shared" ca="1" si="149"/>
        <v>205.80018202340804</v>
      </c>
      <c r="Y378" s="314" t="str">
        <f t="shared" ca="1" si="167"/>
        <v/>
      </c>
      <c r="Z378" s="315" t="str">
        <f t="shared" ca="1" si="168"/>
        <v/>
      </c>
      <c r="AA378" s="316" t="str">
        <f t="shared" ca="1" si="169"/>
        <v/>
      </c>
      <c r="AC378" s="310" t="e">
        <f t="shared" ca="1" si="170"/>
        <v>#N/A</v>
      </c>
      <c r="AD378" s="323" t="e">
        <f t="shared" ca="1" si="171"/>
        <v>#N/A</v>
      </c>
      <c r="AE378" s="324">
        <f t="shared" ca="1" si="150"/>
        <v>542.10868049648502</v>
      </c>
      <c r="AG378" s="306">
        <f t="shared" ca="1" si="172"/>
        <v>38.206304427603321</v>
      </c>
      <c r="AH378" s="304">
        <f t="shared" ca="1" si="173"/>
        <v>47.950099385275536</v>
      </c>
    </row>
    <row r="379" spans="1:34" x14ac:dyDescent="0.2">
      <c r="A379" s="347">
        <f t="shared" ca="1" si="151"/>
        <v>0.01</v>
      </c>
      <c r="B379" s="304">
        <f t="shared" ca="1" si="152"/>
        <v>3.749999999999964</v>
      </c>
      <c r="D379" s="306">
        <f t="shared" ca="1" si="153"/>
        <v>5.5557095647751904</v>
      </c>
      <c r="E379" s="307">
        <f t="shared" ca="1" si="154"/>
        <v>37.749911133043959</v>
      </c>
      <c r="F379" s="304">
        <f t="shared" ca="1" si="155"/>
        <v>38.156542025199961</v>
      </c>
      <c r="G379" s="306">
        <f t="shared" ca="1" si="156"/>
        <v>30.107835691582462</v>
      </c>
      <c r="H379" s="307">
        <f t="shared" ca="1" si="157"/>
        <v>257.64143321440281</v>
      </c>
      <c r="I379" s="304">
        <f t="shared" ca="1" si="158"/>
        <v>259.39466046702449</v>
      </c>
      <c r="J379" s="306">
        <f t="shared" ca="1" si="159"/>
        <v>59.68304919213206</v>
      </c>
      <c r="K379" s="307">
        <f t="shared" ca="1" si="160"/>
        <v>544.68320733307235</v>
      </c>
      <c r="L379" s="304">
        <f t="shared" ca="1" si="145"/>
        <v>547.94330246067716</v>
      </c>
      <c r="M379" s="306">
        <f t="shared" ca="1" si="161"/>
        <v>1.4544645114438686</v>
      </c>
      <c r="N379" s="304">
        <f t="shared" ca="1" si="162"/>
        <v>83.334677957290893</v>
      </c>
      <c r="P379" s="310">
        <f t="shared" ca="1" si="163"/>
        <v>12</v>
      </c>
      <c r="Q379" s="304">
        <f t="shared" ca="1" si="164"/>
        <v>652.94666666666751</v>
      </c>
      <c r="R379" s="306">
        <f t="shared" ca="1" si="165"/>
        <v>0.32708204996743628</v>
      </c>
      <c r="S379" s="307">
        <f t="shared" ca="1" si="166"/>
        <v>9.3382540999174815</v>
      </c>
      <c r="T379" s="304">
        <f t="shared" ca="1" si="146"/>
        <v>91.608272720190499</v>
      </c>
      <c r="U379" s="311">
        <f t="shared" ca="1" si="147"/>
        <v>0</v>
      </c>
      <c r="V379" s="306">
        <f t="shared" ca="1" si="148"/>
        <v>1.1600452939819628</v>
      </c>
      <c r="W379" s="304">
        <f t="shared" ca="1" si="149"/>
        <v>206.35353556433228</v>
      </c>
      <c r="Y379" s="314" t="str">
        <f t="shared" ca="1" si="167"/>
        <v/>
      </c>
      <c r="Z379" s="315" t="str">
        <f t="shared" ca="1" si="168"/>
        <v/>
      </c>
      <c r="AA379" s="316" t="str">
        <f t="shared" ca="1" si="169"/>
        <v/>
      </c>
      <c r="AC379" s="310" t="e">
        <f t="shared" ca="1" si="170"/>
        <v>#N/A</v>
      </c>
      <c r="AD379" s="323" t="e">
        <f t="shared" ca="1" si="171"/>
        <v>#N/A</v>
      </c>
      <c r="AE379" s="324">
        <f t="shared" ca="1" si="150"/>
        <v>544.68320733307235</v>
      </c>
      <c r="AG379" s="306">
        <f t="shared" ca="1" si="172"/>
        <v>38.139561682312085</v>
      </c>
      <c r="AH379" s="304">
        <f t="shared" ca="1" si="173"/>
        <v>47.883306650138245</v>
      </c>
    </row>
    <row r="380" spans="1:34" x14ac:dyDescent="0.2">
      <c r="A380" s="347">
        <f t="shared" ca="1" si="151"/>
        <v>0.01</v>
      </c>
      <c r="B380" s="304">
        <f t="shared" ca="1" si="152"/>
        <v>3.7599999999999638</v>
      </c>
      <c r="D380" s="306">
        <f t="shared" ca="1" si="153"/>
        <v>5.5500445162479446</v>
      </c>
      <c r="E380" s="307">
        <f t="shared" ca="1" si="154"/>
        <v>37.683331577122743</v>
      </c>
      <c r="F380" s="304">
        <f t="shared" ca="1" si="155"/>
        <v>38.089847372806709</v>
      </c>
      <c r="G380" s="306">
        <f t="shared" ca="1" si="156"/>
        <v>30.163336136744942</v>
      </c>
      <c r="H380" s="307">
        <f t="shared" ca="1" si="157"/>
        <v>258.01826653017406</v>
      </c>
      <c r="I380" s="304">
        <f t="shared" ca="1" si="158"/>
        <v>259.77538896156847</v>
      </c>
      <c r="J380" s="306">
        <f t="shared" ca="1" si="159"/>
        <v>59.984405051273697</v>
      </c>
      <c r="K380" s="307">
        <f t="shared" ca="1" si="160"/>
        <v>547.26150583179526</v>
      </c>
      <c r="L380" s="304">
        <f t="shared" ca="1" si="145"/>
        <v>550.53908545591867</v>
      </c>
      <c r="M380" s="306">
        <f t="shared" ca="1" si="161"/>
        <v>1.4544206796233625</v>
      </c>
      <c r="N380" s="304">
        <f t="shared" ca="1" si="162"/>
        <v>83.332166578967517</v>
      </c>
      <c r="P380" s="310">
        <f t="shared" ca="1" si="163"/>
        <v>12</v>
      </c>
      <c r="Q380" s="304">
        <f t="shared" ca="1" si="164"/>
        <v>652.72000000000082</v>
      </c>
      <c r="R380" s="306">
        <f t="shared" ca="1" si="165"/>
        <v>0.32696850532163679</v>
      </c>
      <c r="S380" s="307">
        <f t="shared" ca="1" si="166"/>
        <v>9.3349844148642642</v>
      </c>
      <c r="T380" s="304">
        <f t="shared" ca="1" si="146"/>
        <v>91.576197109818438</v>
      </c>
      <c r="U380" s="311">
        <f t="shared" ca="1" si="147"/>
        <v>0</v>
      </c>
      <c r="V380" s="306">
        <f t="shared" ca="1" si="148"/>
        <v>1.1597460152338377</v>
      </c>
      <c r="W380" s="304">
        <f t="shared" ca="1" si="149"/>
        <v>206.90634076763726</v>
      </c>
      <c r="Y380" s="314" t="str">
        <f t="shared" ca="1" si="167"/>
        <v/>
      </c>
      <c r="Z380" s="315" t="str">
        <f t="shared" ca="1" si="168"/>
        <v/>
      </c>
      <c r="AA380" s="316" t="str">
        <f t="shared" ca="1" si="169"/>
        <v/>
      </c>
      <c r="AC380" s="310" t="e">
        <f t="shared" ca="1" si="170"/>
        <v>#N/A</v>
      </c>
      <c r="AD380" s="323" t="e">
        <f t="shared" ca="1" si="171"/>
        <v>#N/A</v>
      </c>
      <c r="AE380" s="324">
        <f t="shared" ca="1" si="150"/>
        <v>547.26150583179526</v>
      </c>
      <c r="AG380" s="306">
        <f t="shared" ca="1" si="172"/>
        <v>38.072824500005844</v>
      </c>
      <c r="AH380" s="304">
        <f t="shared" ca="1" si="173"/>
        <v>47.816519513938466</v>
      </c>
    </row>
    <row r="381" spans="1:34" x14ac:dyDescent="0.2">
      <c r="A381" s="347">
        <f t="shared" ca="1" si="151"/>
        <v>0.01</v>
      </c>
      <c r="B381" s="304">
        <f t="shared" ca="1" si="152"/>
        <v>3.7699999999999636</v>
      </c>
      <c r="D381" s="306">
        <f t="shared" ca="1" si="153"/>
        <v>5.5443720799003016</v>
      </c>
      <c r="E381" s="307">
        <f t="shared" ca="1" si="154"/>
        <v>37.616758982123287</v>
      </c>
      <c r="F381" s="304">
        <f t="shared" ca="1" si="155"/>
        <v>38.023158970284555</v>
      </c>
      <c r="G381" s="306">
        <f t="shared" ca="1" si="156"/>
        <v>30.218779857543943</v>
      </c>
      <c r="H381" s="307">
        <f t="shared" ca="1" si="157"/>
        <v>258.39443411999531</v>
      </c>
      <c r="I381" s="304">
        <f t="shared" ca="1" si="158"/>
        <v>260.15545014523775</v>
      </c>
      <c r="J381" s="306">
        <f t="shared" ca="1" si="159"/>
        <v>60.286315631245138</v>
      </c>
      <c r="K381" s="307">
        <f t="shared" ca="1" si="160"/>
        <v>549.84356933504614</v>
      </c>
      <c r="L381" s="304">
        <f t="shared" ca="1" si="145"/>
        <v>553.13867211712272</v>
      </c>
      <c r="M381" s="306">
        <f t="shared" ca="1" si="161"/>
        <v>1.4543768954203311</v>
      </c>
      <c r="N381" s="304">
        <f t="shared" ca="1" si="162"/>
        <v>83.329657928924476</v>
      </c>
      <c r="P381" s="310">
        <f t="shared" ca="1" si="163"/>
        <v>12</v>
      </c>
      <c r="Q381" s="304">
        <f t="shared" ca="1" si="164"/>
        <v>652.49333333333425</v>
      </c>
      <c r="R381" s="306">
        <f t="shared" ca="1" si="165"/>
        <v>0.32685496067583736</v>
      </c>
      <c r="S381" s="307">
        <f t="shared" ca="1" si="166"/>
        <v>9.3317158652575056</v>
      </c>
      <c r="T381" s="304">
        <f t="shared" ca="1" si="146"/>
        <v>91.544132638176137</v>
      </c>
      <c r="U381" s="311">
        <f t="shared" ca="1" si="147"/>
        <v>0</v>
      </c>
      <c r="V381" s="306">
        <f t="shared" ca="1" si="148"/>
        <v>1.1594463747217489</v>
      </c>
      <c r="W381" s="304">
        <f t="shared" ca="1" si="149"/>
        <v>207.45859281355973</v>
      </c>
      <c r="Y381" s="314" t="str">
        <f t="shared" ca="1" si="167"/>
        <v/>
      </c>
      <c r="Z381" s="315" t="str">
        <f t="shared" ca="1" si="168"/>
        <v/>
      </c>
      <c r="AA381" s="316" t="str">
        <f t="shared" ca="1" si="169"/>
        <v/>
      </c>
      <c r="AC381" s="310" t="e">
        <f t="shared" ca="1" si="170"/>
        <v>#N/A</v>
      </c>
      <c r="AD381" s="323" t="e">
        <f t="shared" ca="1" si="171"/>
        <v>#N/A</v>
      </c>
      <c r="AE381" s="324">
        <f t="shared" ca="1" si="150"/>
        <v>549.84356933504614</v>
      </c>
      <c r="AG381" s="306">
        <f t="shared" ca="1" si="172"/>
        <v>38.006093430292793</v>
      </c>
      <c r="AH381" s="304">
        <f t="shared" ca="1" si="173"/>
        <v>47.749738526077714</v>
      </c>
    </row>
    <row r="382" spans="1:34" x14ac:dyDescent="0.2">
      <c r="A382" s="347">
        <f t="shared" ca="1" si="151"/>
        <v>0.01</v>
      </c>
      <c r="B382" s="304">
        <f t="shared" ca="1" si="152"/>
        <v>3.7799999999999634</v>
      </c>
      <c r="D382" s="306">
        <f t="shared" ca="1" si="153"/>
        <v>5.5386923408305169</v>
      </c>
      <c r="E382" s="307">
        <f t="shared" ca="1" si="154"/>
        <v>37.550193890037882</v>
      </c>
      <c r="F382" s="304">
        <f t="shared" ca="1" si="155"/>
        <v>37.95647736587015</v>
      </c>
      <c r="G382" s="306">
        <f t="shared" ca="1" si="156"/>
        <v>30.27416678095225</v>
      </c>
      <c r="H382" s="307">
        <f t="shared" ca="1" si="157"/>
        <v>258.76993605889567</v>
      </c>
      <c r="I382" s="304">
        <f t="shared" ca="1" si="158"/>
        <v>260.53484408463652</v>
      </c>
      <c r="J382" s="306">
        <f t="shared" ca="1" si="159"/>
        <v>60.588780364437618</v>
      </c>
      <c r="K382" s="307">
        <f t="shared" ca="1" si="160"/>
        <v>552.42939118594063</v>
      </c>
      <c r="L382" s="304">
        <f t="shared" ca="1" si="145"/>
        <v>555.74205577058774</v>
      </c>
      <c r="M382" s="306">
        <f t="shared" ca="1" si="161"/>
        <v>1.454333158601729</v>
      </c>
      <c r="N382" s="304">
        <f t="shared" ca="1" si="162"/>
        <v>83.327151993809252</v>
      </c>
      <c r="P382" s="310">
        <f t="shared" ca="1" si="163"/>
        <v>12</v>
      </c>
      <c r="Q382" s="304">
        <f t="shared" ca="1" si="164"/>
        <v>652.26666666666756</v>
      </c>
      <c r="R382" s="306">
        <f t="shared" ca="1" si="165"/>
        <v>0.32674141603003787</v>
      </c>
      <c r="S382" s="307">
        <f t="shared" ca="1" si="166"/>
        <v>9.3284484510972057</v>
      </c>
      <c r="T382" s="304">
        <f t="shared" ca="1" si="146"/>
        <v>91.512079305263597</v>
      </c>
      <c r="U382" s="311">
        <f t="shared" ca="1" si="147"/>
        <v>0</v>
      </c>
      <c r="V382" s="306">
        <f t="shared" ca="1" si="148"/>
        <v>1.1591463735189382</v>
      </c>
      <c r="W382" s="304">
        <f t="shared" ca="1" si="149"/>
        <v>208.01028690703021</v>
      </c>
      <c r="Y382" s="314" t="str">
        <f t="shared" ca="1" si="167"/>
        <v/>
      </c>
      <c r="Z382" s="315" t="str">
        <f t="shared" ca="1" si="168"/>
        <v/>
      </c>
      <c r="AA382" s="316" t="str">
        <f t="shared" ca="1" si="169"/>
        <v/>
      </c>
      <c r="AC382" s="310" t="e">
        <f t="shared" ca="1" si="170"/>
        <v>#N/A</v>
      </c>
      <c r="AD382" s="323" t="e">
        <f t="shared" ca="1" si="171"/>
        <v>#N/A</v>
      </c>
      <c r="AE382" s="324">
        <f t="shared" ca="1" si="150"/>
        <v>552.42939118594063</v>
      </c>
      <c r="AG382" s="306">
        <f t="shared" ca="1" si="172"/>
        <v>37.939369020900529</v>
      </c>
      <c r="AH382" s="304">
        <f t="shared" ca="1" si="173"/>
        <v>47.682964234077943</v>
      </c>
    </row>
    <row r="383" spans="1:34" x14ac:dyDescent="0.2">
      <c r="A383" s="347">
        <f t="shared" ca="1" si="151"/>
        <v>0.01</v>
      </c>
      <c r="B383" s="304">
        <f t="shared" ca="1" si="152"/>
        <v>3.7899999999999632</v>
      </c>
      <c r="D383" s="306">
        <f t="shared" ca="1" si="153"/>
        <v>5.5330053838863282</v>
      </c>
      <c r="E383" s="307">
        <f t="shared" ca="1" si="154"/>
        <v>37.483636840985739</v>
      </c>
      <c r="F383" s="304">
        <f t="shared" ca="1" si="155"/>
        <v>37.889803105915163</v>
      </c>
      <c r="G383" s="306">
        <f t="shared" ca="1" si="156"/>
        <v>30.329496834791112</v>
      </c>
      <c r="H383" s="307">
        <f t="shared" ca="1" si="157"/>
        <v>259.1447724273055</v>
      </c>
      <c r="I383" s="304">
        <f t="shared" ca="1" si="158"/>
        <v>260.91357085182744</v>
      </c>
      <c r="J383" s="306">
        <f t="shared" ca="1" si="159"/>
        <v>60.891798682516331</v>
      </c>
      <c r="K383" s="307">
        <f t="shared" ca="1" si="160"/>
        <v>555.01896472837166</v>
      </c>
      <c r="L383" s="304">
        <f t="shared" ca="1" si="145"/>
        <v>558.34922974330823</v>
      </c>
      <c r="M383" s="306">
        <f t="shared" ca="1" si="161"/>
        <v>1.454289468935815</v>
      </c>
      <c r="N383" s="304">
        <f t="shared" ca="1" si="162"/>
        <v>83.324648760344047</v>
      </c>
      <c r="P383" s="310">
        <f t="shared" ca="1" si="163"/>
        <v>12</v>
      </c>
      <c r="Q383" s="304">
        <f t="shared" ca="1" si="164"/>
        <v>652.04000000000087</v>
      </c>
      <c r="R383" s="306">
        <f t="shared" ca="1" si="165"/>
        <v>0.32662787138423838</v>
      </c>
      <c r="S383" s="307">
        <f t="shared" ca="1" si="166"/>
        <v>9.3251821723833626</v>
      </c>
      <c r="T383" s="304">
        <f t="shared" ca="1" si="146"/>
        <v>91.48003711108079</v>
      </c>
      <c r="U383" s="311">
        <f t="shared" ca="1" si="147"/>
        <v>0</v>
      </c>
      <c r="V383" s="306">
        <f t="shared" ca="1" si="148"/>
        <v>1.1588460126980242</v>
      </c>
      <c r="W383" s="304">
        <f t="shared" ca="1" si="149"/>
        <v>208.56141827769054</v>
      </c>
      <c r="Y383" s="314" t="str">
        <f t="shared" ca="1" si="167"/>
        <v/>
      </c>
      <c r="Z383" s="315" t="str">
        <f t="shared" ca="1" si="168"/>
        <v/>
      </c>
      <c r="AA383" s="316" t="str">
        <f t="shared" ca="1" si="169"/>
        <v/>
      </c>
      <c r="AC383" s="310" t="e">
        <f t="shared" ca="1" si="170"/>
        <v>#N/A</v>
      </c>
      <c r="AD383" s="323" t="e">
        <f t="shared" ca="1" si="171"/>
        <v>#N/A</v>
      </c>
      <c r="AE383" s="324">
        <f t="shared" ca="1" si="150"/>
        <v>555.01896472837166</v>
      </c>
      <c r="AG383" s="306">
        <f t="shared" ca="1" si="172"/>
        <v>37.872651817670189</v>
      </c>
      <c r="AH383" s="304">
        <f t="shared" ca="1" si="173"/>
        <v>47.616197183575665</v>
      </c>
    </row>
    <row r="384" spans="1:34" x14ac:dyDescent="0.2">
      <c r="A384" s="347">
        <f t="shared" ca="1" si="151"/>
        <v>0.01</v>
      </c>
      <c r="B384" s="304">
        <f t="shared" ca="1" si="152"/>
        <v>3.799999999999963</v>
      </c>
      <c r="D384" s="306">
        <f t="shared" ca="1" si="153"/>
        <v>5.5273112936645985</v>
      </c>
      <c r="E384" s="307">
        <f t="shared" ca="1" si="154"/>
        <v>37.417088373207193</v>
      </c>
      <c r="F384" s="304">
        <f t="shared" ca="1" si="155"/>
        <v>37.823136734880528</v>
      </c>
      <c r="G384" s="306">
        <f t="shared" ca="1" si="156"/>
        <v>30.384769947727758</v>
      </c>
      <c r="H384" s="307">
        <f t="shared" ca="1" si="157"/>
        <v>259.51894331103756</v>
      </c>
      <c r="I384" s="304">
        <f t="shared" ca="1" si="158"/>
        <v>261.29163052431255</v>
      </c>
      <c r="J384" s="306">
        <f t="shared" ca="1" si="159"/>
        <v>61.195370016428924</v>
      </c>
      <c r="K384" s="307">
        <f t="shared" ca="1" si="160"/>
        <v>557.61228330706342</v>
      </c>
      <c r="L384" s="304">
        <f t="shared" ca="1" si="145"/>
        <v>560.96018736302881</v>
      </c>
      <c r="M384" s="306">
        <f t="shared" ca="1" si="161"/>
        <v>1.4542458261921436</v>
      </c>
      <c r="N384" s="304">
        <f t="shared" ca="1" si="162"/>
        <v>83.322148215325299</v>
      </c>
      <c r="P384" s="310">
        <f t="shared" ca="1" si="163"/>
        <v>12</v>
      </c>
      <c r="Q384" s="304">
        <f t="shared" ca="1" si="164"/>
        <v>651.81333333333419</v>
      </c>
      <c r="R384" s="306">
        <f t="shared" ca="1" si="165"/>
        <v>0.32651432673843889</v>
      </c>
      <c r="S384" s="307">
        <f t="shared" ca="1" si="166"/>
        <v>9.3219170291159781</v>
      </c>
      <c r="T384" s="304">
        <f t="shared" ca="1" si="146"/>
        <v>91.448006055627744</v>
      </c>
      <c r="U384" s="311">
        <f t="shared" ca="1" si="147"/>
        <v>0</v>
      </c>
      <c r="V384" s="306">
        <f t="shared" ca="1" si="148"/>
        <v>1.1585452933309952</v>
      </c>
      <c r="W384" s="304">
        <f t="shared" ca="1" si="149"/>
        <v>209.11198217991094</v>
      </c>
      <c r="Y384" s="314" t="str">
        <f t="shared" ca="1" si="167"/>
        <v/>
      </c>
      <c r="Z384" s="315" t="str">
        <f t="shared" ca="1" si="168"/>
        <v/>
      </c>
      <c r="AA384" s="316" t="str">
        <f t="shared" ca="1" si="169"/>
        <v/>
      </c>
      <c r="AC384" s="310" t="e">
        <f t="shared" ca="1" si="170"/>
        <v>#N/A</v>
      </c>
      <c r="AD384" s="323" t="e">
        <f t="shared" ca="1" si="171"/>
        <v>#N/A</v>
      </c>
      <c r="AE384" s="324">
        <f t="shared" ca="1" si="150"/>
        <v>557.61228330706342</v>
      </c>
      <c r="AG384" s="306">
        <f t="shared" ca="1" si="172"/>
        <v>37.805942364550546</v>
      </c>
      <c r="AH384" s="304">
        <f t="shared" ca="1" si="173"/>
        <v>47.549437918316073</v>
      </c>
    </row>
    <row r="385" spans="1:34" x14ac:dyDescent="0.2">
      <c r="A385" s="347">
        <f t="shared" ca="1" si="151"/>
        <v>0.01</v>
      </c>
      <c r="B385" s="304">
        <f t="shared" ca="1" si="152"/>
        <v>3.8099999999999627</v>
      </c>
      <c r="D385" s="306">
        <f t="shared" ca="1" si="153"/>
        <v>5.514412262719147</v>
      </c>
      <c r="E385" s="307">
        <f t="shared" ca="1" si="154"/>
        <v>37.289071207854299</v>
      </c>
      <c r="F385" s="304">
        <f t="shared" ca="1" si="155"/>
        <v>37.694609351307193</v>
      </c>
      <c r="G385" s="306">
        <f t="shared" ca="1" si="156"/>
        <v>30.439914070354948</v>
      </c>
      <c r="H385" s="307">
        <f t="shared" ca="1" si="157"/>
        <v>259.89183402311608</v>
      </c>
      <c r="I385" s="304">
        <f t="shared" ca="1" si="158"/>
        <v>261.6684042075189</v>
      </c>
      <c r="J385" s="306">
        <f t="shared" ca="1" si="159"/>
        <v>61.499493436519337</v>
      </c>
      <c r="K385" s="307">
        <f t="shared" ca="1" si="160"/>
        <v>560.2093371937342</v>
      </c>
      <c r="L385" s="304">
        <f t="shared" ca="1" si="145"/>
        <v>563.57491886349192</v>
      </c>
      <c r="M385" s="306">
        <f t="shared" ca="1" si="161"/>
        <v>1.4542022300384279</v>
      </c>
      <c r="N385" s="304">
        <f t="shared" ca="1" si="162"/>
        <v>83.319650339714386</v>
      </c>
      <c r="P385" s="310">
        <f t="shared" ca="1" si="163"/>
        <v>13</v>
      </c>
      <c r="Q385" s="304">
        <f t="shared" ca="1" si="164"/>
        <v>651.01000000000511</v>
      </c>
      <c r="R385" s="306">
        <f t="shared" ca="1" si="165"/>
        <v>0.32611191115553406</v>
      </c>
      <c r="S385" s="307">
        <f t="shared" ca="1" si="166"/>
        <v>9.3186559100044235</v>
      </c>
      <c r="T385" s="304">
        <f t="shared" ca="1" si="146"/>
        <v>91.416014477143406</v>
      </c>
      <c r="U385" s="311">
        <f t="shared" ca="1" si="147"/>
        <v>0</v>
      </c>
      <c r="V385" s="306">
        <f t="shared" ca="1" si="148"/>
        <v>1.1582442168455089</v>
      </c>
      <c r="W385" s="304">
        <f t="shared" ca="1" si="149"/>
        <v>209.66098204860543</v>
      </c>
      <c r="Y385" s="314" t="str">
        <f t="shared" ca="1" si="167"/>
        <v/>
      </c>
      <c r="Z385" s="315" t="str">
        <f t="shared" ca="1" si="168"/>
        <v/>
      </c>
      <c r="AA385" s="316" t="str">
        <f t="shared" ca="1" si="169"/>
        <v/>
      </c>
      <c r="AC385" s="310" t="e">
        <f t="shared" ca="1" si="170"/>
        <v>#N/A</v>
      </c>
      <c r="AD385" s="323" t="e">
        <f t="shared" ca="1" si="171"/>
        <v>#N/A</v>
      </c>
      <c r="AE385" s="324">
        <f t="shared" ca="1" si="150"/>
        <v>560.2093371937342</v>
      </c>
      <c r="AG385" s="306">
        <f t="shared" ca="1" si="172"/>
        <v>37.67734345396876</v>
      </c>
      <c r="AH385" s="304">
        <f t="shared" ca="1" si="173"/>
        <v>47.420789230523745</v>
      </c>
    </row>
    <row r="386" spans="1:34" x14ac:dyDescent="0.2">
      <c r="A386" s="347">
        <f t="shared" ca="1" si="151"/>
        <v>0.01</v>
      </c>
      <c r="B386" s="304">
        <f t="shared" ca="1" si="152"/>
        <v>3.8199999999999625</v>
      </c>
      <c r="D386" s="306">
        <f t="shared" ca="1" si="153"/>
        <v>5.4943034759958103</v>
      </c>
      <c r="E386" s="307">
        <f t="shared" ca="1" si="154"/>
        <v>37.099613599953337</v>
      </c>
      <c r="F386" s="304">
        <f t="shared" ca="1" si="155"/>
        <v>37.504249091965328</v>
      </c>
      <c r="G386" s="306">
        <f t="shared" ca="1" si="156"/>
        <v>30.494857105114907</v>
      </c>
      <c r="H386" s="307">
        <f t="shared" ca="1" si="157"/>
        <v>260.26283015911559</v>
      </c>
      <c r="I386" s="304">
        <f t="shared" ca="1" si="158"/>
        <v>262.04327328190288</v>
      </c>
      <c r="J386" s="306">
        <f t="shared" ca="1" si="159"/>
        <v>61.804167292396684</v>
      </c>
      <c r="K386" s="307">
        <f t="shared" ca="1" si="160"/>
        <v>562.81011051464532</v>
      </c>
      <c r="L386" s="304">
        <f t="shared" ca="1" si="145"/>
        <v>566.19340829103066</v>
      </c>
      <c r="M386" s="306">
        <f t="shared" ca="1" si="161"/>
        <v>1.4541586800415658</v>
      </c>
      <c r="N386" s="304">
        <f t="shared" ca="1" si="162"/>
        <v>83.317155108696383</v>
      </c>
      <c r="P386" s="310">
        <f t="shared" ca="1" si="163"/>
        <v>13</v>
      </c>
      <c r="Q386" s="304">
        <f t="shared" ca="1" si="164"/>
        <v>649.63000000000523</v>
      </c>
      <c r="R386" s="306">
        <f t="shared" ca="1" si="165"/>
        <v>0.32542062463551963</v>
      </c>
      <c r="S386" s="307">
        <f t="shared" ca="1" si="166"/>
        <v>9.3154017037580683</v>
      </c>
      <c r="T386" s="304">
        <f t="shared" ca="1" si="146"/>
        <v>91.384090713866655</v>
      </c>
      <c r="U386" s="311">
        <f t="shared" ca="1" si="147"/>
        <v>0</v>
      </c>
      <c r="V386" s="306">
        <f t="shared" ca="1" si="148"/>
        <v>1.1579427853804964</v>
      </c>
      <c r="W386" s="304">
        <f t="shared" ca="1" si="149"/>
        <v>210.2074172419247</v>
      </c>
      <c r="Y386" s="314" t="str">
        <f t="shared" ca="1" si="167"/>
        <v/>
      </c>
      <c r="Z386" s="315" t="str">
        <f t="shared" ca="1" si="168"/>
        <v/>
      </c>
      <c r="AA386" s="316" t="str">
        <f t="shared" ca="1" si="169"/>
        <v/>
      </c>
      <c r="AC386" s="310" t="e">
        <f t="shared" ca="1" si="170"/>
        <v>#N/A</v>
      </c>
      <c r="AD386" s="323" t="e">
        <f t="shared" ca="1" si="171"/>
        <v>#N/A</v>
      </c>
      <c r="AE386" s="324">
        <f t="shared" ca="1" si="150"/>
        <v>562.81011051464532</v>
      </c>
      <c r="AG386" s="306">
        <f t="shared" ca="1" si="172"/>
        <v>37.486882588802501</v>
      </c>
      <c r="AH386" s="304">
        <f t="shared" ca="1" si="173"/>
        <v>47.230278622757105</v>
      </c>
    </row>
    <row r="387" spans="1:34" x14ac:dyDescent="0.2">
      <c r="A387" s="347">
        <f t="shared" ca="1" si="151"/>
        <v>0.01</v>
      </c>
      <c r="B387" s="304">
        <f t="shared" ca="1" si="152"/>
        <v>3.8299999999999623</v>
      </c>
      <c r="D387" s="306">
        <f t="shared" ca="1" si="153"/>
        <v>5.4741885157048324</v>
      </c>
      <c r="E387" s="307">
        <f t="shared" ca="1" si="154"/>
        <v>36.91026469941707</v>
      </c>
      <c r="F387" s="304">
        <f t="shared" ca="1" si="155"/>
        <v>37.313997106803079</v>
      </c>
      <c r="G387" s="306">
        <f t="shared" ca="1" si="156"/>
        <v>30.549598990271956</v>
      </c>
      <c r="H387" s="307">
        <f t="shared" ca="1" si="157"/>
        <v>260.63193280610977</v>
      </c>
      <c r="I387" s="304">
        <f t="shared" ca="1" si="158"/>
        <v>262.4162388205329</v>
      </c>
      <c r="J387" s="306">
        <f t="shared" ca="1" si="159"/>
        <v>62.109389572873617</v>
      </c>
      <c r="K387" s="307">
        <f t="shared" ca="1" si="160"/>
        <v>565.4145843294715</v>
      </c>
      <c r="L387" s="304">
        <f t="shared" ca="1" si="145"/>
        <v>568.81563660432539</v>
      </c>
      <c r="M387" s="306">
        <f t="shared" ca="1" si="161"/>
        <v>1.4541151757713335</v>
      </c>
      <c r="N387" s="304">
        <f t="shared" ca="1" si="162"/>
        <v>83.314662497621271</v>
      </c>
      <c r="P387" s="310">
        <f t="shared" ca="1" si="163"/>
        <v>13</v>
      </c>
      <c r="Q387" s="304">
        <f t="shared" ca="1" si="164"/>
        <v>648.25000000000523</v>
      </c>
      <c r="R387" s="306">
        <f t="shared" ca="1" si="165"/>
        <v>0.32472933811550514</v>
      </c>
      <c r="S387" s="307">
        <f t="shared" ca="1" si="166"/>
        <v>9.3121544103769125</v>
      </c>
      <c r="T387" s="304">
        <f t="shared" ca="1" si="146"/>
        <v>91.352234765797519</v>
      </c>
      <c r="U387" s="311">
        <f t="shared" ca="1" si="147"/>
        <v>0</v>
      </c>
      <c r="V387" s="306">
        <f t="shared" ca="1" si="148"/>
        <v>1.1576410014285463</v>
      </c>
      <c r="W387" s="304">
        <f t="shared" ca="1" si="149"/>
        <v>210.75127798143274</v>
      </c>
      <c r="Y387" s="314" t="str">
        <f t="shared" ca="1" si="167"/>
        <v/>
      </c>
      <c r="Z387" s="315" t="str">
        <f t="shared" ca="1" si="168"/>
        <v/>
      </c>
      <c r="AA387" s="316" t="str">
        <f t="shared" ca="1" si="169"/>
        <v/>
      </c>
      <c r="AC387" s="310" t="e">
        <f t="shared" ca="1" si="170"/>
        <v>#N/A</v>
      </c>
      <c r="AD387" s="323" t="e">
        <f t="shared" ca="1" si="171"/>
        <v>#N/A</v>
      </c>
      <c r="AE387" s="324">
        <f t="shared" ca="1" si="150"/>
        <v>565.4145843294715</v>
      </c>
      <c r="AG387" s="306">
        <f t="shared" ca="1" si="172"/>
        <v>37.296529030269241</v>
      </c>
      <c r="AH387" s="304">
        <f t="shared" ca="1" si="173"/>
        <v>47.039875355798635</v>
      </c>
    </row>
    <row r="388" spans="1:34" x14ac:dyDescent="0.2">
      <c r="A388" s="347">
        <f t="shared" ca="1" si="151"/>
        <v>0.01</v>
      </c>
      <c r="B388" s="304">
        <f t="shared" ca="1" si="152"/>
        <v>3.8399999999999621</v>
      </c>
      <c r="D388" s="306">
        <f t="shared" ca="1" si="153"/>
        <v>5.4540676268831652</v>
      </c>
      <c r="E388" s="307">
        <f t="shared" ca="1" si="154"/>
        <v>36.72102607672354</v>
      </c>
      <c r="F388" s="304">
        <f t="shared" ca="1" si="155"/>
        <v>37.123854996565555</v>
      </c>
      <c r="G388" s="306">
        <f t="shared" ca="1" si="156"/>
        <v>30.604139666540789</v>
      </c>
      <c r="H388" s="307">
        <f t="shared" ca="1" si="157"/>
        <v>260.99914306687702</v>
      </c>
      <c r="I388" s="304">
        <f t="shared" ca="1" si="158"/>
        <v>262.78730191235132</v>
      </c>
      <c r="J388" s="306">
        <f t="shared" ca="1" si="159"/>
        <v>62.415158266157682</v>
      </c>
      <c r="K388" s="307">
        <f t="shared" ca="1" si="160"/>
        <v>568.02273970883641</v>
      </c>
      <c r="L388" s="304">
        <f t="shared" ref="L388:L451" ca="1" si="174">SQRT(pos_x^2+pos_z^2)</f>
        <v>571.44158477286373</v>
      </c>
      <c r="M388" s="306">
        <f t="shared" ca="1" si="161"/>
        <v>1.454071716800353</v>
      </c>
      <c r="N388" s="304">
        <f t="shared" ca="1" si="162"/>
        <v>83.312172482002111</v>
      </c>
      <c r="P388" s="310">
        <f t="shared" ca="1" si="163"/>
        <v>13</v>
      </c>
      <c r="Q388" s="304">
        <f t="shared" ca="1" si="164"/>
        <v>646.87000000000523</v>
      </c>
      <c r="R388" s="306">
        <f t="shared" ca="1" si="165"/>
        <v>0.32403805159549065</v>
      </c>
      <c r="S388" s="307">
        <f t="shared" ca="1" si="166"/>
        <v>9.3089140298609578</v>
      </c>
      <c r="T388" s="304">
        <f t="shared" ref="T388:T451" ca="1" si="175">m*g</f>
        <v>91.320446632935997</v>
      </c>
      <c r="U388" s="311">
        <f t="shared" ref="U388:U451" ca="1" si="176">IF(pos_xz&lt;L_rampe,Poids*COS(Beta),0)</f>
        <v>0</v>
      </c>
      <c r="V388" s="306">
        <f t="shared" ref="V388:V451" ca="1" si="177">Rho_moyen*(20000-Alt_rampe-pos_z)/(20000+Alt_rampe+pos_z)</f>
        <v>1.1573388674789873</v>
      </c>
      <c r="W388" s="304">
        <f t="shared" ref="W388:W451" ca="1" si="178">1/2*Rho*Sref*Cx*vit_xz^2</f>
        <v>211.29255461101306</v>
      </c>
      <c r="Y388" s="314" t="str">
        <f t="shared" ca="1" si="167"/>
        <v/>
      </c>
      <c r="Z388" s="315" t="str">
        <f t="shared" ca="1" si="168"/>
        <v/>
      </c>
      <c r="AA388" s="316" t="str">
        <f t="shared" ca="1" si="169"/>
        <v/>
      </c>
      <c r="AC388" s="310" t="e">
        <f t="shared" ca="1" si="170"/>
        <v>#N/A</v>
      </c>
      <c r="AD388" s="323" t="e">
        <f t="shared" ca="1" si="171"/>
        <v>#N/A</v>
      </c>
      <c r="AE388" s="324">
        <f t="shared" ref="AE388:AE451" ca="1" si="179">IF(t&lt;T_para, pos_z, NA())</f>
        <v>568.02273970883641</v>
      </c>
      <c r="AG388" s="306">
        <f t="shared" ca="1" si="172"/>
        <v>37.106284365757098</v>
      </c>
      <c r="AH388" s="304">
        <f t="shared" ca="1" si="173"/>
        <v>46.849581016603992</v>
      </c>
    </row>
    <row r="389" spans="1:34" x14ac:dyDescent="0.2">
      <c r="A389" s="347">
        <f t="shared" ref="A389:A452" ca="1" si="180">IF(B388+0.01&lt;=T_ini+ROUNDUP(Temps_fin_propu,0), 0.01, IF(K388&gt;0, 0.1, 0.0001))</f>
        <v>0.01</v>
      </c>
      <c r="B389" s="304">
        <f t="shared" ref="B389:B452" ca="1" si="181">B388+pas</f>
        <v>3.8499999999999619</v>
      </c>
      <c r="D389" s="306">
        <f t="shared" ref="D389:D452" ca="1" si="182">IF(AND(L388&lt;L_rampe,Poussee&lt;Poids*SIN(M388)),0,(-W388+Poussee)/m*COS(M388)-U388/m*SIN(M388))</f>
        <v>5.4339410530245882</v>
      </c>
      <c r="E389" s="307">
        <f t="shared" ref="E389:E452" ca="1" si="183">IF(AND(L388&lt;L_rampe,Poussee&lt;Poids*SIN(M388)),0,(-W388+Poussee)/m*SIN(M388)+U388/m*COS(M388)-Poids/m)</f>
        <v>36.531899291026456</v>
      </c>
      <c r="F389" s="304">
        <f t="shared" ref="F389:F452" ca="1" si="184">SQRT(acc_x^2+acc_z^2)</f>
        <v>36.933824350822988</v>
      </c>
      <c r="G389" s="306">
        <f t="shared" ref="G389:G452" ca="1" si="185">G388+acc_x*pas</f>
        <v>30.658479077071036</v>
      </c>
      <c r="H389" s="307">
        <f t="shared" ref="H389:H452" ca="1" si="186">H388+acc_z*pas</f>
        <v>261.36446205978729</v>
      </c>
      <c r="I389" s="304">
        <f t="shared" ref="I389:I452" ca="1" si="187">SQRT(vit_x^2+vit_z^2)</f>
        <v>263.15646366206016</v>
      </c>
      <c r="J389" s="306">
        <f t="shared" ref="J389:J452" ca="1" si="188">J388+0.5*(vit_x+G388)*pas*(K388&gt;=0)</f>
        <v>62.721471359875743</v>
      </c>
      <c r="K389" s="307">
        <f t="shared" ref="K389:K452" ca="1" si="189">K388+0.5*(vit_z+H388)*pas</f>
        <v>570.63455773446969</v>
      </c>
      <c r="L389" s="304">
        <f t="shared" ca="1" si="174"/>
        <v>574.07123377709979</v>
      </c>
      <c r="M389" s="306">
        <f t="shared" ref="M389:M452" ca="1" si="190">IF(AND(L388&gt;L_rampe,G389&gt;0),ATAN2(G389,H389),$M$4)</f>
        <v>1.4540283027040599</v>
      </c>
      <c r="N389" s="304">
        <f t="shared" ref="N389:N452" ca="1" si="191">DEGREES(Beta)</f>
        <v>83.309685037513134</v>
      </c>
      <c r="P389" s="310">
        <f t="shared" ref="P389:P452" ca="1" si="192">MATCH(t-pas/2-T_ini,CdP_t)</f>
        <v>13</v>
      </c>
      <c r="Q389" s="304">
        <f t="shared" ref="Q389:Q452" ca="1" si="193">(INDEX(CdP,2,i_P+1)-INDEX(CdP,2,i_P+0))/(INDEX(CdP,1,i_P+1)-INDEX(CdP,1,i_P+0))*(t-pas/2-T_ini-INDEX(CdP,1,i_P+0))+INDEX(CdP,2,i_P+0)</f>
        <v>645.49000000000524</v>
      </c>
      <c r="R389" s="306">
        <f t="shared" ref="R389:R452" ca="1" si="194">Poussee/(g*ISP)</f>
        <v>0.32334676507547616</v>
      </c>
      <c r="S389" s="307">
        <f t="shared" ref="S389:S452" ca="1" si="195">S388-Débit*pas</f>
        <v>9.3056805622102026</v>
      </c>
      <c r="T389" s="304">
        <f t="shared" ca="1" si="175"/>
        <v>91.288726315282091</v>
      </c>
      <c r="U389" s="311">
        <f t="shared" ca="1" si="176"/>
        <v>0</v>
      </c>
      <c r="V389" s="306">
        <f t="shared" ca="1" si="177"/>
        <v>1.1570363860178643</v>
      </c>
      <c r="W389" s="304">
        <f t="shared" ca="1" si="178"/>
        <v>211.83123759657954</v>
      </c>
      <c r="Y389" s="314" t="str">
        <f t="shared" ref="Y389:Y452" ca="1" si="196">IF(AND(pos_z&lt;=0,K388&gt;0),"Impact balistique","") &amp; IF(AND(H390&lt;0,vit_z&gt;=0),"Apogée","") &amp; IF(AND(Poussee=0,Q388&gt;0),"Fin de propulsion","") &amp; IF(AND(L390&gt;L_rampe,pos_xz&lt;=L_rampe),"Sortie de rampe","")</f>
        <v/>
      </c>
      <c r="Z389" s="315" t="str">
        <f t="shared" ref="Z389:Z452" ca="1" si="197">IF(ABS(t-T_para)&lt;pas/2,"Para","")</f>
        <v/>
      </c>
      <c r="AA389" s="316" t="str">
        <f t="shared" ref="AA389:AA452" ca="1" si="198">IF(ABS(t-T_satellite)&lt;pas/2,"Satellite","")</f>
        <v/>
      </c>
      <c r="AC389" s="310" t="e">
        <f t="shared" ref="AC389:AC452" ca="1" si="199">IF(ABS(t-ROUND(t,0))&lt;0.001,t,NA())</f>
        <v>#N/A</v>
      </c>
      <c r="AD389" s="323" t="e">
        <f t="shared" ref="AD389:AD452" ca="1" si="200">IF(ABS(t-ROUND(t,0))&lt;0.001,pos_x,NA())</f>
        <v>#N/A</v>
      </c>
      <c r="AE389" s="324">
        <f t="shared" ca="1" si="179"/>
        <v>570.63455773446969</v>
      </c>
      <c r="AG389" s="306">
        <f t="shared" ref="AG389:AG452" ca="1" si="201">IF(AND(L388&lt;L_rampe,Poussee&lt;Poids*SIN(M388)),0,(-W388+Poussee)/m-Poids*SIN(M388)/m)</f>
        <v>36.916150171234392</v>
      </c>
      <c r="AH389" s="304">
        <f t="shared" ref="AH389:AH452" ca="1" si="202">IF(AND(L388&lt;L_rampe,Poussee&lt;Poids*SIN(M388)), g*SIN(M388), (-W388+Poussee)/m)</f>
        <v>46.659397180711458</v>
      </c>
    </row>
    <row r="390" spans="1:34" x14ac:dyDescent="0.2">
      <c r="A390" s="347">
        <f t="shared" ca="1" si="180"/>
        <v>0.01</v>
      </c>
      <c r="B390" s="304">
        <f t="shared" ca="1" si="181"/>
        <v>3.8599999999999617</v>
      </c>
      <c r="D390" s="306">
        <f t="shared" ca="1" si="182"/>
        <v>5.4138090360811075</v>
      </c>
      <c r="E390" s="307">
        <f t="shared" ca="1" si="183"/>
        <v>36.342885890154669</v>
      </c>
      <c r="F390" s="304">
        <f t="shared" ca="1" si="184"/>
        <v>36.743906747976006</v>
      </c>
      <c r="G390" s="306">
        <f t="shared" ca="1" si="185"/>
        <v>30.712617167431848</v>
      </c>
      <c r="H390" s="307">
        <f t="shared" ca="1" si="186"/>
        <v>261.72789091868884</v>
      </c>
      <c r="I390" s="304">
        <f t="shared" ca="1" si="187"/>
        <v>263.52372519000693</v>
      </c>
      <c r="J390" s="306">
        <f t="shared" ca="1" si="188"/>
        <v>63.028326841098256</v>
      </c>
      <c r="K390" s="307">
        <f t="shared" ca="1" si="189"/>
        <v>573.25001949936211</v>
      </c>
      <c r="L390" s="304">
        <f t="shared" ca="1" si="174"/>
        <v>576.70456460861078</v>
      </c>
      <c r="M390" s="306">
        <f t="shared" ca="1" si="190"/>
        <v>1.4539849330606733</v>
      </c>
      <c r="N390" s="304">
        <f t="shared" ca="1" si="191"/>
        <v>83.307200139988097</v>
      </c>
      <c r="P390" s="310">
        <f t="shared" ca="1" si="192"/>
        <v>13</v>
      </c>
      <c r="Q390" s="304">
        <f t="shared" ca="1" si="193"/>
        <v>644.11000000000524</v>
      </c>
      <c r="R390" s="306">
        <f t="shared" ca="1" si="194"/>
        <v>0.32265547855546167</v>
      </c>
      <c r="S390" s="307">
        <f t="shared" ca="1" si="195"/>
        <v>9.3024540074246485</v>
      </c>
      <c r="T390" s="304">
        <f t="shared" ca="1" si="175"/>
        <v>91.257073812835813</v>
      </c>
      <c r="U390" s="311">
        <f t="shared" ca="1" si="176"/>
        <v>0</v>
      </c>
      <c r="V390" s="306">
        <f t="shared" ca="1" si="177"/>
        <v>1.1567335595279169</v>
      </c>
      <c r="W390" s="304">
        <f t="shared" ca="1" si="178"/>
        <v>212.36731752578416</v>
      </c>
      <c r="Y390" s="314" t="str">
        <f t="shared" ca="1" si="196"/>
        <v/>
      </c>
      <c r="Z390" s="315" t="str">
        <f t="shared" ca="1" si="197"/>
        <v/>
      </c>
      <c r="AA390" s="316" t="str">
        <f t="shared" ca="1" si="198"/>
        <v/>
      </c>
      <c r="AC390" s="310" t="e">
        <f t="shared" ca="1" si="199"/>
        <v>#N/A</v>
      </c>
      <c r="AD390" s="323" t="e">
        <f t="shared" ca="1" si="200"/>
        <v>#N/A</v>
      </c>
      <c r="AE390" s="324">
        <f t="shared" ca="1" si="179"/>
        <v>573.25001949936211</v>
      </c>
      <c r="AG390" s="306">
        <f t="shared" ca="1" si="201"/>
        <v>36.726128011249159</v>
      </c>
      <c r="AH390" s="304">
        <f t="shared" ca="1" si="202"/>
        <v>46.469325412241474</v>
      </c>
    </row>
    <row r="391" spans="1:34" x14ac:dyDescent="0.2">
      <c r="A391" s="347">
        <f t="shared" ca="1" si="180"/>
        <v>0.01</v>
      </c>
      <c r="B391" s="304">
        <f t="shared" ca="1" si="181"/>
        <v>3.8699999999999615</v>
      </c>
      <c r="D391" s="306">
        <f t="shared" ca="1" si="182"/>
        <v>5.3936718164643294</v>
      </c>
      <c r="E391" s="307">
        <f t="shared" ca="1" si="183"/>
        <v>36.15398741061199</v>
      </c>
      <c r="F391" s="304">
        <f t="shared" ca="1" si="184"/>
        <v>36.554103755261345</v>
      </c>
      <c r="G391" s="306">
        <f t="shared" ca="1" si="185"/>
        <v>30.76655388559649</v>
      </c>
      <c r="H391" s="307">
        <f t="shared" ca="1" si="186"/>
        <v>262.08943079279499</v>
      </c>
      <c r="I391" s="304">
        <f t="shared" ca="1" si="187"/>
        <v>263.88908763207047</v>
      </c>
      <c r="J391" s="306">
        <f t="shared" ca="1" si="188"/>
        <v>63.335722696363398</v>
      </c>
      <c r="K391" s="307">
        <f t="shared" ca="1" si="189"/>
        <v>575.86910610791949</v>
      </c>
      <c r="L391" s="304">
        <f t="shared" ca="1" si="174"/>
        <v>579.3415582702529</v>
      </c>
      <c r="M391" s="306">
        <f t="shared" ca="1" si="190"/>
        <v>1.4539416074511635</v>
      </c>
      <c r="N391" s="304">
        <f t="shared" ca="1" si="191"/>
        <v>83.30471776541836</v>
      </c>
      <c r="P391" s="310">
        <f t="shared" ca="1" si="192"/>
        <v>13</v>
      </c>
      <c r="Q391" s="304">
        <f t="shared" ca="1" si="193"/>
        <v>642.73000000000536</v>
      </c>
      <c r="R391" s="306">
        <f t="shared" ca="1" si="194"/>
        <v>0.32196419203544724</v>
      </c>
      <c r="S391" s="307">
        <f t="shared" ca="1" si="195"/>
        <v>9.2992343655042937</v>
      </c>
      <c r="T391" s="304">
        <f t="shared" ca="1" si="175"/>
        <v>91.225489125597122</v>
      </c>
      <c r="U391" s="311">
        <f t="shared" ca="1" si="176"/>
        <v>0</v>
      </c>
      <c r="V391" s="306">
        <f t="shared" ca="1" si="177"/>
        <v>1.1564303904885562</v>
      </c>
      <c r="W391" s="304">
        <f t="shared" ca="1" si="178"/>
        <v>212.90078510771892</v>
      </c>
      <c r="Y391" s="314" t="str">
        <f t="shared" ca="1" si="196"/>
        <v/>
      </c>
      <c r="Z391" s="315" t="str">
        <f t="shared" ca="1" si="197"/>
        <v/>
      </c>
      <c r="AA391" s="316" t="str">
        <f t="shared" ca="1" si="198"/>
        <v/>
      </c>
      <c r="AC391" s="310" t="e">
        <f t="shared" ca="1" si="199"/>
        <v>#N/A</v>
      </c>
      <c r="AD391" s="323" t="e">
        <f t="shared" ca="1" si="200"/>
        <v>#N/A</v>
      </c>
      <c r="AE391" s="324">
        <f t="shared" ca="1" si="179"/>
        <v>575.86910610791949</v>
      </c>
      <c r="AG391" s="306">
        <f t="shared" ca="1" si="201"/>
        <v>36.536219438929095</v>
      </c>
      <c r="AH391" s="304">
        <f t="shared" ca="1" si="202"/>
        <v>46.279367263896546</v>
      </c>
    </row>
    <row r="392" spans="1:34" x14ac:dyDescent="0.2">
      <c r="A392" s="347">
        <f t="shared" ca="1" si="180"/>
        <v>0.01</v>
      </c>
      <c r="B392" s="304">
        <f t="shared" ca="1" si="181"/>
        <v>3.8799999999999613</v>
      </c>
      <c r="D392" s="306">
        <f t="shared" ca="1" si="182"/>
        <v>5.3735296330469673</v>
      </c>
      <c r="E392" s="307">
        <f t="shared" ca="1" si="183"/>
        <v>35.965205377577867</v>
      </c>
      <c r="F392" s="304">
        <f t="shared" ca="1" si="184"/>
        <v>36.364416928758665</v>
      </c>
      <c r="G392" s="306">
        <f t="shared" ca="1" si="185"/>
        <v>30.82028918192696</v>
      </c>
      <c r="H392" s="307">
        <f t="shared" ca="1" si="186"/>
        <v>262.44908284657078</v>
      </c>
      <c r="I392" s="304">
        <f t="shared" ca="1" si="187"/>
        <v>264.25255213954659</v>
      </c>
      <c r="J392" s="306">
        <f t="shared" ca="1" si="188"/>
        <v>63.643656911701015</v>
      </c>
      <c r="K392" s="307">
        <f t="shared" ca="1" si="189"/>
        <v>578.49179867611633</v>
      </c>
      <c r="L392" s="304">
        <f t="shared" ca="1" si="174"/>
        <v>581.9821957763163</v>
      </c>
      <c r="M392" s="306">
        <f t="shared" ca="1" si="190"/>
        <v>1.4538983254592226</v>
      </c>
      <c r="N392" s="304">
        <f t="shared" ca="1" si="191"/>
        <v>83.302237889951215</v>
      </c>
      <c r="P392" s="310">
        <f t="shared" ca="1" si="192"/>
        <v>13</v>
      </c>
      <c r="Q392" s="304">
        <f t="shared" ca="1" si="193"/>
        <v>641.35000000000537</v>
      </c>
      <c r="R392" s="306">
        <f t="shared" ca="1" si="194"/>
        <v>0.32127290551543275</v>
      </c>
      <c r="S392" s="307">
        <f t="shared" ca="1" si="195"/>
        <v>9.2960216364491401</v>
      </c>
      <c r="T392" s="304">
        <f t="shared" ca="1" si="175"/>
        <v>91.193972253566074</v>
      </c>
      <c r="U392" s="311">
        <f t="shared" ca="1" si="176"/>
        <v>0</v>
      </c>
      <c r="V392" s="306">
        <f t="shared" ca="1" si="177"/>
        <v>1.1561268813758419</v>
      </c>
      <c r="W392" s="304">
        <f t="shared" ca="1" si="178"/>
        <v>213.43163117261261</v>
      </c>
      <c r="Y392" s="314" t="str">
        <f t="shared" ca="1" si="196"/>
        <v/>
      </c>
      <c r="Z392" s="315" t="str">
        <f t="shared" ca="1" si="197"/>
        <v/>
      </c>
      <c r="AA392" s="316" t="str">
        <f t="shared" ca="1" si="198"/>
        <v/>
      </c>
      <c r="AC392" s="310" t="e">
        <f t="shared" ca="1" si="199"/>
        <v>#N/A</v>
      </c>
      <c r="AD392" s="323" t="e">
        <f t="shared" ca="1" si="200"/>
        <v>#N/A</v>
      </c>
      <c r="AE392" s="324">
        <f t="shared" ca="1" si="179"/>
        <v>578.49179867611633</v>
      </c>
      <c r="AG392" s="306">
        <f t="shared" ca="1" si="201"/>
        <v>36.346425995982315</v>
      </c>
      <c r="AH392" s="304">
        <f t="shared" ca="1" si="202"/>
        <v>46.089524276961981</v>
      </c>
    </row>
    <row r="393" spans="1:34" x14ac:dyDescent="0.2">
      <c r="A393" s="347">
        <f t="shared" ca="1" si="180"/>
        <v>0.01</v>
      </c>
      <c r="B393" s="304">
        <f t="shared" ca="1" si="181"/>
        <v>3.889999999999961</v>
      </c>
      <c r="D393" s="306">
        <f t="shared" ca="1" si="182"/>
        <v>5.3533827231642839</v>
      </c>
      <c r="E393" s="307">
        <f t="shared" ca="1" si="183"/>
        <v>35.776541304908669</v>
      </c>
      <c r="F393" s="304">
        <f t="shared" ca="1" si="184"/>
        <v>36.174847813398053</v>
      </c>
      <c r="G393" s="306">
        <f t="shared" ca="1" si="185"/>
        <v>30.873823009158603</v>
      </c>
      <c r="H393" s="307">
        <f t="shared" ca="1" si="186"/>
        <v>262.80684825961987</v>
      </c>
      <c r="I393" s="304">
        <f t="shared" ca="1" si="187"/>
        <v>264.61411987903386</v>
      </c>
      <c r="J393" s="306">
        <f t="shared" ca="1" si="188"/>
        <v>63.952127472656443</v>
      </c>
      <c r="K393" s="307">
        <f t="shared" ca="1" si="189"/>
        <v>581.11807833164733</v>
      </c>
      <c r="L393" s="304">
        <f t="shared" ca="1" si="174"/>
        <v>584.62645815267854</v>
      </c>
      <c r="M393" s="306">
        <f t="shared" ca="1" si="190"/>
        <v>1.4538550866712336</v>
      </c>
      <c r="N393" s="304">
        <f t="shared" ca="1" si="191"/>
        <v>83.2997604898882</v>
      </c>
      <c r="P393" s="310">
        <f t="shared" ca="1" si="192"/>
        <v>13</v>
      </c>
      <c r="Q393" s="304">
        <f t="shared" ca="1" si="193"/>
        <v>639.97000000000537</v>
      </c>
      <c r="R393" s="306">
        <f t="shared" ca="1" si="194"/>
        <v>0.32058161899541826</v>
      </c>
      <c r="S393" s="307">
        <f t="shared" ca="1" si="195"/>
        <v>9.292815820259186</v>
      </c>
      <c r="T393" s="304">
        <f t="shared" ca="1" si="175"/>
        <v>91.162523196742626</v>
      </c>
      <c r="U393" s="311">
        <f t="shared" ca="1" si="176"/>
        <v>0</v>
      </c>
      <c r="V393" s="306">
        <f t="shared" ca="1" si="177"/>
        <v>1.1558230346624614</v>
      </c>
      <c r="W393" s="304">
        <f t="shared" ca="1" si="178"/>
        <v>213.95984667152376</v>
      </c>
      <c r="Y393" s="314" t="str">
        <f t="shared" ca="1" si="196"/>
        <v/>
      </c>
      <c r="Z393" s="315" t="str">
        <f t="shared" ca="1" si="197"/>
        <v/>
      </c>
      <c r="AA393" s="316" t="str">
        <f t="shared" ca="1" si="198"/>
        <v/>
      </c>
      <c r="AC393" s="310" t="e">
        <f t="shared" ca="1" si="199"/>
        <v>#N/A</v>
      </c>
      <c r="AD393" s="323" t="e">
        <f t="shared" ca="1" si="200"/>
        <v>#N/A</v>
      </c>
      <c r="AE393" s="324">
        <f t="shared" ca="1" si="179"/>
        <v>581.11807833164733</v>
      </c>
      <c r="AG393" s="306">
        <f t="shared" ca="1" si="201"/>
        <v>36.156749212698777</v>
      </c>
      <c r="AH393" s="304">
        <f t="shared" ca="1" si="202"/>
        <v>45.899797981307266</v>
      </c>
    </row>
    <row r="394" spans="1:34" x14ac:dyDescent="0.2">
      <c r="A394" s="347">
        <f t="shared" ca="1" si="180"/>
        <v>0.01</v>
      </c>
      <c r="B394" s="304">
        <f t="shared" ca="1" si="181"/>
        <v>3.8999999999999608</v>
      </c>
      <c r="D394" s="306">
        <f t="shared" ca="1" si="182"/>
        <v>5.3332313226156565</v>
      </c>
      <c r="E394" s="307">
        <f t="shared" ca="1" si="183"/>
        <v>35.587996695139552</v>
      </c>
      <c r="F394" s="304">
        <f t="shared" ca="1" si="184"/>
        <v>35.985397942968376</v>
      </c>
      <c r="G394" s="306">
        <f t="shared" ca="1" si="185"/>
        <v>30.92715532238476</v>
      </c>
      <c r="H394" s="307">
        <f t="shared" ca="1" si="186"/>
        <v>263.16272822657129</v>
      </c>
      <c r="I394" s="304">
        <f t="shared" ca="1" si="187"/>
        <v>264.97379203231992</v>
      </c>
      <c r="J394" s="306">
        <f t="shared" ca="1" si="188"/>
        <v>64.261132364314165</v>
      </c>
      <c r="K394" s="307">
        <f t="shared" ca="1" si="189"/>
        <v>583.74792621407823</v>
      </c>
      <c r="L394" s="304">
        <f t="shared" ca="1" si="174"/>
        <v>587.27432643695636</v>
      </c>
      <c r="M394" s="306">
        <f t="shared" ca="1" si="190"/>
        <v>1.4538118906762407</v>
      </c>
      <c r="N394" s="304">
        <f t="shared" ca="1" si="191"/>
        <v>83.297285541683237</v>
      </c>
      <c r="P394" s="310">
        <f t="shared" ca="1" si="192"/>
        <v>13</v>
      </c>
      <c r="Q394" s="304">
        <f t="shared" ca="1" si="193"/>
        <v>638.59000000000538</v>
      </c>
      <c r="R394" s="306">
        <f t="shared" ca="1" si="194"/>
        <v>0.31989033247540377</v>
      </c>
      <c r="S394" s="307">
        <f t="shared" ca="1" si="195"/>
        <v>9.2896169169344311</v>
      </c>
      <c r="T394" s="304">
        <f t="shared" ca="1" si="175"/>
        <v>91.131141955126779</v>
      </c>
      <c r="U394" s="311">
        <f t="shared" ca="1" si="176"/>
        <v>0</v>
      </c>
      <c r="V394" s="306">
        <f t="shared" ca="1" si="177"/>
        <v>1.1555188528177076</v>
      </c>
      <c r="W394" s="304">
        <f t="shared" ca="1" si="178"/>
        <v>214.48542267602926</v>
      </c>
      <c r="Y394" s="314" t="str">
        <f t="shared" ca="1" si="196"/>
        <v/>
      </c>
      <c r="Z394" s="315" t="str">
        <f t="shared" ca="1" si="197"/>
        <v/>
      </c>
      <c r="AA394" s="316" t="str">
        <f t="shared" ca="1" si="198"/>
        <v/>
      </c>
      <c r="AC394" s="310" t="e">
        <f t="shared" ca="1" si="199"/>
        <v>#N/A</v>
      </c>
      <c r="AD394" s="323" t="e">
        <f t="shared" ca="1" si="200"/>
        <v>#N/A</v>
      </c>
      <c r="AE394" s="324">
        <f t="shared" ca="1" si="179"/>
        <v>583.74792621407823</v>
      </c>
      <c r="AG394" s="306">
        <f t="shared" ca="1" si="201"/>
        <v>35.967190607952219</v>
      </c>
      <c r="AH394" s="304">
        <f t="shared" ca="1" si="202"/>
        <v>45.710189895387991</v>
      </c>
    </row>
    <row r="395" spans="1:34" x14ac:dyDescent="0.2">
      <c r="A395" s="347">
        <f t="shared" ca="1" si="180"/>
        <v>0.01</v>
      </c>
      <c r="B395" s="304">
        <f t="shared" ca="1" si="181"/>
        <v>3.9099999999999606</v>
      </c>
      <c r="D395" s="306">
        <f t="shared" ca="1" si="182"/>
        <v>5.3130756656661475</v>
      </c>
      <c r="E395" s="307">
        <f t="shared" ca="1" si="183"/>
        <v>35.399573039486896</v>
      </c>
      <c r="F395" s="304">
        <f t="shared" ca="1" si="184"/>
        <v>35.796068840126303</v>
      </c>
      <c r="G395" s="306">
        <f t="shared" ca="1" si="185"/>
        <v>30.98028607904142</v>
      </c>
      <c r="H395" s="307">
        <f t="shared" ca="1" si="186"/>
        <v>263.51672395696613</v>
      </c>
      <c r="I395" s="304">
        <f t="shared" ca="1" si="187"/>
        <v>265.33156979626665</v>
      </c>
      <c r="J395" s="306">
        <f t="shared" ca="1" si="188"/>
        <v>64.570669571321289</v>
      </c>
      <c r="K395" s="307">
        <f t="shared" ca="1" si="189"/>
        <v>586.38132347499595</v>
      </c>
      <c r="L395" s="304">
        <f t="shared" ca="1" si="174"/>
        <v>589.92578167865884</v>
      </c>
      <c r="M395" s="306">
        <f t="shared" ca="1" si="190"/>
        <v>1.4537687370659205</v>
      </c>
      <c r="N395" s="304">
        <f t="shared" ca="1" si="191"/>
        <v>83.294813021941124</v>
      </c>
      <c r="P395" s="310">
        <f t="shared" ca="1" si="192"/>
        <v>13</v>
      </c>
      <c r="Q395" s="304">
        <f t="shared" ca="1" si="193"/>
        <v>637.21000000000549</v>
      </c>
      <c r="R395" s="306">
        <f t="shared" ca="1" si="194"/>
        <v>0.31919904595538934</v>
      </c>
      <c r="S395" s="307">
        <f t="shared" ca="1" si="195"/>
        <v>9.2864249264748775</v>
      </c>
      <c r="T395" s="304">
        <f t="shared" ca="1" si="175"/>
        <v>91.099828528718547</v>
      </c>
      <c r="U395" s="311">
        <f t="shared" ca="1" si="176"/>
        <v>0</v>
      </c>
      <c r="V395" s="306">
        <f t="shared" ca="1" si="177"/>
        <v>1.1552143383074556</v>
      </c>
      <c r="W395" s="304">
        <f t="shared" ca="1" si="178"/>
        <v>215.00835037790583</v>
      </c>
      <c r="Y395" s="314" t="str">
        <f t="shared" ca="1" si="196"/>
        <v/>
      </c>
      <c r="Z395" s="315" t="str">
        <f t="shared" ca="1" si="197"/>
        <v/>
      </c>
      <c r="AA395" s="316" t="str">
        <f t="shared" ca="1" si="198"/>
        <v/>
      </c>
      <c r="AC395" s="310" t="e">
        <f t="shared" ca="1" si="199"/>
        <v>#N/A</v>
      </c>
      <c r="AD395" s="323" t="e">
        <f t="shared" ca="1" si="200"/>
        <v>#N/A</v>
      </c>
      <c r="AE395" s="324">
        <f t="shared" ca="1" si="179"/>
        <v>586.38132347499595</v>
      </c>
      <c r="AG395" s="306">
        <f t="shared" ca="1" si="201"/>
        <v>35.777751689202738</v>
      </c>
      <c r="AH395" s="304">
        <f t="shared" ca="1" si="202"/>
        <v>45.520701526248409</v>
      </c>
    </row>
    <row r="396" spans="1:34" x14ac:dyDescent="0.2">
      <c r="A396" s="347">
        <f t="shared" ca="1" si="180"/>
        <v>0.01</v>
      </c>
      <c r="B396" s="304">
        <f t="shared" ca="1" si="181"/>
        <v>3.9199999999999604</v>
      </c>
      <c r="D396" s="306">
        <f t="shared" ca="1" si="182"/>
        <v>5.2929159850480794</v>
      </c>
      <c r="E396" s="307">
        <f t="shared" ca="1" si="183"/>
        <v>35.211271817851625</v>
      </c>
      <c r="F396" s="304">
        <f t="shared" ca="1" si="184"/>
        <v>35.606862016406467</v>
      </c>
      <c r="G396" s="306">
        <f t="shared" ca="1" si="185"/>
        <v>31.033215238891902</v>
      </c>
      <c r="H396" s="307">
        <f t="shared" ca="1" si="186"/>
        <v>263.86883667514462</v>
      </c>
      <c r="I396" s="304">
        <f t="shared" ca="1" si="187"/>
        <v>265.68745438269667</v>
      </c>
      <c r="J396" s="306">
        <f t="shared" ca="1" si="188"/>
        <v>64.88073707791095</v>
      </c>
      <c r="K396" s="307">
        <f t="shared" ca="1" si="189"/>
        <v>589.01825127815653</v>
      </c>
      <c r="L396" s="304">
        <f t="shared" ca="1" si="174"/>
        <v>592.58080493933528</v>
      </c>
      <c r="M396" s="306">
        <f t="shared" ca="1" si="190"/>
        <v>1.4537256254345519</v>
      </c>
      <c r="N396" s="304">
        <f t="shared" ca="1" si="191"/>
        <v>83.292342907415787</v>
      </c>
      <c r="P396" s="310">
        <f t="shared" ca="1" si="192"/>
        <v>13</v>
      </c>
      <c r="Q396" s="304">
        <f t="shared" ca="1" si="193"/>
        <v>635.8300000000055</v>
      </c>
      <c r="R396" s="306">
        <f t="shared" ca="1" si="194"/>
        <v>0.31850775943537485</v>
      </c>
      <c r="S396" s="307">
        <f t="shared" ca="1" si="195"/>
        <v>9.2832398488805232</v>
      </c>
      <c r="T396" s="304">
        <f t="shared" ca="1" si="175"/>
        <v>91.068582917517944</v>
      </c>
      <c r="U396" s="311">
        <f t="shared" ca="1" si="176"/>
        <v>0</v>
      </c>
      <c r="V396" s="306">
        <f t="shared" ca="1" si="177"/>
        <v>1.1549094935941446</v>
      </c>
      <c r="W396" s="304">
        <f t="shared" ca="1" si="178"/>
        <v>215.52862108881089</v>
      </c>
      <c r="Y396" s="314" t="str">
        <f t="shared" ca="1" si="196"/>
        <v/>
      </c>
      <c r="Z396" s="315" t="str">
        <f t="shared" ca="1" si="197"/>
        <v/>
      </c>
      <c r="AA396" s="316" t="str">
        <f t="shared" ca="1" si="198"/>
        <v/>
      </c>
      <c r="AC396" s="310" t="e">
        <f t="shared" ca="1" si="199"/>
        <v>#N/A</v>
      </c>
      <c r="AD396" s="323" t="e">
        <f t="shared" ca="1" si="200"/>
        <v>#N/A</v>
      </c>
      <c r="AE396" s="324">
        <f t="shared" ca="1" si="179"/>
        <v>589.01825127815653</v>
      </c>
      <c r="AG396" s="306">
        <f t="shared" ca="1" si="201"/>
        <v>35.588433952500182</v>
      </c>
      <c r="AH396" s="304">
        <f t="shared" ca="1" si="202"/>
        <v>45.331334369524782</v>
      </c>
    </row>
    <row r="397" spans="1:34" x14ac:dyDescent="0.2">
      <c r="A397" s="347">
        <f t="shared" ca="1" si="180"/>
        <v>0.01</v>
      </c>
      <c r="B397" s="304">
        <f t="shared" ca="1" si="181"/>
        <v>3.9299999999999602</v>
      </c>
      <c r="D397" s="306">
        <f t="shared" ca="1" si="182"/>
        <v>5.2727525119627163</v>
      </c>
      <c r="E397" s="307">
        <f t="shared" ca="1" si="183"/>
        <v>35.023094498822807</v>
      </c>
      <c r="F397" s="304">
        <f t="shared" ca="1" si="184"/>
        <v>35.417778972232036</v>
      </c>
      <c r="G397" s="306">
        <f t="shared" ca="1" si="185"/>
        <v>31.085942764011531</v>
      </c>
      <c r="H397" s="307">
        <f t="shared" ca="1" si="186"/>
        <v>264.21906762013288</v>
      </c>
      <c r="I397" s="304">
        <f t="shared" ca="1" si="187"/>
        <v>266.04144701827897</v>
      </c>
      <c r="J397" s="306">
        <f t="shared" ca="1" si="188"/>
        <v>65.191332867925468</v>
      </c>
      <c r="K397" s="307">
        <f t="shared" ca="1" si="189"/>
        <v>591.65869079963295</v>
      </c>
      <c r="L397" s="304">
        <f t="shared" ca="1" si="174"/>
        <v>595.23937729272609</v>
      </c>
      <c r="M397" s="306">
        <f t="shared" ca="1" si="190"/>
        <v>1.4536825553789885</v>
      </c>
      <c r="N397" s="304">
        <f t="shared" ca="1" si="191"/>
        <v>83.289875175008603</v>
      </c>
      <c r="P397" s="310">
        <f t="shared" ca="1" si="192"/>
        <v>13</v>
      </c>
      <c r="Q397" s="304">
        <f t="shared" ca="1" si="193"/>
        <v>634.4500000000055</v>
      </c>
      <c r="R397" s="306">
        <f t="shared" ca="1" si="194"/>
        <v>0.31781647291536036</v>
      </c>
      <c r="S397" s="307">
        <f t="shared" ca="1" si="195"/>
        <v>9.2800616841513701</v>
      </c>
      <c r="T397" s="304">
        <f t="shared" ca="1" si="175"/>
        <v>91.037405121524941</v>
      </c>
      <c r="U397" s="311">
        <f t="shared" ca="1" si="176"/>
        <v>0</v>
      </c>
      <c r="V397" s="306">
        <f t="shared" ca="1" si="177"/>
        <v>1.1546043211367543</v>
      </c>
      <c r="W397" s="304">
        <f t="shared" ca="1" si="178"/>
        <v>216.0462262399553</v>
      </c>
      <c r="Y397" s="314" t="str">
        <f t="shared" ca="1" si="196"/>
        <v/>
      </c>
      <c r="Z397" s="315" t="str">
        <f t="shared" ca="1" si="197"/>
        <v/>
      </c>
      <c r="AA397" s="316" t="str">
        <f t="shared" ca="1" si="198"/>
        <v/>
      </c>
      <c r="AC397" s="310" t="e">
        <f t="shared" ca="1" si="199"/>
        <v>#N/A</v>
      </c>
      <c r="AD397" s="323" t="e">
        <f t="shared" ca="1" si="200"/>
        <v>#N/A</v>
      </c>
      <c r="AE397" s="324">
        <f t="shared" ca="1" si="179"/>
        <v>591.65869079963295</v>
      </c>
      <c r="AG397" s="306">
        <f t="shared" ca="1" si="201"/>
        <v>35.399238882487865</v>
      </c>
      <c r="AH397" s="304">
        <f t="shared" ca="1" si="202"/>
        <v>45.142089909449084</v>
      </c>
    </row>
    <row r="398" spans="1:34" x14ac:dyDescent="0.2">
      <c r="A398" s="347">
        <f t="shared" ca="1" si="180"/>
        <v>0.01</v>
      </c>
      <c r="B398" s="304">
        <f t="shared" ca="1" si="181"/>
        <v>3.93999999999996</v>
      </c>
      <c r="D398" s="306">
        <f t="shared" ca="1" si="182"/>
        <v>5.2525854760819284</v>
      </c>
      <c r="E398" s="307">
        <f t="shared" ca="1" si="183"/>
        <v>34.835042539682178</v>
      </c>
      <c r="F398" s="304">
        <f t="shared" ca="1" si="184"/>
        <v>35.22882119692644</v>
      </c>
      <c r="G398" s="306">
        <f t="shared" ca="1" si="185"/>
        <v>31.13846861877235</v>
      </c>
      <c r="H398" s="307">
        <f t="shared" ca="1" si="186"/>
        <v>264.56741804552968</v>
      </c>
      <c r="I398" s="304">
        <f t="shared" ca="1" si="187"/>
        <v>266.39354894441482</v>
      </c>
      <c r="J398" s="306">
        <f t="shared" ca="1" si="188"/>
        <v>65.502454924839384</v>
      </c>
      <c r="K398" s="307">
        <f t="shared" ca="1" si="189"/>
        <v>594.30262322796125</v>
      </c>
      <c r="L398" s="304">
        <f t="shared" ca="1" si="174"/>
        <v>597.90147982490953</v>
      </c>
      <c r="M398" s="306">
        <f t="shared" ca="1" si="190"/>
        <v>1.4536395264986293</v>
      </c>
      <c r="N398" s="304">
        <f t="shared" ca="1" si="191"/>
        <v>83.287409801766856</v>
      </c>
      <c r="P398" s="310">
        <f t="shared" ca="1" si="192"/>
        <v>13</v>
      </c>
      <c r="Q398" s="304">
        <f t="shared" ca="1" si="193"/>
        <v>633.07000000000551</v>
      </c>
      <c r="R398" s="306">
        <f t="shared" ca="1" si="194"/>
        <v>0.31712518639534587</v>
      </c>
      <c r="S398" s="307">
        <f t="shared" ca="1" si="195"/>
        <v>9.2768904322874164</v>
      </c>
      <c r="T398" s="304">
        <f t="shared" ca="1" si="175"/>
        <v>91.006295140739553</v>
      </c>
      <c r="U398" s="311">
        <f t="shared" ca="1" si="176"/>
        <v>0</v>
      </c>
      <c r="V398" s="306">
        <f t="shared" ca="1" si="177"/>
        <v>1.1542988233907827</v>
      </c>
      <c r="W398" s="304">
        <f t="shared" ca="1" si="178"/>
        <v>216.56115738177317</v>
      </c>
      <c r="Y398" s="314" t="str">
        <f t="shared" ca="1" si="196"/>
        <v/>
      </c>
      <c r="Z398" s="315" t="str">
        <f t="shared" ca="1" si="197"/>
        <v/>
      </c>
      <c r="AA398" s="316" t="str">
        <f t="shared" ca="1" si="198"/>
        <v/>
      </c>
      <c r="AC398" s="310" t="e">
        <f t="shared" ca="1" si="199"/>
        <v>#N/A</v>
      </c>
      <c r="AD398" s="323" t="e">
        <f t="shared" ca="1" si="200"/>
        <v>#N/A</v>
      </c>
      <c r="AE398" s="324">
        <f t="shared" ca="1" si="179"/>
        <v>594.30262322796125</v>
      </c>
      <c r="AG398" s="306">
        <f t="shared" ca="1" si="201"/>
        <v>35.210167952407225</v>
      </c>
      <c r="AH398" s="304">
        <f t="shared" ca="1" si="202"/>
        <v>44.952969618853636</v>
      </c>
    </row>
    <row r="399" spans="1:34" x14ac:dyDescent="0.2">
      <c r="A399" s="347">
        <f t="shared" ca="1" si="180"/>
        <v>0.01</v>
      </c>
      <c r="B399" s="304">
        <f t="shared" ca="1" si="181"/>
        <v>3.9499999999999598</v>
      </c>
      <c r="D399" s="306">
        <f t="shared" ca="1" si="182"/>
        <v>5.2324151055499577</v>
      </c>
      <c r="E399" s="307">
        <f t="shared" ca="1" si="183"/>
        <v>34.647117386409157</v>
      </c>
      <c r="F399" s="304">
        <f t="shared" ca="1" si="184"/>
        <v>35.039990168725829</v>
      </c>
      <c r="G399" s="306">
        <f t="shared" ca="1" si="185"/>
        <v>31.190792769827851</v>
      </c>
      <c r="H399" s="307">
        <f t="shared" ca="1" si="186"/>
        <v>264.91388921939375</v>
      </c>
      <c r="I399" s="304">
        <f t="shared" ca="1" si="187"/>
        <v>266.74376141712401</v>
      </c>
      <c r="J399" s="306">
        <f t="shared" ca="1" si="188"/>
        <v>65.814101231782388</v>
      </c>
      <c r="K399" s="307">
        <f t="shared" ca="1" si="189"/>
        <v>596.95002976428589</v>
      </c>
      <c r="L399" s="304">
        <f t="shared" ca="1" si="174"/>
        <v>600.56709363444907</v>
      </c>
      <c r="M399" s="306">
        <f t="shared" ca="1" si="190"/>
        <v>1.4535965383953915</v>
      </c>
      <c r="N399" s="304">
        <f t="shared" ca="1" si="191"/>
        <v>83.284946764882051</v>
      </c>
      <c r="P399" s="310">
        <f t="shared" ca="1" si="192"/>
        <v>13</v>
      </c>
      <c r="Q399" s="304">
        <f t="shared" ca="1" si="193"/>
        <v>631.69000000000551</v>
      </c>
      <c r="R399" s="306">
        <f t="shared" ca="1" si="194"/>
        <v>0.31643389987533138</v>
      </c>
      <c r="S399" s="307">
        <f t="shared" ca="1" si="195"/>
        <v>9.2737260932886638</v>
      </c>
      <c r="T399" s="304">
        <f t="shared" ca="1" si="175"/>
        <v>90.975252975161794</v>
      </c>
      <c r="U399" s="311">
        <f t="shared" ca="1" si="176"/>
        <v>0</v>
      </c>
      <c r="V399" s="306">
        <f t="shared" ca="1" si="177"/>
        <v>1.1539930028082301</v>
      </c>
      <c r="W399" s="304">
        <f t="shared" ca="1" si="178"/>
        <v>217.0734061835883</v>
      </c>
      <c r="Y399" s="314" t="str">
        <f t="shared" ca="1" si="196"/>
        <v/>
      </c>
      <c r="Z399" s="315" t="str">
        <f t="shared" ca="1" si="197"/>
        <v/>
      </c>
      <c r="AA399" s="316" t="str">
        <f t="shared" ca="1" si="198"/>
        <v/>
      </c>
      <c r="AC399" s="310" t="e">
        <f t="shared" ca="1" si="199"/>
        <v>#N/A</v>
      </c>
      <c r="AD399" s="323" t="e">
        <f t="shared" ca="1" si="200"/>
        <v>#N/A</v>
      </c>
      <c r="AE399" s="324">
        <f t="shared" ca="1" si="179"/>
        <v>596.95002976428589</v>
      </c>
      <c r="AG399" s="306">
        <f t="shared" ca="1" si="201"/>
        <v>35.021222624102919</v>
      </c>
      <c r="AH399" s="304">
        <f t="shared" ca="1" si="202"/>
        <v>44.763974959176167</v>
      </c>
    </row>
    <row r="400" spans="1:34" x14ac:dyDescent="0.2">
      <c r="A400" s="347">
        <f t="shared" ca="1" si="180"/>
        <v>0.01</v>
      </c>
      <c r="B400" s="304">
        <f t="shared" ca="1" si="181"/>
        <v>3.9599999999999596</v>
      </c>
      <c r="D400" s="306">
        <f t="shared" ca="1" si="182"/>
        <v>5.2122416269851186</v>
      </c>
      <c r="E400" s="307">
        <f t="shared" ca="1" si="183"/>
        <v>34.459320473686361</v>
      </c>
      <c r="F400" s="304">
        <f t="shared" ca="1" si="184"/>
        <v>34.85128735479217</v>
      </c>
      <c r="G400" s="306">
        <f t="shared" ca="1" si="185"/>
        <v>31.242915186097701</v>
      </c>
      <c r="H400" s="307">
        <f t="shared" ca="1" si="186"/>
        <v>265.25848242413059</v>
      </c>
      <c r="I400" s="304">
        <f t="shared" ca="1" si="187"/>
        <v>267.09208570693085</v>
      </c>
      <c r="J400" s="306">
        <f t="shared" ca="1" si="188"/>
        <v>66.126269771562022</v>
      </c>
      <c r="K400" s="307">
        <f t="shared" ca="1" si="189"/>
        <v>599.60089162250347</v>
      </c>
      <c r="L400" s="304">
        <f t="shared" ca="1" si="174"/>
        <v>603.23619983253866</v>
      </c>
      <c r="M400" s="306">
        <f t="shared" ca="1" si="190"/>
        <v>1.4535535906736823</v>
      </c>
      <c r="N400" s="304">
        <f t="shared" ca="1" si="191"/>
        <v>83.282486041688415</v>
      </c>
      <c r="P400" s="310">
        <f t="shared" ca="1" si="192"/>
        <v>13</v>
      </c>
      <c r="Q400" s="304">
        <f t="shared" ca="1" si="193"/>
        <v>630.31000000000563</v>
      </c>
      <c r="R400" s="306">
        <f t="shared" ca="1" si="194"/>
        <v>0.31574261335531695</v>
      </c>
      <c r="S400" s="307">
        <f t="shared" ca="1" si="195"/>
        <v>9.2705686671551106</v>
      </c>
      <c r="T400" s="304">
        <f t="shared" ca="1" si="175"/>
        <v>90.944278624791636</v>
      </c>
      <c r="U400" s="311">
        <f t="shared" ca="1" si="176"/>
        <v>0</v>
      </c>
      <c r="V400" s="306">
        <f t="shared" ca="1" si="177"/>
        <v>1.1536868618375729</v>
      </c>
      <c r="W400" s="304">
        <f t="shared" ca="1" si="178"/>
        <v>217.58296443327407</v>
      </c>
      <c r="Y400" s="314" t="str">
        <f t="shared" ca="1" si="196"/>
        <v/>
      </c>
      <c r="Z400" s="315" t="str">
        <f t="shared" ca="1" si="197"/>
        <v/>
      </c>
      <c r="AA400" s="316" t="str">
        <f t="shared" ca="1" si="198"/>
        <v/>
      </c>
      <c r="AC400" s="310" t="e">
        <f t="shared" ca="1" si="199"/>
        <v>#N/A</v>
      </c>
      <c r="AD400" s="323" t="e">
        <f t="shared" ca="1" si="200"/>
        <v>#N/A</v>
      </c>
      <c r="AE400" s="324">
        <f t="shared" ca="1" si="179"/>
        <v>599.60089162250347</v>
      </c>
      <c r="AG400" s="306">
        <f t="shared" ca="1" si="201"/>
        <v>34.832404348028476</v>
      </c>
      <c r="AH400" s="304">
        <f t="shared" ca="1" si="202"/>
        <v>44.575107380465425</v>
      </c>
    </row>
    <row r="401" spans="1:34" x14ac:dyDescent="0.2">
      <c r="A401" s="347">
        <f t="shared" ca="1" si="180"/>
        <v>0.01</v>
      </c>
      <c r="B401" s="304">
        <f t="shared" ca="1" si="181"/>
        <v>3.9699999999999593</v>
      </c>
      <c r="D401" s="306">
        <f t="shared" ca="1" si="182"/>
        <v>5.1920652654816628</v>
      </c>
      <c r="E401" s="307">
        <f t="shared" ca="1" si="183"/>
        <v>34.27165322490594</v>
      </c>
      <c r="F401" s="304">
        <f t="shared" ca="1" si="184"/>
        <v>34.662714211227417</v>
      </c>
      <c r="G401" s="306">
        <f t="shared" ca="1" si="185"/>
        <v>31.294835838752519</v>
      </c>
      <c r="H401" s="307">
        <f t="shared" ca="1" si="186"/>
        <v>265.60119895637968</v>
      </c>
      <c r="I401" s="304">
        <f t="shared" ca="1" si="187"/>
        <v>267.43852309875041</v>
      </c>
      <c r="J401" s="306">
        <f t="shared" ca="1" si="188"/>
        <v>66.438958526686278</v>
      </c>
      <c r="K401" s="307">
        <f t="shared" ca="1" si="189"/>
        <v>602.25519002940598</v>
      </c>
      <c r="L401" s="304">
        <f t="shared" ca="1" si="174"/>
        <v>605.9087795431476</v>
      </c>
      <c r="M401" s="306">
        <f t="shared" ca="1" si="190"/>
        <v>1.4535106829403719</v>
      </c>
      <c r="N401" s="304">
        <f t="shared" ca="1" si="191"/>
        <v>83.280027609661261</v>
      </c>
      <c r="P401" s="310">
        <f t="shared" ca="1" si="192"/>
        <v>13</v>
      </c>
      <c r="Q401" s="304">
        <f t="shared" ca="1" si="193"/>
        <v>628.93000000000563</v>
      </c>
      <c r="R401" s="306">
        <f t="shared" ca="1" si="194"/>
        <v>0.31505132683530246</v>
      </c>
      <c r="S401" s="307">
        <f t="shared" ca="1" si="195"/>
        <v>9.2674181538867568</v>
      </c>
      <c r="T401" s="304">
        <f t="shared" ca="1" si="175"/>
        <v>90.913372089629092</v>
      </c>
      <c r="U401" s="311">
        <f t="shared" ca="1" si="176"/>
        <v>0</v>
      </c>
      <c r="V401" s="306">
        <f t="shared" ca="1" si="177"/>
        <v>1.1533804029237473</v>
      </c>
      <c r="W401" s="304">
        <f t="shared" ca="1" si="178"/>
        <v>218.0898240369113</v>
      </c>
      <c r="Y401" s="314" t="str">
        <f t="shared" ca="1" si="196"/>
        <v/>
      </c>
      <c r="Z401" s="315" t="str">
        <f t="shared" ca="1" si="197"/>
        <v/>
      </c>
      <c r="AA401" s="316" t="str">
        <f t="shared" ca="1" si="198"/>
        <v/>
      </c>
      <c r="AC401" s="310" t="e">
        <f t="shared" ca="1" si="199"/>
        <v>#N/A</v>
      </c>
      <c r="AD401" s="323" t="e">
        <f t="shared" ca="1" si="200"/>
        <v>#N/A</v>
      </c>
      <c r="AE401" s="324">
        <f t="shared" ca="1" si="179"/>
        <v>602.25519002940598</v>
      </c>
      <c r="AG401" s="306">
        <f t="shared" ca="1" si="201"/>
        <v>34.643714563252693</v>
      </c>
      <c r="AH401" s="304">
        <f t="shared" ca="1" si="202"/>
        <v>44.386368321387607</v>
      </c>
    </row>
    <row r="402" spans="1:34" x14ac:dyDescent="0.2">
      <c r="A402" s="347">
        <f t="shared" ca="1" si="180"/>
        <v>0.01</v>
      </c>
      <c r="B402" s="304">
        <f t="shared" ca="1" si="181"/>
        <v>3.9799999999999591</v>
      </c>
      <c r="D402" s="306">
        <f t="shared" ca="1" si="182"/>
        <v>5.1718862446115805</v>
      </c>
      <c r="E402" s="307">
        <f t="shared" ca="1" si="183"/>
        <v>34.084117052176268</v>
      </c>
      <c r="F402" s="304">
        <f t="shared" ca="1" si="184"/>
        <v>34.474272183088296</v>
      </c>
      <c r="G402" s="306">
        <f t="shared" ca="1" si="185"/>
        <v>31.346554701198635</v>
      </c>
      <c r="H402" s="307">
        <f t="shared" ca="1" si="186"/>
        <v>265.94204012690142</v>
      </c>
      <c r="I402" s="304">
        <f t="shared" ca="1" si="187"/>
        <v>267.78307489177445</v>
      </c>
      <c r="J402" s="306">
        <f t="shared" ca="1" si="188"/>
        <v>66.752165479386036</v>
      </c>
      <c r="K402" s="307">
        <f t="shared" ca="1" si="189"/>
        <v>604.91290622482234</v>
      </c>
      <c r="L402" s="304">
        <f t="shared" ca="1" si="174"/>
        <v>608.58481390316342</v>
      </c>
      <c r="M402" s="306">
        <f t="shared" ca="1" si="190"/>
        <v>1.4534678148047662</v>
      </c>
      <c r="N402" s="304">
        <f t="shared" ca="1" si="191"/>
        <v>83.27757144641545</v>
      </c>
      <c r="P402" s="310">
        <f t="shared" ca="1" si="192"/>
        <v>13</v>
      </c>
      <c r="Q402" s="304">
        <f t="shared" ca="1" si="193"/>
        <v>627.55000000000564</v>
      </c>
      <c r="R402" s="306">
        <f t="shared" ca="1" si="194"/>
        <v>0.31436004031528797</v>
      </c>
      <c r="S402" s="307">
        <f t="shared" ca="1" si="195"/>
        <v>9.2642745534836042</v>
      </c>
      <c r="T402" s="304">
        <f t="shared" ca="1" si="175"/>
        <v>90.882533369674164</v>
      </c>
      <c r="U402" s="311">
        <f t="shared" ca="1" si="176"/>
        <v>0</v>
      </c>
      <c r="V402" s="306">
        <f t="shared" ca="1" si="177"/>
        <v>1.1530736285081273</v>
      </c>
      <c r="W402" s="304">
        <f t="shared" ca="1" si="178"/>
        <v>218.59397701843992</v>
      </c>
      <c r="Y402" s="314" t="str">
        <f t="shared" ca="1" si="196"/>
        <v/>
      </c>
      <c r="Z402" s="315" t="str">
        <f t="shared" ca="1" si="197"/>
        <v/>
      </c>
      <c r="AA402" s="316" t="str">
        <f t="shared" ca="1" si="198"/>
        <v/>
      </c>
      <c r="AC402" s="310" t="e">
        <f t="shared" ca="1" si="199"/>
        <v>#N/A</v>
      </c>
      <c r="AD402" s="323" t="e">
        <f t="shared" ca="1" si="200"/>
        <v>#N/A</v>
      </c>
      <c r="AE402" s="324">
        <f t="shared" ca="1" si="179"/>
        <v>604.91290622482234</v>
      </c>
      <c r="AG402" s="306">
        <f t="shared" ca="1" si="201"/>
        <v>34.45515469746654</v>
      </c>
      <c r="AH402" s="304">
        <f t="shared" ca="1" si="202"/>
        <v>44.197759209233155</v>
      </c>
    </row>
    <row r="403" spans="1:34" x14ac:dyDescent="0.2">
      <c r="A403" s="347">
        <f t="shared" ca="1" si="180"/>
        <v>0.01</v>
      </c>
      <c r="B403" s="304">
        <f t="shared" ca="1" si="181"/>
        <v>3.9899999999999589</v>
      </c>
      <c r="D403" s="306">
        <f t="shared" ca="1" si="182"/>
        <v>5.1517047864265226</v>
      </c>
      <c r="E403" s="307">
        <f t="shared" ca="1" si="183"/>
        <v>33.896713356329549</v>
      </c>
      <c r="F403" s="304">
        <f t="shared" ca="1" si="184"/>
        <v>34.285962704402216</v>
      </c>
      <c r="G403" s="306">
        <f t="shared" ca="1" si="185"/>
        <v>31.3980717490629</v>
      </c>
      <c r="H403" s="307">
        <f t="shared" ca="1" si="186"/>
        <v>266.28100726046472</v>
      </c>
      <c r="I403" s="304">
        <f t="shared" ca="1" si="187"/>
        <v>268.12574239935816</v>
      </c>
      <c r="J403" s="306">
        <f t="shared" ca="1" si="188"/>
        <v>67.065888611637348</v>
      </c>
      <c r="K403" s="307">
        <f t="shared" ca="1" si="189"/>
        <v>607.57402146175912</v>
      </c>
      <c r="L403" s="304">
        <f t="shared" ca="1" si="174"/>
        <v>611.26428406253433</v>
      </c>
      <c r="M403" s="306">
        <f t="shared" ca="1" si="190"/>
        <v>1.4534249858785804</v>
      </c>
      <c r="N403" s="304">
        <f t="shared" ca="1" si="191"/>
        <v>83.275117529703934</v>
      </c>
      <c r="P403" s="310">
        <f t="shared" ca="1" si="192"/>
        <v>13</v>
      </c>
      <c r="Q403" s="304">
        <f t="shared" ca="1" si="193"/>
        <v>626.17000000000564</v>
      </c>
      <c r="R403" s="306">
        <f t="shared" ca="1" si="194"/>
        <v>0.31366875379527348</v>
      </c>
      <c r="S403" s="307">
        <f t="shared" ca="1" si="195"/>
        <v>9.2611378659456509</v>
      </c>
      <c r="T403" s="304">
        <f t="shared" ca="1" si="175"/>
        <v>90.851762464926836</v>
      </c>
      <c r="U403" s="311">
        <f t="shared" ca="1" si="176"/>
        <v>0</v>
      </c>
      <c r="V403" s="306">
        <f t="shared" ca="1" si="177"/>
        <v>1.1527665410285048</v>
      </c>
      <c r="W403" s="304">
        <f t="shared" ca="1" si="178"/>
        <v>219.09541551930823</v>
      </c>
      <c r="Y403" s="314" t="str">
        <f t="shared" ca="1" si="196"/>
        <v/>
      </c>
      <c r="Z403" s="315" t="str">
        <f t="shared" ca="1" si="197"/>
        <v/>
      </c>
      <c r="AA403" s="316" t="str">
        <f t="shared" ca="1" si="198"/>
        <v/>
      </c>
      <c r="AC403" s="310" t="e">
        <f t="shared" ca="1" si="199"/>
        <v>#N/A</v>
      </c>
      <c r="AD403" s="323" t="e">
        <f t="shared" ca="1" si="200"/>
        <v>#N/A</v>
      </c>
      <c r="AE403" s="324">
        <f t="shared" ca="1" si="179"/>
        <v>607.57402146175912</v>
      </c>
      <c r="AG403" s="306">
        <f t="shared" ca="1" si="201"/>
        <v>34.266726166990757</v>
      </c>
      <c r="AH403" s="304">
        <f t="shared" ca="1" si="202"/>
        <v>44.009281459924402</v>
      </c>
    </row>
    <row r="404" spans="1:34" x14ac:dyDescent="0.2">
      <c r="A404" s="347">
        <f t="shared" ca="1" si="180"/>
        <v>0.01</v>
      </c>
      <c r="B404" s="304">
        <f t="shared" ca="1" si="181"/>
        <v>3.9999999999999587</v>
      </c>
      <c r="D404" s="306">
        <f t="shared" ca="1" si="182"/>
        <v>5.1315211114596906</v>
      </c>
      <c r="E404" s="307">
        <f t="shared" ca="1" si="183"/>
        <v>33.709443526929604</v>
      </c>
      <c r="F404" s="304">
        <f t="shared" ca="1" si="184"/>
        <v>34.097787198183589</v>
      </c>
      <c r="G404" s="306">
        <f t="shared" ca="1" si="185"/>
        <v>31.449386960177499</v>
      </c>
      <c r="H404" s="307">
        <f t="shared" ca="1" si="186"/>
        <v>266.61810169573403</v>
      </c>
      <c r="I404" s="304">
        <f t="shared" ca="1" si="187"/>
        <v>268.46652694890611</v>
      </c>
      <c r="J404" s="306">
        <f t="shared" ca="1" si="188"/>
        <v>67.380125905183547</v>
      </c>
      <c r="K404" s="307">
        <f t="shared" ca="1" si="189"/>
        <v>610.23851700654006</v>
      </c>
      <c r="L404" s="304">
        <f t="shared" ca="1" si="174"/>
        <v>613.94717118441031</v>
      </c>
      <c r="M404" s="306">
        <f t="shared" ca="1" si="190"/>
        <v>1.4533821957759125</v>
      </c>
      <c r="N404" s="304">
        <f t="shared" ca="1" si="191"/>
        <v>83.272665837416127</v>
      </c>
      <c r="P404" s="310">
        <f t="shared" ca="1" si="192"/>
        <v>13</v>
      </c>
      <c r="Q404" s="304">
        <f t="shared" ca="1" si="193"/>
        <v>624.79000000000565</v>
      </c>
      <c r="R404" s="306">
        <f t="shared" ca="1" si="194"/>
        <v>0.31297746727525899</v>
      </c>
      <c r="S404" s="307">
        <f t="shared" ca="1" si="195"/>
        <v>9.2580080912728988</v>
      </c>
      <c r="T404" s="304">
        <f t="shared" ca="1" si="175"/>
        <v>90.821059375387136</v>
      </c>
      <c r="U404" s="311">
        <f t="shared" ca="1" si="176"/>
        <v>0</v>
      </c>
      <c r="V404" s="306">
        <f t="shared" ca="1" si="177"/>
        <v>1.1524591429190716</v>
      </c>
      <c r="W404" s="304">
        <f t="shared" ca="1" si="178"/>
        <v>219.59413179811702</v>
      </c>
      <c r="Y404" s="314" t="str">
        <f t="shared" ca="1" si="196"/>
        <v/>
      </c>
      <c r="Z404" s="315" t="str">
        <f t="shared" ca="1" si="197"/>
        <v/>
      </c>
      <c r="AA404" s="316" t="str">
        <f t="shared" ca="1" si="198"/>
        <v/>
      </c>
      <c r="AC404" s="310">
        <f t="shared" ca="1" si="199"/>
        <v>3.9999999999999587</v>
      </c>
      <c r="AD404" s="323">
        <f t="shared" ca="1" si="200"/>
        <v>67.380125905183547</v>
      </c>
      <c r="AE404" s="324">
        <f t="shared" ca="1" si="179"/>
        <v>610.23851700654006</v>
      </c>
      <c r="AG404" s="306">
        <f t="shared" ca="1" si="201"/>
        <v>34.078430376783857</v>
      </c>
      <c r="AH404" s="304">
        <f t="shared" ca="1" si="202"/>
        <v>43.820936478023512</v>
      </c>
    </row>
    <row r="405" spans="1:34" x14ac:dyDescent="0.2">
      <c r="A405" s="347">
        <f t="shared" ca="1" si="180"/>
        <v>0.01</v>
      </c>
      <c r="B405" s="304">
        <f t="shared" ca="1" si="181"/>
        <v>4.0099999999999589</v>
      </c>
      <c r="D405" s="306">
        <f t="shared" ca="1" si="182"/>
        <v>5.1056382799428475</v>
      </c>
      <c r="E405" s="307">
        <f t="shared" ca="1" si="183"/>
        <v>33.474010205576121</v>
      </c>
      <c r="F405" s="304">
        <f t="shared" ca="1" si="184"/>
        <v>33.861141467597221</v>
      </c>
      <c r="G405" s="306">
        <f t="shared" ca="1" si="185"/>
        <v>31.500443342976926</v>
      </c>
      <c r="H405" s="307">
        <f t="shared" ca="1" si="186"/>
        <v>266.9528417977898</v>
      </c>
      <c r="I405" s="304">
        <f t="shared" ca="1" si="187"/>
        <v>268.80494354591008</v>
      </c>
      <c r="J405" s="306">
        <f t="shared" ca="1" si="188"/>
        <v>67.694875056699317</v>
      </c>
      <c r="K405" s="307">
        <f t="shared" ca="1" si="189"/>
        <v>612.90637172400773</v>
      </c>
      <c r="L405" s="304">
        <f t="shared" ca="1" si="174"/>
        <v>616.63345401367064</v>
      </c>
      <c r="M405" s="306">
        <f t="shared" ca="1" si="190"/>
        <v>1.4533394440358691</v>
      </c>
      <c r="N405" s="304">
        <f t="shared" ca="1" si="191"/>
        <v>83.27021634314481</v>
      </c>
      <c r="P405" s="310">
        <f t="shared" ca="1" si="192"/>
        <v>14</v>
      </c>
      <c r="Q405" s="304">
        <f t="shared" ca="1" si="193"/>
        <v>622.96000000000936</v>
      </c>
      <c r="R405" s="306">
        <f t="shared" ca="1" si="194"/>
        <v>0.31206076123785031</v>
      </c>
      <c r="S405" s="307">
        <f t="shared" ca="1" si="195"/>
        <v>9.2548874836605197</v>
      </c>
      <c r="T405" s="304">
        <f t="shared" ca="1" si="175"/>
        <v>90.790446214709704</v>
      </c>
      <c r="U405" s="311">
        <f t="shared" ca="1" si="176"/>
        <v>0</v>
      </c>
      <c r="V405" s="306">
        <f t="shared" ca="1" si="177"/>
        <v>1.1521514368888961</v>
      </c>
      <c r="W405" s="304">
        <f t="shared" ca="1" si="178"/>
        <v>220.08932188870179</v>
      </c>
      <c r="Y405" s="314" t="str">
        <f t="shared" ca="1" si="196"/>
        <v/>
      </c>
      <c r="Z405" s="315" t="str">
        <f t="shared" ca="1" si="197"/>
        <v/>
      </c>
      <c r="AA405" s="316" t="str">
        <f t="shared" ca="1" si="198"/>
        <v/>
      </c>
      <c r="AC405" s="310" t="e">
        <f t="shared" ca="1" si="199"/>
        <v>#N/A</v>
      </c>
      <c r="AD405" s="323" t="e">
        <f t="shared" ca="1" si="200"/>
        <v>#N/A</v>
      </c>
      <c r="AE405" s="324">
        <f t="shared" ca="1" si="179"/>
        <v>612.90637172400773</v>
      </c>
      <c r="AG405" s="306">
        <f t="shared" ca="1" si="201"/>
        <v>33.841635135496986</v>
      </c>
      <c r="AH405" s="304">
        <f t="shared" ca="1" si="202"/>
        <v>43.584092071787339</v>
      </c>
    </row>
    <row r="406" spans="1:34" x14ac:dyDescent="0.2">
      <c r="A406" s="347">
        <f t="shared" ca="1" si="180"/>
        <v>0.01</v>
      </c>
      <c r="B406" s="304">
        <f t="shared" ca="1" si="181"/>
        <v>4.0199999999999587</v>
      </c>
      <c r="D406" s="306">
        <f t="shared" ca="1" si="182"/>
        <v>5.0740534347164088</v>
      </c>
      <c r="E406" s="307">
        <f t="shared" ca="1" si="183"/>
        <v>33.190441901189224</v>
      </c>
      <c r="F406" s="304">
        <f t="shared" ca="1" si="184"/>
        <v>33.576054739271775</v>
      </c>
      <c r="G406" s="306">
        <f t="shared" ca="1" si="185"/>
        <v>31.551183877324089</v>
      </c>
      <c r="H406" s="307">
        <f t="shared" ca="1" si="186"/>
        <v>267.28474621680169</v>
      </c>
      <c r="I406" s="304">
        <f t="shared" ca="1" si="187"/>
        <v>269.14050747563215</v>
      </c>
      <c r="J406" s="306">
        <f t="shared" ca="1" si="188"/>
        <v>68.010133192800822</v>
      </c>
      <c r="K406" s="307">
        <f t="shared" ca="1" si="189"/>
        <v>615.5775596640807</v>
      </c>
      <c r="L406" s="304">
        <f t="shared" ca="1" si="174"/>
        <v>619.32310644677818</v>
      </c>
      <c r="M406" s="306">
        <f t="shared" ca="1" si="190"/>
        <v>1.4532967301232143</v>
      </c>
      <c r="N406" s="304">
        <f t="shared" ca="1" si="191"/>
        <v>83.267769016223184</v>
      </c>
      <c r="P406" s="310">
        <f t="shared" ca="1" si="192"/>
        <v>14</v>
      </c>
      <c r="Q406" s="304">
        <f t="shared" ca="1" si="193"/>
        <v>620.68000000000939</v>
      </c>
      <c r="R406" s="306">
        <f t="shared" ca="1" si="194"/>
        <v>0.31091863568304379</v>
      </c>
      <c r="S406" s="307">
        <f t="shared" ca="1" si="195"/>
        <v>9.2517782973036891</v>
      </c>
      <c r="T406" s="304">
        <f t="shared" ca="1" si="175"/>
        <v>90.759945096549188</v>
      </c>
      <c r="U406" s="311">
        <f t="shared" ca="1" si="176"/>
        <v>0</v>
      </c>
      <c r="V406" s="306">
        <f t="shared" ca="1" si="177"/>
        <v>1.1518434261998152</v>
      </c>
      <c r="W406" s="304">
        <f t="shared" ca="1" si="178"/>
        <v>220.58017935165486</v>
      </c>
      <c r="Y406" s="314" t="str">
        <f t="shared" ca="1" si="196"/>
        <v/>
      </c>
      <c r="Z406" s="315" t="str">
        <f t="shared" ca="1" si="197"/>
        <v/>
      </c>
      <c r="AA406" s="316" t="str">
        <f t="shared" ca="1" si="198"/>
        <v/>
      </c>
      <c r="AC406" s="310" t="e">
        <f t="shared" ca="1" si="199"/>
        <v>#N/A</v>
      </c>
      <c r="AD406" s="323" t="e">
        <f t="shared" ca="1" si="200"/>
        <v>#N/A</v>
      </c>
      <c r="AE406" s="324">
        <f t="shared" ca="1" si="179"/>
        <v>615.5775596640807</v>
      </c>
      <c r="AG406" s="306">
        <f t="shared" ca="1" si="201"/>
        <v>33.55636842015835</v>
      </c>
      <c r="AH406" s="304">
        <f t="shared" ca="1" si="202"/>
        <v>43.298776217762871</v>
      </c>
    </row>
    <row r="407" spans="1:34" x14ac:dyDescent="0.2">
      <c r="A407" s="347">
        <f t="shared" ca="1" si="180"/>
        <v>0.01</v>
      </c>
      <c r="B407" s="304">
        <f t="shared" ca="1" si="181"/>
        <v>4.0299999999999585</v>
      </c>
      <c r="D407" s="306">
        <f t="shared" ca="1" si="182"/>
        <v>5.0424689387194537</v>
      </c>
      <c r="E407" s="307">
        <f t="shared" ca="1" si="183"/>
        <v>32.907098535259237</v>
      </c>
      <c r="F407" s="304">
        <f t="shared" ca="1" si="184"/>
        <v>33.291194436475408</v>
      </c>
      <c r="G407" s="306">
        <f t="shared" ca="1" si="185"/>
        <v>31.601608566711285</v>
      </c>
      <c r="H407" s="307">
        <f t="shared" ca="1" si="186"/>
        <v>267.61381720215428</v>
      </c>
      <c r="I407" s="304">
        <f t="shared" ca="1" si="187"/>
        <v>269.47322097290424</v>
      </c>
      <c r="J407" s="306">
        <f t="shared" ca="1" si="188"/>
        <v>68.325897155020996</v>
      </c>
      <c r="K407" s="307">
        <f t="shared" ca="1" si="189"/>
        <v>618.2520524811755</v>
      </c>
      <c r="L407" s="304">
        <f t="shared" ca="1" si="174"/>
        <v>622.01609996785828</v>
      </c>
      <c r="M407" s="306">
        <f t="shared" ca="1" si="190"/>
        <v>1.453254053506073</v>
      </c>
      <c r="N407" s="304">
        <f t="shared" ca="1" si="191"/>
        <v>83.265323826177095</v>
      </c>
      <c r="P407" s="310">
        <f t="shared" ca="1" si="192"/>
        <v>14</v>
      </c>
      <c r="Q407" s="304">
        <f t="shared" ca="1" si="193"/>
        <v>618.40000000000941</v>
      </c>
      <c r="R407" s="306">
        <f t="shared" ca="1" si="194"/>
        <v>0.30977651012823726</v>
      </c>
      <c r="S407" s="307">
        <f t="shared" ca="1" si="195"/>
        <v>9.2486805322024068</v>
      </c>
      <c r="T407" s="304">
        <f t="shared" ca="1" si="175"/>
        <v>90.729556020905619</v>
      </c>
      <c r="U407" s="311">
        <f t="shared" ca="1" si="176"/>
        <v>0</v>
      </c>
      <c r="V407" s="306">
        <f t="shared" ca="1" si="177"/>
        <v>1.1515351143868375</v>
      </c>
      <c r="W407" s="304">
        <f t="shared" ca="1" si="178"/>
        <v>221.06669380263452</v>
      </c>
      <c r="Y407" s="314" t="str">
        <f t="shared" ca="1" si="196"/>
        <v/>
      </c>
      <c r="Z407" s="315" t="str">
        <f t="shared" ca="1" si="197"/>
        <v/>
      </c>
      <c r="AA407" s="316" t="str">
        <f t="shared" ca="1" si="198"/>
        <v/>
      </c>
      <c r="AC407" s="310" t="e">
        <f t="shared" ca="1" si="199"/>
        <v>#N/A</v>
      </c>
      <c r="AD407" s="323" t="e">
        <f t="shared" ca="1" si="200"/>
        <v>#N/A</v>
      </c>
      <c r="AE407" s="324">
        <f t="shared" ca="1" si="179"/>
        <v>618.2520524811755</v>
      </c>
      <c r="AG407" s="306">
        <f t="shared" ca="1" si="201"/>
        <v>33.271325187718297</v>
      </c>
      <c r="AH407" s="304">
        <f t="shared" ca="1" si="202"/>
        <v>43.013683872332969</v>
      </c>
    </row>
    <row r="408" spans="1:34" x14ac:dyDescent="0.2">
      <c r="A408" s="347">
        <f t="shared" ca="1" si="180"/>
        <v>0.01</v>
      </c>
      <c r="B408" s="304">
        <f t="shared" ca="1" si="181"/>
        <v>4.0399999999999583</v>
      </c>
      <c r="D408" s="306">
        <f t="shared" ca="1" si="182"/>
        <v>5.0108851572634494</v>
      </c>
      <c r="E408" s="307">
        <f t="shared" ca="1" si="183"/>
        <v>32.623982487507369</v>
      </c>
      <c r="F408" s="304">
        <f t="shared" ca="1" si="184"/>
        <v>33.006563035318763</v>
      </c>
      <c r="G408" s="306">
        <f t="shared" ca="1" si="185"/>
        <v>31.651717418283919</v>
      </c>
      <c r="H408" s="307">
        <f t="shared" ca="1" si="186"/>
        <v>267.94005702702935</v>
      </c>
      <c r="I408" s="304">
        <f t="shared" ca="1" si="187"/>
        <v>269.80308629660749</v>
      </c>
      <c r="J408" s="306">
        <f t="shared" ca="1" si="188"/>
        <v>68.642163784945978</v>
      </c>
      <c r="K408" s="307">
        <f t="shared" ca="1" si="189"/>
        <v>620.92982185232142</v>
      </c>
      <c r="L408" s="304">
        <f t="shared" ca="1" si="174"/>
        <v>624.71240608349933</v>
      </c>
      <c r="M408" s="306">
        <f t="shared" ca="1" si="190"/>
        <v>1.4532114136558851</v>
      </c>
      <c r="N408" s="304">
        <f t="shared" ca="1" si="191"/>
        <v>83.26288074272226</v>
      </c>
      <c r="P408" s="310">
        <f t="shared" ca="1" si="192"/>
        <v>14</v>
      </c>
      <c r="Q408" s="304">
        <f t="shared" ca="1" si="193"/>
        <v>616.12000000000944</v>
      </c>
      <c r="R408" s="306">
        <f t="shared" ca="1" si="194"/>
        <v>0.30863438457343073</v>
      </c>
      <c r="S408" s="307">
        <f t="shared" ca="1" si="195"/>
        <v>9.245594188356673</v>
      </c>
      <c r="T408" s="304">
        <f t="shared" ca="1" si="175"/>
        <v>90.699278987778968</v>
      </c>
      <c r="U408" s="311">
        <f t="shared" ca="1" si="176"/>
        <v>0</v>
      </c>
      <c r="V408" s="306">
        <f t="shared" ca="1" si="177"/>
        <v>1.1512265049791273</v>
      </c>
      <c r="W408" s="304">
        <f t="shared" ca="1" si="178"/>
        <v>221.54885509000033</v>
      </c>
      <c r="Y408" s="314" t="str">
        <f t="shared" ca="1" si="196"/>
        <v/>
      </c>
      <c r="Z408" s="315" t="str">
        <f t="shared" ca="1" si="197"/>
        <v/>
      </c>
      <c r="AA408" s="316" t="str">
        <f t="shared" ca="1" si="198"/>
        <v/>
      </c>
      <c r="AC408" s="310" t="e">
        <f t="shared" ca="1" si="199"/>
        <v>#N/A</v>
      </c>
      <c r="AD408" s="323" t="e">
        <f t="shared" ca="1" si="200"/>
        <v>#N/A</v>
      </c>
      <c r="AE408" s="324">
        <f t="shared" ca="1" si="179"/>
        <v>620.92982185232142</v>
      </c>
      <c r="AG408" s="306">
        <f t="shared" ca="1" si="201"/>
        <v>32.986507843109415</v>
      </c>
      <c r="AH408" s="304">
        <f t="shared" ca="1" si="202"/>
        <v>42.72881743986563</v>
      </c>
    </row>
    <row r="409" spans="1:34" x14ac:dyDescent="0.2">
      <c r="A409" s="347">
        <f t="shared" ca="1" si="180"/>
        <v>0.01</v>
      </c>
      <c r="B409" s="304">
        <f t="shared" ca="1" si="181"/>
        <v>4.0499999999999581</v>
      </c>
      <c r="D409" s="306">
        <f t="shared" ca="1" si="182"/>
        <v>4.9793024525016198</v>
      </c>
      <c r="E409" s="307">
        <f t="shared" ca="1" si="183"/>
        <v>32.341096114216697</v>
      </c>
      <c r="F409" s="304">
        <f t="shared" ca="1" si="184"/>
        <v>32.722162990586227</v>
      </c>
      <c r="G409" s="306">
        <f t="shared" ca="1" si="185"/>
        <v>31.701510442808935</v>
      </c>
      <c r="H409" s="307">
        <f t="shared" ca="1" si="186"/>
        <v>268.2634679881715</v>
      </c>
      <c r="I409" s="304">
        <f t="shared" ca="1" si="187"/>
        <v>270.13010572943591</v>
      </c>
      <c r="J409" s="306">
        <f t="shared" ca="1" si="188"/>
        <v>68.958929924251436</v>
      </c>
      <c r="K409" s="307">
        <f t="shared" ca="1" si="189"/>
        <v>623.61083947739746</v>
      </c>
      <c r="L409" s="304">
        <f t="shared" ca="1" si="174"/>
        <v>627.41199632299208</v>
      </c>
      <c r="M409" s="306">
        <f t="shared" ca="1" si="190"/>
        <v>1.4531688100473588</v>
      </c>
      <c r="N409" s="304">
        <f t="shared" ca="1" si="191"/>
        <v>83.260439735761679</v>
      </c>
      <c r="P409" s="310">
        <f t="shared" ca="1" si="192"/>
        <v>14</v>
      </c>
      <c r="Q409" s="304">
        <f t="shared" ca="1" si="193"/>
        <v>613.84000000000947</v>
      </c>
      <c r="R409" s="306">
        <f t="shared" ca="1" si="194"/>
        <v>0.3074922590186242</v>
      </c>
      <c r="S409" s="307">
        <f t="shared" ca="1" si="195"/>
        <v>9.2425192657664876</v>
      </c>
      <c r="T409" s="304">
        <f t="shared" ca="1" si="175"/>
        <v>90.669113997169248</v>
      </c>
      <c r="U409" s="311">
        <f t="shared" ca="1" si="176"/>
        <v>0</v>
      </c>
      <c r="V409" s="306">
        <f t="shared" ca="1" si="177"/>
        <v>1.1509176014999738</v>
      </c>
      <c r="W409" s="304">
        <f t="shared" ca="1" si="178"/>
        <v>222.02665329389376</v>
      </c>
      <c r="Y409" s="314" t="str">
        <f t="shared" ca="1" si="196"/>
        <v/>
      </c>
      <c r="Z409" s="315" t="str">
        <f t="shared" ca="1" si="197"/>
        <v/>
      </c>
      <c r="AA409" s="316" t="str">
        <f t="shared" ca="1" si="198"/>
        <v/>
      </c>
      <c r="AC409" s="310" t="e">
        <f t="shared" ca="1" si="199"/>
        <v>#N/A</v>
      </c>
      <c r="AD409" s="323" t="e">
        <f t="shared" ca="1" si="200"/>
        <v>#N/A</v>
      </c>
      <c r="AE409" s="324">
        <f t="shared" ca="1" si="179"/>
        <v>623.61083947739746</v>
      </c>
      <c r="AG409" s="306">
        <f t="shared" ca="1" si="201"/>
        <v>32.701918767626601</v>
      </c>
      <c r="AH409" s="304">
        <f t="shared" ca="1" si="202"/>
        <v>42.444179301094074</v>
      </c>
    </row>
    <row r="410" spans="1:34" x14ac:dyDescent="0.2">
      <c r="A410" s="347">
        <f t="shared" ca="1" si="180"/>
        <v>0.01</v>
      </c>
      <c r="B410" s="304">
        <f t="shared" ca="1" si="181"/>
        <v>4.0599999999999579</v>
      </c>
      <c r="D410" s="306">
        <f t="shared" ca="1" si="182"/>
        <v>4.9477211834345018</v>
      </c>
      <c r="E410" s="307">
        <f t="shared" ca="1" si="183"/>
        <v>32.05844174826246</v>
      </c>
      <c r="F410" s="304">
        <f t="shared" ca="1" si="184"/>
        <v>32.437996735861233</v>
      </c>
      <c r="G410" s="306">
        <f t="shared" ca="1" si="185"/>
        <v>31.750987654643279</v>
      </c>
      <c r="H410" s="307">
        <f t="shared" ca="1" si="186"/>
        <v>268.58405240565412</v>
      </c>
      <c r="I410" s="304">
        <f t="shared" ca="1" si="187"/>
        <v>270.45428157766048</v>
      </c>
      <c r="J410" s="306">
        <f t="shared" ca="1" si="188"/>
        <v>69.276192414738702</v>
      </c>
      <c r="K410" s="307">
        <f t="shared" ca="1" si="189"/>
        <v>626.29507707936659</v>
      </c>
      <c r="L410" s="304">
        <f t="shared" ca="1" si="174"/>
        <v>630.11484223856655</v>
      </c>
      <c r="M410" s="306">
        <f t="shared" ca="1" si="190"/>
        <v>1.4531262421584252</v>
      </c>
      <c r="N410" s="304">
        <f t="shared" ca="1" si="191"/>
        <v>83.258000775382996</v>
      </c>
      <c r="P410" s="310">
        <f t="shared" ca="1" si="192"/>
        <v>14</v>
      </c>
      <c r="Q410" s="304">
        <f t="shared" ca="1" si="193"/>
        <v>611.5600000000095</v>
      </c>
      <c r="R410" s="306">
        <f t="shared" ca="1" si="194"/>
        <v>0.30635013346381768</v>
      </c>
      <c r="S410" s="307">
        <f t="shared" ca="1" si="195"/>
        <v>9.2394557644318489</v>
      </c>
      <c r="T410" s="304">
        <f t="shared" ca="1" si="175"/>
        <v>90.639061049076446</v>
      </c>
      <c r="U410" s="311">
        <f t="shared" ca="1" si="176"/>
        <v>0</v>
      </c>
      <c r="V410" s="306">
        <f t="shared" ca="1" si="177"/>
        <v>1.1506084074667609</v>
      </c>
      <c r="W410" s="304">
        <f t="shared" ca="1" si="178"/>
        <v>222.50007872530989</v>
      </c>
      <c r="Y410" s="314" t="str">
        <f t="shared" ca="1" si="196"/>
        <v/>
      </c>
      <c r="Z410" s="315" t="str">
        <f t="shared" ca="1" si="197"/>
        <v/>
      </c>
      <c r="AA410" s="316" t="str">
        <f t="shared" ca="1" si="198"/>
        <v/>
      </c>
      <c r="AC410" s="310" t="e">
        <f t="shared" ca="1" si="199"/>
        <v>#N/A</v>
      </c>
      <c r="AD410" s="323" t="e">
        <f t="shared" ca="1" si="200"/>
        <v>#N/A</v>
      </c>
      <c r="AE410" s="324">
        <f t="shared" ca="1" si="179"/>
        <v>626.29507707936659</v>
      </c>
      <c r="AG410" s="306">
        <f t="shared" ca="1" si="201"/>
        <v>32.417560318957754</v>
      </c>
      <c r="AH410" s="304">
        <f t="shared" ca="1" si="202"/>
        <v>42.159771813147351</v>
      </c>
    </row>
    <row r="411" spans="1:34" x14ac:dyDescent="0.2">
      <c r="A411" s="347">
        <f t="shared" ca="1" si="180"/>
        <v>0.01</v>
      </c>
      <c r="B411" s="304">
        <f t="shared" ca="1" si="181"/>
        <v>4.0699999999999577</v>
      </c>
      <c r="D411" s="306">
        <f t="shared" ca="1" si="182"/>
        <v>4.9161417059155568</v>
      </c>
      <c r="E411" s="307">
        <f t="shared" ca="1" si="183"/>
        <v>31.776021699143868</v>
      </c>
      <c r="F411" s="304">
        <f t="shared" ca="1" si="184"/>
        <v>32.154066683657675</v>
      </c>
      <c r="G411" s="306">
        <f t="shared" ca="1" si="185"/>
        <v>31.800149071702435</v>
      </c>
      <c r="H411" s="307">
        <f t="shared" ca="1" si="186"/>
        <v>268.90181262264554</v>
      </c>
      <c r="I411" s="304">
        <f t="shared" ca="1" si="187"/>
        <v>270.77561617089316</v>
      </c>
      <c r="J411" s="306">
        <f t="shared" ca="1" si="188"/>
        <v>69.593948098370433</v>
      </c>
      <c r="K411" s="307">
        <f t="shared" ca="1" si="189"/>
        <v>628.98250640450806</v>
      </c>
      <c r="L411" s="304">
        <f t="shared" ca="1" si="174"/>
        <v>632.82091540562692</v>
      </c>
      <c r="M411" s="306">
        <f t="shared" ca="1" si="190"/>
        <v>1.4530837094701945</v>
      </c>
      <c r="N411" s="304">
        <f t="shared" ca="1" si="191"/>
        <v>83.255563831856037</v>
      </c>
      <c r="P411" s="310">
        <f t="shared" ca="1" si="192"/>
        <v>14</v>
      </c>
      <c r="Q411" s="304">
        <f t="shared" ca="1" si="193"/>
        <v>609.28000000000952</v>
      </c>
      <c r="R411" s="306">
        <f t="shared" ca="1" si="194"/>
        <v>0.30520800790901115</v>
      </c>
      <c r="S411" s="307">
        <f t="shared" ca="1" si="195"/>
        <v>9.2364036843527586</v>
      </c>
      <c r="T411" s="304">
        <f t="shared" ca="1" si="175"/>
        <v>90.609120143500562</v>
      </c>
      <c r="U411" s="311">
        <f t="shared" ca="1" si="176"/>
        <v>0</v>
      </c>
      <c r="V411" s="306">
        <f t="shared" ca="1" si="177"/>
        <v>1.1502989263909349</v>
      </c>
      <c r="W411" s="304">
        <f t="shared" ca="1" si="178"/>
        <v>222.96912192516001</v>
      </c>
      <c r="Y411" s="314" t="str">
        <f t="shared" ca="1" si="196"/>
        <v/>
      </c>
      <c r="Z411" s="315" t="str">
        <f t="shared" ca="1" si="197"/>
        <v/>
      </c>
      <c r="AA411" s="316" t="str">
        <f t="shared" ca="1" si="198"/>
        <v/>
      </c>
      <c r="AC411" s="310" t="e">
        <f t="shared" ca="1" si="199"/>
        <v>#N/A</v>
      </c>
      <c r="AD411" s="323" t="e">
        <f t="shared" ca="1" si="200"/>
        <v>#N/A</v>
      </c>
      <c r="AE411" s="324">
        <f t="shared" ca="1" si="179"/>
        <v>628.98250640450806</v>
      </c>
      <c r="AG411" s="306">
        <f t="shared" ca="1" si="201"/>
        <v>32.13343483121588</v>
      </c>
      <c r="AH411" s="304">
        <f t="shared" ca="1" si="202"/>
        <v>41.875597309582432</v>
      </c>
    </row>
    <row r="412" spans="1:34" x14ac:dyDescent="0.2">
      <c r="A412" s="347">
        <f t="shared" ca="1" si="180"/>
        <v>0.01</v>
      </c>
      <c r="B412" s="304">
        <f t="shared" ca="1" si="181"/>
        <v>4.0799999999999574</v>
      </c>
      <c r="D412" s="306">
        <f t="shared" ca="1" si="182"/>
        <v>4.8845643726568966</v>
      </c>
      <c r="E412" s="307">
        <f t="shared" ca="1" si="183"/>
        <v>31.493838253017259</v>
      </c>
      <c r="F412" s="304">
        <f t="shared" ca="1" si="184"/>
        <v>31.870375225557705</v>
      </c>
      <c r="G412" s="306">
        <f t="shared" ca="1" si="185"/>
        <v>31.848994715429004</v>
      </c>
      <c r="H412" s="307">
        <f t="shared" ca="1" si="186"/>
        <v>269.21675100517569</v>
      </c>
      <c r="I412" s="304">
        <f t="shared" ca="1" si="187"/>
        <v>271.09411186185173</v>
      </c>
      <c r="J412" s="306">
        <f t="shared" ca="1" si="188"/>
        <v>69.91219381730609</v>
      </c>
      <c r="K412" s="307">
        <f t="shared" ca="1" si="189"/>
        <v>631.67309922264712</v>
      </c>
      <c r="L412" s="304">
        <f t="shared" ca="1" si="174"/>
        <v>635.53018742298366</v>
      </c>
      <c r="M412" s="306">
        <f t="shared" ca="1" si="190"/>
        <v>1.4530412114669102</v>
      </c>
      <c r="N412" s="304">
        <f t="shared" ca="1" si="191"/>
        <v>83.253128875630111</v>
      </c>
      <c r="P412" s="310">
        <f t="shared" ca="1" si="192"/>
        <v>14</v>
      </c>
      <c r="Q412" s="304">
        <f t="shared" ca="1" si="193"/>
        <v>607.00000000000955</v>
      </c>
      <c r="R412" s="306">
        <f t="shared" ca="1" si="194"/>
        <v>0.30406588235420456</v>
      </c>
      <c r="S412" s="307">
        <f t="shared" ca="1" si="195"/>
        <v>9.2333630255292167</v>
      </c>
      <c r="T412" s="304">
        <f t="shared" ca="1" si="175"/>
        <v>90.579291280441623</v>
      </c>
      <c r="U412" s="311">
        <f t="shared" ca="1" si="176"/>
        <v>0</v>
      </c>
      <c r="V412" s="306">
        <f t="shared" ca="1" si="177"/>
        <v>1.1499891617779754</v>
      </c>
      <c r="W412" s="304">
        <f t="shared" ca="1" si="178"/>
        <v>223.43377366332695</v>
      </c>
      <c r="Y412" s="314" t="str">
        <f t="shared" ca="1" si="196"/>
        <v/>
      </c>
      <c r="Z412" s="315" t="str">
        <f t="shared" ca="1" si="197"/>
        <v/>
      </c>
      <c r="AA412" s="316" t="str">
        <f t="shared" ca="1" si="198"/>
        <v/>
      </c>
      <c r="AC412" s="310" t="e">
        <f t="shared" ca="1" si="199"/>
        <v>#N/A</v>
      </c>
      <c r="AD412" s="323" t="e">
        <f t="shared" ca="1" si="200"/>
        <v>#N/A</v>
      </c>
      <c r="AE412" s="324">
        <f t="shared" ca="1" si="179"/>
        <v>631.67309922264712</v>
      </c>
      <c r="AG412" s="306">
        <f t="shared" ca="1" si="201"/>
        <v>31.84954461497264</v>
      </c>
      <c r="AH412" s="304">
        <f t="shared" ca="1" si="202"/>
        <v>41.591658100417696</v>
      </c>
    </row>
    <row r="413" spans="1:34" x14ac:dyDescent="0.2">
      <c r="A413" s="347">
        <f t="shared" ca="1" si="180"/>
        <v>0.01</v>
      </c>
      <c r="B413" s="304">
        <f t="shared" ca="1" si="181"/>
        <v>4.0899999999999572</v>
      </c>
      <c r="D413" s="306">
        <f t="shared" ca="1" si="182"/>
        <v>4.852989533235152</v>
      </c>
      <c r="E413" s="307">
        <f t="shared" ca="1" si="183"/>
        <v>31.211893672730731</v>
      </c>
      <c r="F413" s="304">
        <f t="shared" ca="1" si="184"/>
        <v>31.586924732356245</v>
      </c>
      <c r="G413" s="306">
        <f t="shared" ca="1" si="185"/>
        <v>31.897524610761355</v>
      </c>
      <c r="H413" s="307">
        <f t="shared" ca="1" si="186"/>
        <v>269.528869941903</v>
      </c>
      <c r="I413" s="304">
        <f t="shared" ca="1" si="187"/>
        <v>271.40977102612459</v>
      </c>
      <c r="J413" s="306">
        <f t="shared" ca="1" si="188"/>
        <v>70.230926413937041</v>
      </c>
      <c r="K413" s="307">
        <f t="shared" ca="1" si="189"/>
        <v>634.36682732738257</v>
      </c>
      <c r="L413" s="304">
        <f t="shared" ca="1" si="174"/>
        <v>638.24262991308331</v>
      </c>
      <c r="M413" s="306">
        <f t="shared" ca="1" si="190"/>
        <v>1.4529987476359068</v>
      </c>
      <c r="N413" s="304">
        <f t="shared" ca="1" si="191"/>
        <v>83.250695877331651</v>
      </c>
      <c r="P413" s="310">
        <f t="shared" ca="1" si="192"/>
        <v>14</v>
      </c>
      <c r="Q413" s="304">
        <f t="shared" ca="1" si="193"/>
        <v>604.72000000000958</v>
      </c>
      <c r="R413" s="306">
        <f t="shared" ca="1" si="194"/>
        <v>0.30292375679939804</v>
      </c>
      <c r="S413" s="307">
        <f t="shared" ca="1" si="195"/>
        <v>9.2303337879612233</v>
      </c>
      <c r="T413" s="304">
        <f t="shared" ca="1" si="175"/>
        <v>90.549574459899603</v>
      </c>
      <c r="U413" s="311">
        <f t="shared" ca="1" si="176"/>
        <v>0</v>
      </c>
      <c r="V413" s="306">
        <f t="shared" ca="1" si="177"/>
        <v>1.1496791171273661</v>
      </c>
      <c r="W413" s="304">
        <f t="shared" ca="1" si="178"/>
        <v>223.89402493771129</v>
      </c>
      <c r="Y413" s="314" t="str">
        <f t="shared" ca="1" si="196"/>
        <v/>
      </c>
      <c r="Z413" s="315" t="str">
        <f t="shared" ca="1" si="197"/>
        <v/>
      </c>
      <c r="AA413" s="316" t="str">
        <f t="shared" ca="1" si="198"/>
        <v/>
      </c>
      <c r="AC413" s="310" t="e">
        <f t="shared" ca="1" si="199"/>
        <v>#N/A</v>
      </c>
      <c r="AD413" s="323" t="e">
        <f t="shared" ca="1" si="200"/>
        <v>#N/A</v>
      </c>
      <c r="AE413" s="324">
        <f t="shared" ca="1" si="179"/>
        <v>634.36682732738257</v>
      </c>
      <c r="AG413" s="306">
        <f t="shared" ca="1" si="201"/>
        <v>31.565891957293339</v>
      </c>
      <c r="AH413" s="304">
        <f t="shared" ca="1" si="202"/>
        <v>41.307956472167874</v>
      </c>
    </row>
    <row r="414" spans="1:34" x14ac:dyDescent="0.2">
      <c r="A414" s="347">
        <f t="shared" ca="1" si="180"/>
        <v>0.01</v>
      </c>
      <c r="B414" s="304">
        <f t="shared" ca="1" si="181"/>
        <v>4.099999999999957</v>
      </c>
      <c r="D414" s="306">
        <f t="shared" ca="1" si="182"/>
        <v>4.8214175340973719</v>
      </c>
      <c r="E414" s="307">
        <f t="shared" ca="1" si="183"/>
        <v>30.930190197860121</v>
      </c>
      <c r="F414" s="304">
        <f t="shared" ca="1" si="184"/>
        <v>31.303717554212373</v>
      </c>
      <c r="G414" s="306">
        <f t="shared" ca="1" si="185"/>
        <v>31.945738786102329</v>
      </c>
      <c r="H414" s="307">
        <f t="shared" ca="1" si="186"/>
        <v>269.83817184388158</v>
      </c>
      <c r="I414" s="304">
        <f t="shared" ca="1" si="187"/>
        <v>271.72259606193603</v>
      </c>
      <c r="J414" s="306">
        <f t="shared" ca="1" si="188"/>
        <v>70.550142730921365</v>
      </c>
      <c r="K414" s="307">
        <f t="shared" ca="1" si="189"/>
        <v>637.06366253631154</v>
      </c>
      <c r="L414" s="304">
        <f t="shared" ca="1" si="174"/>
        <v>640.95821452223606</v>
      </c>
      <c r="M414" s="306">
        <f t="shared" ca="1" si="190"/>
        <v>1.4529563174675657</v>
      </c>
      <c r="N414" s="304">
        <f t="shared" ca="1" si="191"/>
        <v>83.248264807761686</v>
      </c>
      <c r="P414" s="310">
        <f t="shared" ca="1" si="192"/>
        <v>14</v>
      </c>
      <c r="Q414" s="304">
        <f t="shared" ca="1" si="193"/>
        <v>602.4400000000096</v>
      </c>
      <c r="R414" s="306">
        <f t="shared" ca="1" si="194"/>
        <v>0.30178163124459151</v>
      </c>
      <c r="S414" s="307">
        <f t="shared" ca="1" si="195"/>
        <v>9.2273159716487765</v>
      </c>
      <c r="T414" s="304">
        <f t="shared" ca="1" si="175"/>
        <v>90.5199696818745</v>
      </c>
      <c r="U414" s="311">
        <f t="shared" ca="1" si="176"/>
        <v>0</v>
      </c>
      <c r="V414" s="306">
        <f t="shared" ca="1" si="177"/>
        <v>1.1493687959325636</v>
      </c>
      <c r="W414" s="304">
        <f t="shared" ca="1" si="178"/>
        <v>224.34986697326951</v>
      </c>
      <c r="Y414" s="314" t="str">
        <f t="shared" ca="1" si="196"/>
        <v/>
      </c>
      <c r="Z414" s="315" t="str">
        <f t="shared" ca="1" si="197"/>
        <v/>
      </c>
      <c r="AA414" s="316" t="str">
        <f t="shared" ca="1" si="198"/>
        <v/>
      </c>
      <c r="AC414" s="310" t="e">
        <f t="shared" ca="1" si="199"/>
        <v>#N/A</v>
      </c>
      <c r="AD414" s="323" t="e">
        <f t="shared" ca="1" si="200"/>
        <v>#N/A</v>
      </c>
      <c r="AE414" s="324">
        <f t="shared" ca="1" si="179"/>
        <v>637.06366253631154</v>
      </c>
      <c r="AG414" s="306">
        <f t="shared" ca="1" si="201"/>
        <v>31.282479121773211</v>
      </c>
      <c r="AH414" s="304">
        <f t="shared" ca="1" si="202"/>
        <v>41.024494687880306</v>
      </c>
    </row>
    <row r="415" spans="1:34" x14ac:dyDescent="0.2">
      <c r="A415" s="347">
        <f t="shared" ca="1" si="180"/>
        <v>0.01</v>
      </c>
      <c r="B415" s="304">
        <f t="shared" ca="1" si="181"/>
        <v>4.1099999999999568</v>
      </c>
      <c r="D415" s="306">
        <f t="shared" ca="1" si="182"/>
        <v>4.7582762230327305</v>
      </c>
      <c r="E415" s="307">
        <f t="shared" ca="1" si="183"/>
        <v>30.382044571213292</v>
      </c>
      <c r="F415" s="304">
        <f t="shared" ca="1" si="184"/>
        <v>30.752395434207553</v>
      </c>
      <c r="G415" s="306">
        <f t="shared" ca="1" si="185"/>
        <v>31.993321548332656</v>
      </c>
      <c r="H415" s="307">
        <f t="shared" ca="1" si="186"/>
        <v>270.1419922895937</v>
      </c>
      <c r="I415" s="304">
        <f t="shared" ca="1" si="187"/>
        <v>272.0299039111066</v>
      </c>
      <c r="J415" s="306">
        <f t="shared" ca="1" si="188"/>
        <v>70.869838032593535</v>
      </c>
      <c r="K415" s="307">
        <f t="shared" ca="1" si="189"/>
        <v>639.76356335697892</v>
      </c>
      <c r="L415" s="304">
        <f t="shared" ca="1" si="174"/>
        <v>643.67689949382611</v>
      </c>
      <c r="M415" s="306">
        <f t="shared" ca="1" si="190"/>
        <v>1.4529139200367305</v>
      </c>
      <c r="N415" s="304">
        <f t="shared" ca="1" si="191"/>
        <v>83.245835613912632</v>
      </c>
      <c r="P415" s="310">
        <f t="shared" ca="1" si="192"/>
        <v>15</v>
      </c>
      <c r="Q415" s="304">
        <f t="shared" ca="1" si="193"/>
        <v>597.6833333333642</v>
      </c>
      <c r="R415" s="306">
        <f t="shared" ca="1" si="194"/>
        <v>0.299398863457016</v>
      </c>
      <c r="S415" s="307">
        <f t="shared" ca="1" si="195"/>
        <v>9.2243219830142067</v>
      </c>
      <c r="T415" s="304">
        <f t="shared" ca="1" si="175"/>
        <v>90.490598653369375</v>
      </c>
      <c r="U415" s="311">
        <f t="shared" ca="1" si="176"/>
        <v>0</v>
      </c>
      <c r="V415" s="306">
        <f t="shared" ca="1" si="177"/>
        <v>1.1490582032147239</v>
      </c>
      <c r="W415" s="304">
        <f t="shared" ca="1" si="178"/>
        <v>224.79685311080374</v>
      </c>
      <c r="Y415" s="314" t="str">
        <f t="shared" ca="1" si="196"/>
        <v/>
      </c>
      <c r="Z415" s="315" t="str">
        <f t="shared" ca="1" si="197"/>
        <v/>
      </c>
      <c r="AA415" s="316" t="str">
        <f t="shared" ca="1" si="198"/>
        <v/>
      </c>
      <c r="AC415" s="310" t="e">
        <f t="shared" ca="1" si="199"/>
        <v>#N/A</v>
      </c>
      <c r="AD415" s="323" t="e">
        <f t="shared" ca="1" si="200"/>
        <v>#N/A</v>
      </c>
      <c r="AE415" s="324">
        <f t="shared" ca="1" si="179"/>
        <v>639.76356335697892</v>
      </c>
      <c r="AG415" s="306">
        <f t="shared" ca="1" si="201"/>
        <v>30.7307604678019</v>
      </c>
      <c r="AH415" s="304">
        <f t="shared" ca="1" si="202"/>
        <v>40.472727106399375</v>
      </c>
    </row>
    <row r="416" spans="1:34" x14ac:dyDescent="0.2">
      <c r="A416" s="347">
        <f t="shared" ca="1" si="180"/>
        <v>0.01</v>
      </c>
      <c r="B416" s="304">
        <f t="shared" ca="1" si="181"/>
        <v>4.1199999999999566</v>
      </c>
      <c r="D416" s="306">
        <f t="shared" ca="1" si="182"/>
        <v>4.6635519816111541</v>
      </c>
      <c r="E416" s="307">
        <f t="shared" ca="1" si="183"/>
        <v>29.567631408332993</v>
      </c>
      <c r="F416" s="304">
        <f t="shared" ca="1" si="184"/>
        <v>29.933151257163502</v>
      </c>
      <c r="G416" s="306">
        <f t="shared" ca="1" si="185"/>
        <v>32.039957068148766</v>
      </c>
      <c r="H416" s="307">
        <f t="shared" ca="1" si="186"/>
        <v>270.43766860367703</v>
      </c>
      <c r="I416" s="304">
        <f t="shared" ca="1" si="187"/>
        <v>272.32901323348023</v>
      </c>
      <c r="J416" s="306">
        <f t="shared" ca="1" si="188"/>
        <v>71.190004425675937</v>
      </c>
      <c r="K416" s="307">
        <f t="shared" ca="1" si="189"/>
        <v>642.46646166144524</v>
      </c>
      <c r="L416" s="304">
        <f t="shared" ca="1" si="174"/>
        <v>646.39861624999241</v>
      </c>
      <c r="M416" s="306">
        <f t="shared" ca="1" si="190"/>
        <v>1.4528715540059047</v>
      </c>
      <c r="N416" s="304">
        <f t="shared" ca="1" si="191"/>
        <v>83.24340821915159</v>
      </c>
      <c r="P416" s="310">
        <f t="shared" ca="1" si="192"/>
        <v>15</v>
      </c>
      <c r="Q416" s="304">
        <f t="shared" ca="1" si="193"/>
        <v>590.45000000003108</v>
      </c>
      <c r="R416" s="306">
        <f t="shared" ca="1" si="194"/>
        <v>0.29577545343665029</v>
      </c>
      <c r="S416" s="307">
        <f t="shared" ca="1" si="195"/>
        <v>9.2213642284798407</v>
      </c>
      <c r="T416" s="304">
        <f t="shared" ca="1" si="175"/>
        <v>90.461583081387246</v>
      </c>
      <c r="U416" s="311">
        <f t="shared" ca="1" si="176"/>
        <v>0</v>
      </c>
      <c r="V416" s="306">
        <f t="shared" ca="1" si="177"/>
        <v>1.1487473470530298</v>
      </c>
      <c r="W416" s="304">
        <f t="shared" ca="1" si="178"/>
        <v>225.23052534951782</v>
      </c>
      <c r="Y416" s="314" t="str">
        <f t="shared" ca="1" si="196"/>
        <v/>
      </c>
      <c r="Z416" s="315" t="str">
        <f t="shared" ca="1" si="197"/>
        <v/>
      </c>
      <c r="AA416" s="316" t="str">
        <f t="shared" ca="1" si="198"/>
        <v/>
      </c>
      <c r="AC416" s="310" t="e">
        <f t="shared" ca="1" si="199"/>
        <v>#N/A</v>
      </c>
      <c r="AD416" s="323" t="e">
        <f t="shared" ca="1" si="200"/>
        <v>#N/A</v>
      </c>
      <c r="AE416" s="324">
        <f t="shared" ca="1" si="179"/>
        <v>642.46646166144524</v>
      </c>
      <c r="AG416" s="306">
        <f t="shared" ca="1" si="201"/>
        <v>29.910907797458073</v>
      </c>
      <c r="AH416" s="304">
        <f t="shared" ca="1" si="202"/>
        <v>39.65282552877818</v>
      </c>
    </row>
    <row r="417" spans="1:34" x14ac:dyDescent="0.2">
      <c r="A417" s="347">
        <f t="shared" ca="1" si="180"/>
        <v>0.01</v>
      </c>
      <c r="B417" s="304">
        <f t="shared" ca="1" si="181"/>
        <v>4.1299999999999564</v>
      </c>
      <c r="D417" s="306">
        <f t="shared" ca="1" si="182"/>
        <v>4.5688475419278047</v>
      </c>
      <c r="E417" s="307">
        <f t="shared" ca="1" si="183"/>
        <v>28.753986675029211</v>
      </c>
      <c r="F417" s="304">
        <f t="shared" ca="1" si="184"/>
        <v>29.114706207845153</v>
      </c>
      <c r="G417" s="306">
        <f t="shared" ca="1" si="185"/>
        <v>32.085645543568042</v>
      </c>
      <c r="H417" s="307">
        <f t="shared" ca="1" si="186"/>
        <v>270.72520847042733</v>
      </c>
      <c r="I417" s="304">
        <f t="shared" ca="1" si="187"/>
        <v>272.61993168384407</v>
      </c>
      <c r="J417" s="306">
        <f t="shared" ca="1" si="188"/>
        <v>71.510632438734518</v>
      </c>
      <c r="K417" s="307">
        <f t="shared" ca="1" si="189"/>
        <v>645.1722760468158</v>
      </c>
      <c r="L417" s="304">
        <f t="shared" ca="1" si="174"/>
        <v>649.12328284480486</v>
      </c>
      <c r="M417" s="306">
        <f t="shared" ca="1" si="190"/>
        <v>1.452829218045538</v>
      </c>
      <c r="N417" s="304">
        <f t="shared" ca="1" si="191"/>
        <v>83.240982547300945</v>
      </c>
      <c r="P417" s="310">
        <f t="shared" ca="1" si="192"/>
        <v>15</v>
      </c>
      <c r="Q417" s="304">
        <f t="shared" ca="1" si="193"/>
        <v>583.21666666669807</v>
      </c>
      <c r="R417" s="306">
        <f t="shared" ca="1" si="194"/>
        <v>0.29215204341628465</v>
      </c>
      <c r="S417" s="307">
        <f t="shared" ca="1" si="195"/>
        <v>9.2184427080456786</v>
      </c>
      <c r="T417" s="304">
        <f t="shared" ca="1" si="175"/>
        <v>90.432922965928114</v>
      </c>
      <c r="U417" s="311">
        <f t="shared" ca="1" si="176"/>
        <v>0</v>
      </c>
      <c r="V417" s="306">
        <f t="shared" ca="1" si="177"/>
        <v>1.1484362370446943</v>
      </c>
      <c r="W417" s="304">
        <f t="shared" ca="1" si="178"/>
        <v>225.65086377818184</v>
      </c>
      <c r="Y417" s="314" t="str">
        <f t="shared" ca="1" si="196"/>
        <v/>
      </c>
      <c r="Z417" s="315" t="str">
        <f t="shared" ca="1" si="197"/>
        <v/>
      </c>
      <c r="AA417" s="316" t="str">
        <f t="shared" ca="1" si="198"/>
        <v/>
      </c>
      <c r="AC417" s="310" t="e">
        <f t="shared" ca="1" si="199"/>
        <v>#N/A</v>
      </c>
      <c r="AD417" s="323" t="e">
        <f t="shared" ca="1" si="200"/>
        <v>#N/A</v>
      </c>
      <c r="AE417" s="324">
        <f t="shared" ca="1" si="179"/>
        <v>645.1722760468158</v>
      </c>
      <c r="AG417" s="306">
        <f t="shared" ca="1" si="201"/>
        <v>29.091820605092906</v>
      </c>
      <c r="AH417" s="304">
        <f t="shared" ca="1" si="202"/>
        <v>38.833689447864856</v>
      </c>
    </row>
    <row r="418" spans="1:34" x14ac:dyDescent="0.2">
      <c r="A418" s="347">
        <f t="shared" ca="1" si="180"/>
        <v>0.01</v>
      </c>
      <c r="B418" s="304">
        <f t="shared" ca="1" si="181"/>
        <v>4.1399999999999562</v>
      </c>
      <c r="D418" s="306">
        <f t="shared" ca="1" si="182"/>
        <v>4.4741646051014277</v>
      </c>
      <c r="E418" s="307">
        <f t="shared" ca="1" si="183"/>
        <v>27.941122812921044</v>
      </c>
      <c r="F418" s="304">
        <f t="shared" ca="1" si="184"/>
        <v>28.29707569626726</v>
      </c>
      <c r="G418" s="306">
        <f t="shared" ca="1" si="185"/>
        <v>32.130387189619057</v>
      </c>
      <c r="H418" s="307">
        <f t="shared" ca="1" si="186"/>
        <v>271.00461969855655</v>
      </c>
      <c r="I418" s="304">
        <f t="shared" ca="1" si="187"/>
        <v>272.9026670425082</v>
      </c>
      <c r="J418" s="306">
        <f t="shared" ca="1" si="188"/>
        <v>71.831712602400458</v>
      </c>
      <c r="K418" s="307">
        <f t="shared" ca="1" si="189"/>
        <v>647.88092518766075</v>
      </c>
      <c r="L418" s="304">
        <f t="shared" ca="1" si="174"/>
        <v>651.85081740948453</v>
      </c>
      <c r="M418" s="306">
        <f t="shared" ca="1" si="190"/>
        <v>1.4527869108337712</v>
      </c>
      <c r="N418" s="304">
        <f t="shared" ca="1" si="191"/>
        <v>83.238558522623748</v>
      </c>
      <c r="P418" s="310">
        <f t="shared" ca="1" si="192"/>
        <v>15</v>
      </c>
      <c r="Q418" s="304">
        <f t="shared" ca="1" si="193"/>
        <v>575.98333333336495</v>
      </c>
      <c r="R418" s="306">
        <f t="shared" ca="1" si="194"/>
        <v>0.28852863339591894</v>
      </c>
      <c r="S418" s="307">
        <f t="shared" ca="1" si="195"/>
        <v>9.2155574217117202</v>
      </c>
      <c r="T418" s="304">
        <f t="shared" ca="1" si="175"/>
        <v>90.404618306991978</v>
      </c>
      <c r="U418" s="311">
        <f t="shared" ca="1" si="176"/>
        <v>0</v>
      </c>
      <c r="V418" s="306">
        <f t="shared" ca="1" si="177"/>
        <v>1.1481248827683106</v>
      </c>
      <c r="W418" s="304">
        <f t="shared" ca="1" si="178"/>
        <v>226.05785003476379</v>
      </c>
      <c r="Y418" s="314" t="str">
        <f t="shared" ca="1" si="196"/>
        <v/>
      </c>
      <c r="Z418" s="315" t="str">
        <f t="shared" ca="1" si="197"/>
        <v/>
      </c>
      <c r="AA418" s="316" t="str">
        <f t="shared" ca="1" si="198"/>
        <v/>
      </c>
      <c r="AC418" s="310" t="e">
        <f t="shared" ca="1" si="199"/>
        <v>#N/A</v>
      </c>
      <c r="AD418" s="323" t="e">
        <f t="shared" ca="1" si="200"/>
        <v>#N/A</v>
      </c>
      <c r="AE418" s="324">
        <f t="shared" ca="1" si="179"/>
        <v>647.88092518766075</v>
      </c>
      <c r="AG418" s="306">
        <f t="shared" ca="1" si="201"/>
        <v>28.273511442984159</v>
      </c>
      <c r="AH418" s="304">
        <f t="shared" ca="1" si="202"/>
        <v>38.015331414441071</v>
      </c>
    </row>
    <row r="419" spans="1:34" x14ac:dyDescent="0.2">
      <c r="A419" s="347">
        <f t="shared" ca="1" si="180"/>
        <v>0.01</v>
      </c>
      <c r="B419" s="304">
        <f t="shared" ca="1" si="181"/>
        <v>4.1499999999999559</v>
      </c>
      <c r="D419" s="306">
        <f t="shared" ca="1" si="182"/>
        <v>4.3795048495141833</v>
      </c>
      <c r="E419" s="307">
        <f t="shared" ca="1" si="183"/>
        <v>27.129052094399796</v>
      </c>
      <c r="F419" s="304">
        <f t="shared" ca="1" si="184"/>
        <v>27.480275294610426</v>
      </c>
      <c r="G419" s="306">
        <f t="shared" ca="1" si="185"/>
        <v>32.174182238114199</v>
      </c>
      <c r="H419" s="307">
        <f t="shared" ca="1" si="186"/>
        <v>271.27591021950053</v>
      </c>
      <c r="I419" s="304">
        <f t="shared" ca="1" si="187"/>
        <v>273.17722721359826</v>
      </c>
      <c r="J419" s="306">
        <f t="shared" ca="1" si="188"/>
        <v>72.153235449539125</v>
      </c>
      <c r="K419" s="307">
        <f t="shared" ca="1" si="189"/>
        <v>650.59232783725099</v>
      </c>
      <c r="L419" s="304">
        <f t="shared" ca="1" si="174"/>
        <v>654.58113815365141</v>
      </c>
      <c r="M419" s="306">
        <f t="shared" ca="1" si="190"/>
        <v>1.4527446310561845</v>
      </c>
      <c r="N419" s="304">
        <f t="shared" ca="1" si="191"/>
        <v>83.236136069809277</v>
      </c>
      <c r="P419" s="310">
        <f t="shared" ca="1" si="192"/>
        <v>15</v>
      </c>
      <c r="Q419" s="304">
        <f t="shared" ca="1" si="193"/>
        <v>568.75000000003183</v>
      </c>
      <c r="R419" s="306">
        <f t="shared" ca="1" si="194"/>
        <v>0.28490522337555324</v>
      </c>
      <c r="S419" s="307">
        <f t="shared" ca="1" si="195"/>
        <v>9.2127083694779639</v>
      </c>
      <c r="T419" s="304">
        <f t="shared" ca="1" si="175"/>
        <v>90.376669104578824</v>
      </c>
      <c r="U419" s="311">
        <f t="shared" ca="1" si="176"/>
        <v>0</v>
      </c>
      <c r="V419" s="306">
        <f t="shared" ca="1" si="177"/>
        <v>1.1478132937837044</v>
      </c>
      <c r="W419" s="304">
        <f t="shared" ca="1" si="178"/>
        <v>226.45146729774044</v>
      </c>
      <c r="Y419" s="314" t="str">
        <f t="shared" ca="1" si="196"/>
        <v/>
      </c>
      <c r="Z419" s="315" t="str">
        <f t="shared" ca="1" si="197"/>
        <v/>
      </c>
      <c r="AA419" s="316" t="str">
        <f t="shared" ca="1" si="198"/>
        <v/>
      </c>
      <c r="AC419" s="310" t="e">
        <f t="shared" ca="1" si="199"/>
        <v>#N/A</v>
      </c>
      <c r="AD419" s="323" t="e">
        <f t="shared" ca="1" si="200"/>
        <v>#N/A</v>
      </c>
      <c r="AE419" s="324">
        <f t="shared" ca="1" si="179"/>
        <v>650.59232783725099</v>
      </c>
      <c r="AG419" s="306">
        <f t="shared" ca="1" si="201"/>
        <v>27.455992692705145</v>
      </c>
      <c r="AH419" s="304">
        <f t="shared" ca="1" si="202"/>
        <v>37.1977638085907</v>
      </c>
    </row>
    <row r="420" spans="1:34" x14ac:dyDescent="0.2">
      <c r="A420" s="347">
        <f t="shared" ca="1" si="180"/>
        <v>0.01</v>
      </c>
      <c r="B420" s="304">
        <f t="shared" ca="1" si="181"/>
        <v>4.1599999999999557</v>
      </c>
      <c r="D420" s="306">
        <f t="shared" ca="1" si="182"/>
        <v>4.2848699308451668</v>
      </c>
      <c r="E420" s="307">
        <f t="shared" ca="1" si="183"/>
        <v>26.317786622816101</v>
      </c>
      <c r="F420" s="304">
        <f t="shared" ca="1" si="184"/>
        <v>26.66432078730563</v>
      </c>
      <c r="G420" s="306">
        <f t="shared" ca="1" si="185"/>
        <v>32.217030937422649</v>
      </c>
      <c r="H420" s="307">
        <f t="shared" ca="1" si="186"/>
        <v>271.53908808572868</v>
      </c>
      <c r="I420" s="304">
        <f t="shared" ca="1" si="187"/>
        <v>273.44362022335059</v>
      </c>
      <c r="J420" s="306">
        <f t="shared" ca="1" si="188"/>
        <v>72.47519151541681</v>
      </c>
      <c r="K420" s="307">
        <f t="shared" ca="1" si="189"/>
        <v>653.3064028287771</v>
      </c>
      <c r="L420" s="304">
        <f t="shared" ca="1" si="174"/>
        <v>657.31416336655388</v>
      </c>
      <c r="M420" s="306">
        <f t="shared" ca="1" si="190"/>
        <v>1.4527023774055499</v>
      </c>
      <c r="N420" s="304">
        <f t="shared" ca="1" si="191"/>
        <v>83.233715113958894</v>
      </c>
      <c r="P420" s="310">
        <f t="shared" ca="1" si="192"/>
        <v>15</v>
      </c>
      <c r="Q420" s="304">
        <f t="shared" ca="1" si="193"/>
        <v>561.51666666669871</v>
      </c>
      <c r="R420" s="306">
        <f t="shared" ca="1" si="194"/>
        <v>0.28128181335518754</v>
      </c>
      <c r="S420" s="307">
        <f t="shared" ca="1" si="195"/>
        <v>9.2098955513444114</v>
      </c>
      <c r="T420" s="304">
        <f t="shared" ca="1" si="175"/>
        <v>90.34907535868868</v>
      </c>
      <c r="U420" s="311">
        <f t="shared" ca="1" si="176"/>
        <v>0</v>
      </c>
      <c r="V420" s="306">
        <f t="shared" ca="1" si="177"/>
        <v>1.1475014796317904</v>
      </c>
      <c r="W420" s="304">
        <f t="shared" ca="1" si="178"/>
        <v>226.83170027730992</v>
      </c>
      <c r="Y420" s="314" t="str">
        <f t="shared" ca="1" si="196"/>
        <v/>
      </c>
      <c r="Z420" s="315" t="str">
        <f t="shared" ca="1" si="197"/>
        <v/>
      </c>
      <c r="AA420" s="316" t="str">
        <f t="shared" ca="1" si="198"/>
        <v/>
      </c>
      <c r="AC420" s="310" t="e">
        <f t="shared" ca="1" si="199"/>
        <v>#N/A</v>
      </c>
      <c r="AD420" s="323" t="e">
        <f t="shared" ca="1" si="200"/>
        <v>#N/A</v>
      </c>
      <c r="AE420" s="324">
        <f t="shared" ca="1" si="179"/>
        <v>653.3064028287771</v>
      </c>
      <c r="AG420" s="306">
        <f t="shared" ca="1" si="201"/>
        <v>26.639276565313985</v>
      </c>
      <c r="AH420" s="304">
        <f t="shared" ca="1" si="202"/>
        <v>36.380998839888818</v>
      </c>
    </row>
    <row r="421" spans="1:34" x14ac:dyDescent="0.2">
      <c r="A421" s="347">
        <f t="shared" ca="1" si="180"/>
        <v>0.01</v>
      </c>
      <c r="B421" s="304">
        <f t="shared" ca="1" si="181"/>
        <v>4.1699999999999555</v>
      </c>
      <c r="D421" s="306">
        <f t="shared" ca="1" si="182"/>
        <v>4.1902614821053508</v>
      </c>
      <c r="E421" s="307">
        <f t="shared" ca="1" si="183"/>
        <v>25.507338332688249</v>
      </c>
      <c r="F421" s="304">
        <f t="shared" ca="1" si="184"/>
        <v>25.849228230387133</v>
      </c>
      <c r="G421" s="306">
        <f t="shared" ca="1" si="185"/>
        <v>32.258933552243704</v>
      </c>
      <c r="H421" s="307">
        <f t="shared" ca="1" si="186"/>
        <v>271.79416146905555</v>
      </c>
      <c r="I421" s="304">
        <f t="shared" ca="1" si="187"/>
        <v>273.70185421840881</v>
      </c>
      <c r="J421" s="306">
        <f t="shared" ca="1" si="188"/>
        <v>72.797571337865136</v>
      </c>
      <c r="K421" s="307">
        <f t="shared" ca="1" si="189"/>
        <v>656.023069076551</v>
      </c>
      <c r="L421" s="304">
        <f t="shared" ca="1" si="174"/>
        <v>660.04981141828137</v>
      </c>
      <c r="M421" s="306">
        <f t="shared" ca="1" si="190"/>
        <v>1.4526601485815869</v>
      </c>
      <c r="N421" s="304">
        <f t="shared" ca="1" si="191"/>
        <v>83.231295580572009</v>
      </c>
      <c r="P421" s="310">
        <f t="shared" ca="1" si="192"/>
        <v>15</v>
      </c>
      <c r="Q421" s="304">
        <f t="shared" ca="1" si="193"/>
        <v>554.28333333336559</v>
      </c>
      <c r="R421" s="306">
        <f t="shared" ca="1" si="194"/>
        <v>0.27765840333482183</v>
      </c>
      <c r="S421" s="307">
        <f t="shared" ca="1" si="195"/>
        <v>9.2071189673110627</v>
      </c>
      <c r="T421" s="304">
        <f t="shared" ca="1" si="175"/>
        <v>90.321837069321532</v>
      </c>
      <c r="U421" s="311">
        <f t="shared" ca="1" si="176"/>
        <v>0</v>
      </c>
      <c r="V421" s="306">
        <f t="shared" ca="1" si="177"/>
        <v>1.1471894498344304</v>
      </c>
      <c r="W421" s="304">
        <f t="shared" ca="1" si="178"/>
        <v>227.19853520650537</v>
      </c>
      <c r="Y421" s="314" t="str">
        <f t="shared" ca="1" si="196"/>
        <v/>
      </c>
      <c r="Z421" s="315" t="str">
        <f t="shared" ca="1" si="197"/>
        <v/>
      </c>
      <c r="AA421" s="316" t="str">
        <f t="shared" ca="1" si="198"/>
        <v/>
      </c>
      <c r="AC421" s="310" t="e">
        <f t="shared" ca="1" si="199"/>
        <v>#N/A</v>
      </c>
      <c r="AD421" s="323" t="e">
        <f t="shared" ca="1" si="200"/>
        <v>#N/A</v>
      </c>
      <c r="AE421" s="324">
        <f t="shared" ca="1" si="179"/>
        <v>656.023069076551</v>
      </c>
      <c r="AG421" s="306">
        <f t="shared" ca="1" si="201"/>
        <v>25.823375101564018</v>
      </c>
      <c r="AH421" s="304">
        <f t="shared" ca="1" si="202"/>
        <v>35.565048547611838</v>
      </c>
    </row>
    <row r="422" spans="1:34" x14ac:dyDescent="0.2">
      <c r="A422" s="347">
        <f t="shared" ca="1" si="180"/>
        <v>0.01</v>
      </c>
      <c r="B422" s="304">
        <f t="shared" ca="1" si="181"/>
        <v>4.1799999999999553</v>
      </c>
      <c r="D422" s="306">
        <f t="shared" ca="1" si="182"/>
        <v>4.095681113674086</v>
      </c>
      <c r="E422" s="307">
        <f t="shared" ca="1" si="183"/>
        <v>24.697718989931431</v>
      </c>
      <c r="F422" s="304">
        <f t="shared" ca="1" si="184"/>
        <v>25.035014022175545</v>
      </c>
      <c r="G422" s="306">
        <f t="shared" ca="1" si="185"/>
        <v>32.299890363380442</v>
      </c>
      <c r="H422" s="307">
        <f t="shared" ca="1" si="186"/>
        <v>272.04113865895488</v>
      </c>
      <c r="I422" s="304">
        <f t="shared" ca="1" si="187"/>
        <v>273.95193746412366</v>
      </c>
      <c r="J422" s="306">
        <f t="shared" ca="1" si="188"/>
        <v>73.120365457443256</v>
      </c>
      <c r="K422" s="307">
        <f t="shared" ca="1" si="189"/>
        <v>658.74224557719106</v>
      </c>
      <c r="L422" s="304">
        <f t="shared" ca="1" si="174"/>
        <v>662.78800076096002</v>
      </c>
      <c r="M422" s="306">
        <f t="shared" ca="1" si="190"/>
        <v>1.4526179432907207</v>
      </c>
      <c r="N422" s="304">
        <f t="shared" ca="1" si="191"/>
        <v>83.228877395532251</v>
      </c>
      <c r="P422" s="310">
        <f t="shared" ca="1" si="192"/>
        <v>15</v>
      </c>
      <c r="Q422" s="304">
        <f t="shared" ca="1" si="193"/>
        <v>547.05000000003247</v>
      </c>
      <c r="R422" s="306">
        <f t="shared" ca="1" si="194"/>
        <v>0.27403499331445613</v>
      </c>
      <c r="S422" s="307">
        <f t="shared" ca="1" si="195"/>
        <v>9.2043786173779178</v>
      </c>
      <c r="T422" s="304">
        <f t="shared" ca="1" si="175"/>
        <v>90.294954236477381</v>
      </c>
      <c r="U422" s="311">
        <f t="shared" ca="1" si="176"/>
        <v>0</v>
      </c>
      <c r="V422" s="306">
        <f t="shared" ca="1" si="177"/>
        <v>1.1468772138942949</v>
      </c>
      <c r="W422" s="304">
        <f t="shared" ca="1" si="178"/>
        <v>227.551959832216</v>
      </c>
      <c r="Y422" s="314" t="str">
        <f t="shared" ca="1" si="196"/>
        <v/>
      </c>
      <c r="Z422" s="315" t="str">
        <f t="shared" ca="1" si="197"/>
        <v/>
      </c>
      <c r="AA422" s="316" t="str">
        <f t="shared" ca="1" si="198"/>
        <v/>
      </c>
      <c r="AC422" s="310" t="e">
        <f t="shared" ca="1" si="199"/>
        <v>#N/A</v>
      </c>
      <c r="AD422" s="323" t="e">
        <f t="shared" ca="1" si="200"/>
        <v>#N/A</v>
      </c>
      <c r="AE422" s="324">
        <f t="shared" ca="1" si="179"/>
        <v>658.74224557719106</v>
      </c>
      <c r="AG422" s="306">
        <f t="shared" ca="1" si="201"/>
        <v>25.008300172135264</v>
      </c>
      <c r="AH422" s="304">
        <f t="shared" ca="1" si="202"/>
        <v>34.749924800968721</v>
      </c>
    </row>
    <row r="423" spans="1:34" x14ac:dyDescent="0.2">
      <c r="A423" s="347">
        <f t="shared" ca="1" si="180"/>
        <v>0.01</v>
      </c>
      <c r="B423" s="304">
        <f t="shared" ca="1" si="181"/>
        <v>4.1899999999999551</v>
      </c>
      <c r="D423" s="306">
        <f t="shared" ca="1" si="182"/>
        <v>4.0011304133370862</v>
      </c>
      <c r="E423" s="307">
        <f t="shared" ca="1" si="183"/>
        <v>23.888940192107746</v>
      </c>
      <c r="F423" s="304">
        <f t="shared" ca="1" si="184"/>
        <v>24.22169498789529</v>
      </c>
      <c r="G423" s="306">
        <f t="shared" ca="1" si="185"/>
        <v>32.339901667513814</v>
      </c>
      <c r="H423" s="307">
        <f t="shared" ca="1" si="186"/>
        <v>272.28002806087596</v>
      </c>
      <c r="I423" s="304">
        <f t="shared" ca="1" si="187"/>
        <v>274.19387834285408</v>
      </c>
      <c r="J423" s="306">
        <f t="shared" ca="1" si="188"/>
        <v>73.443564417597727</v>
      </c>
      <c r="K423" s="307">
        <f t="shared" ca="1" si="189"/>
        <v>661.4638514107902</v>
      </c>
      <c r="L423" s="304">
        <f t="shared" ca="1" si="174"/>
        <v>665.52864992993182</v>
      </c>
      <c r="M423" s="306">
        <f t="shared" ca="1" si="190"/>
        <v>1.4525757602458453</v>
      </c>
      <c r="N423" s="304">
        <f t="shared" ca="1" si="191"/>
        <v>83.226460485093881</v>
      </c>
      <c r="P423" s="310">
        <f t="shared" ca="1" si="192"/>
        <v>15</v>
      </c>
      <c r="Q423" s="304">
        <f t="shared" ca="1" si="193"/>
        <v>539.81666666669935</v>
      </c>
      <c r="R423" s="306">
        <f t="shared" ca="1" si="194"/>
        <v>0.27041158329409043</v>
      </c>
      <c r="S423" s="307">
        <f t="shared" ca="1" si="195"/>
        <v>9.2016745015449768</v>
      </c>
      <c r="T423" s="304">
        <f t="shared" ca="1" si="175"/>
        <v>90.268426860156225</v>
      </c>
      <c r="U423" s="311">
        <f t="shared" ca="1" si="176"/>
        <v>0</v>
      </c>
      <c r="V423" s="306">
        <f t="shared" ca="1" si="177"/>
        <v>1.1465647812947302</v>
      </c>
      <c r="W423" s="304">
        <f t="shared" ca="1" si="178"/>
        <v>227.89196340611542</v>
      </c>
      <c r="Y423" s="314" t="str">
        <f t="shared" ca="1" si="196"/>
        <v/>
      </c>
      <c r="Z423" s="315" t="str">
        <f t="shared" ca="1" si="197"/>
        <v/>
      </c>
      <c r="AA423" s="316" t="str">
        <f t="shared" ca="1" si="198"/>
        <v/>
      </c>
      <c r="AC423" s="310" t="e">
        <f t="shared" ca="1" si="199"/>
        <v>#N/A</v>
      </c>
      <c r="AD423" s="323" t="e">
        <f t="shared" ca="1" si="200"/>
        <v>#N/A</v>
      </c>
      <c r="AE423" s="324">
        <f t="shared" ca="1" si="179"/>
        <v>661.4638514107902</v>
      </c>
      <c r="AG423" s="306">
        <f t="shared" ca="1" si="201"/>
        <v>24.194063477886644</v>
      </c>
      <c r="AH423" s="304">
        <f t="shared" ca="1" si="202"/>
        <v>33.935639299352914</v>
      </c>
    </row>
    <row r="424" spans="1:34" x14ac:dyDescent="0.2">
      <c r="A424" s="347">
        <f t="shared" ca="1" si="180"/>
        <v>0.01</v>
      </c>
      <c r="B424" s="304">
        <f t="shared" ca="1" si="181"/>
        <v>4.1999999999999549</v>
      </c>
      <c r="D424" s="306">
        <f t="shared" ca="1" si="182"/>
        <v>3.8886044014239984</v>
      </c>
      <c r="E424" s="307">
        <f t="shared" ca="1" si="183"/>
        <v>22.929410478818809</v>
      </c>
      <c r="F424" s="304">
        <f t="shared" ca="1" si="184"/>
        <v>23.256807801092133</v>
      </c>
      <c r="G424" s="306">
        <f t="shared" ca="1" si="185"/>
        <v>32.378787711528055</v>
      </c>
      <c r="H424" s="307">
        <f t="shared" ca="1" si="186"/>
        <v>272.50932216566417</v>
      </c>
      <c r="I424" s="304">
        <f t="shared" ca="1" si="187"/>
        <v>274.4261586672414</v>
      </c>
      <c r="J424" s="306">
        <f t="shared" ca="1" si="188"/>
        <v>73.76715786449293</v>
      </c>
      <c r="K424" s="307">
        <f t="shared" ca="1" si="189"/>
        <v>664.18779816192296</v>
      </c>
      <c r="L424" s="304">
        <f t="shared" ca="1" si="174"/>
        <v>668.27166991171214</v>
      </c>
      <c r="M424" s="306">
        <f t="shared" ca="1" si="190"/>
        <v>1.4525335979315315</v>
      </c>
      <c r="N424" s="304">
        <f t="shared" ca="1" si="191"/>
        <v>83.224044762429202</v>
      </c>
      <c r="P424" s="310">
        <f t="shared" ca="1" si="192"/>
        <v>16</v>
      </c>
      <c r="Q424" s="304">
        <f t="shared" ca="1" si="193"/>
        <v>531.17916666671226</v>
      </c>
      <c r="R424" s="306">
        <f t="shared" ca="1" si="194"/>
        <v>0.26608478089074533</v>
      </c>
      <c r="S424" s="307">
        <f t="shared" ca="1" si="195"/>
        <v>9.1990136537360687</v>
      </c>
      <c r="T424" s="304">
        <f t="shared" ca="1" si="175"/>
        <v>90.242323943150836</v>
      </c>
      <c r="U424" s="311">
        <f t="shared" ca="1" si="176"/>
        <v>0</v>
      </c>
      <c r="V424" s="306">
        <f t="shared" ca="1" si="177"/>
        <v>1.1462521623694568</v>
      </c>
      <c r="W424" s="304">
        <f t="shared" ca="1" si="178"/>
        <v>228.21599762343058</v>
      </c>
      <c r="Y424" s="314" t="str">
        <f t="shared" ca="1" si="196"/>
        <v/>
      </c>
      <c r="Z424" s="315" t="str">
        <f t="shared" ca="1" si="197"/>
        <v/>
      </c>
      <c r="AA424" s="316" t="str">
        <f t="shared" ca="1" si="198"/>
        <v/>
      </c>
      <c r="AC424" s="310" t="e">
        <f t="shared" ca="1" si="199"/>
        <v>#N/A</v>
      </c>
      <c r="AD424" s="323" t="e">
        <f t="shared" ca="1" si="200"/>
        <v>#N/A</v>
      </c>
      <c r="AE424" s="324">
        <f t="shared" ca="1" si="179"/>
        <v>664.18779816192296</v>
      </c>
      <c r="AG424" s="306">
        <f t="shared" ca="1" si="201"/>
        <v>23.228008046898204</v>
      </c>
      <c r="AH424" s="304">
        <f t="shared" ca="1" si="202"/>
        <v>32.969535069384357</v>
      </c>
    </row>
    <row r="425" spans="1:34" x14ac:dyDescent="0.2">
      <c r="A425" s="347">
        <f t="shared" ca="1" si="180"/>
        <v>0.01</v>
      </c>
      <c r="B425" s="304">
        <f t="shared" ca="1" si="181"/>
        <v>4.2099999999999547</v>
      </c>
      <c r="D425" s="306">
        <f t="shared" ca="1" si="182"/>
        <v>3.7580999922427436</v>
      </c>
      <c r="E425" s="307">
        <f t="shared" ca="1" si="183"/>
        <v>21.819265760071502</v>
      </c>
      <c r="F425" s="304">
        <f t="shared" ca="1" si="184"/>
        <v>22.14054366677394</v>
      </c>
      <c r="G425" s="306">
        <f t="shared" ca="1" si="185"/>
        <v>32.416368711450481</v>
      </c>
      <c r="H425" s="307">
        <f t="shared" ca="1" si="186"/>
        <v>272.72751482326487</v>
      </c>
      <c r="I425" s="304">
        <f t="shared" ca="1" si="187"/>
        <v>274.6472615958711</v>
      </c>
      <c r="J425" s="306">
        <f t="shared" ca="1" si="188"/>
        <v>74.091133646607815</v>
      </c>
      <c r="K425" s="307">
        <f t="shared" ca="1" si="189"/>
        <v>666.91398234686756</v>
      </c>
      <c r="L425" s="304">
        <f t="shared" ca="1" si="174"/>
        <v>671.01695651808791</v>
      </c>
      <c r="M425" s="306">
        <f t="shared" ca="1" si="190"/>
        <v>1.4524914546050938</v>
      </c>
      <c r="N425" s="304">
        <f t="shared" ca="1" si="191"/>
        <v>83.221630127689679</v>
      </c>
      <c r="P425" s="310">
        <f t="shared" ca="1" si="192"/>
        <v>16</v>
      </c>
      <c r="Q425" s="304">
        <f t="shared" ca="1" si="193"/>
        <v>521.13750000004575</v>
      </c>
      <c r="R425" s="306">
        <f t="shared" ca="1" si="194"/>
        <v>0.26105458610440807</v>
      </c>
      <c r="S425" s="307">
        <f t="shared" ca="1" si="195"/>
        <v>9.1964031078750246</v>
      </c>
      <c r="T425" s="304">
        <f t="shared" ca="1" si="175"/>
        <v>90.216714488253999</v>
      </c>
      <c r="U425" s="311">
        <f t="shared" ca="1" si="176"/>
        <v>0</v>
      </c>
      <c r="V425" s="306">
        <f t="shared" ca="1" si="177"/>
        <v>1.1459393691701871</v>
      </c>
      <c r="W425" s="304">
        <f t="shared" ca="1" si="178"/>
        <v>228.52151257003618</v>
      </c>
      <c r="Y425" s="314" t="str">
        <f t="shared" ca="1" si="196"/>
        <v/>
      </c>
      <c r="Z425" s="315" t="str">
        <f t="shared" ca="1" si="197"/>
        <v/>
      </c>
      <c r="AA425" s="316" t="str">
        <f t="shared" ca="1" si="198"/>
        <v/>
      </c>
      <c r="AC425" s="310" t="e">
        <f t="shared" ca="1" si="199"/>
        <v>#N/A</v>
      </c>
      <c r="AD425" s="323" t="e">
        <f t="shared" ca="1" si="200"/>
        <v>#N/A</v>
      </c>
      <c r="AE425" s="324">
        <f t="shared" ca="1" si="179"/>
        <v>666.91398234686756</v>
      </c>
      <c r="AG425" s="306">
        <f t="shared" ca="1" si="201"/>
        <v>22.110268473474768</v>
      </c>
      <c r="AH425" s="304">
        <f t="shared" ca="1" si="202"/>
        <v>31.851746703641329</v>
      </c>
    </row>
    <row r="426" spans="1:34" x14ac:dyDescent="0.2">
      <c r="A426" s="347">
        <f t="shared" ca="1" si="180"/>
        <v>0.01</v>
      </c>
      <c r="B426" s="304">
        <f t="shared" ca="1" si="181"/>
        <v>4.2199999999999545</v>
      </c>
      <c r="D426" s="306">
        <f t="shared" ca="1" si="182"/>
        <v>3.6276443760038934</v>
      </c>
      <c r="E426" s="307">
        <f t="shared" ca="1" si="183"/>
        <v>20.71033508554779</v>
      </c>
      <c r="F426" s="304">
        <f t="shared" ca="1" si="184"/>
        <v>21.025645842028837</v>
      </c>
      <c r="G426" s="306">
        <f t="shared" ca="1" si="185"/>
        <v>32.452645155210519</v>
      </c>
      <c r="H426" s="307">
        <f t="shared" ca="1" si="186"/>
        <v>272.93461817412037</v>
      </c>
      <c r="I426" s="304">
        <f t="shared" ca="1" si="187"/>
        <v>274.85719924248463</v>
      </c>
      <c r="J426" s="306">
        <f t="shared" ca="1" si="188"/>
        <v>74.41547871594112</v>
      </c>
      <c r="K426" s="307">
        <f t="shared" ca="1" si="189"/>
        <v>669.64229301185446</v>
      </c>
      <c r="L426" s="304">
        <f t="shared" ca="1" si="174"/>
        <v>673.76439803739777</v>
      </c>
      <c r="M426" s="306">
        <f t="shared" ca="1" si="190"/>
        <v>1.452449328531608</v>
      </c>
      <c r="N426" s="304">
        <f t="shared" ca="1" si="191"/>
        <v>83.219216481471477</v>
      </c>
      <c r="P426" s="310">
        <f t="shared" ca="1" si="192"/>
        <v>16</v>
      </c>
      <c r="Q426" s="304">
        <f t="shared" ca="1" si="193"/>
        <v>511.09583333337923</v>
      </c>
      <c r="R426" s="306">
        <f t="shared" ca="1" si="194"/>
        <v>0.25602439131807087</v>
      </c>
      <c r="S426" s="307">
        <f t="shared" ca="1" si="195"/>
        <v>9.1938428639618444</v>
      </c>
      <c r="T426" s="304">
        <f t="shared" ca="1" si="175"/>
        <v>90.191598495465698</v>
      </c>
      <c r="U426" s="311">
        <f t="shared" ca="1" si="176"/>
        <v>0</v>
      </c>
      <c r="V426" s="306">
        <f t="shared" ca="1" si="177"/>
        <v>1.1456264145928781</v>
      </c>
      <c r="W426" s="304">
        <f t="shared" ca="1" si="178"/>
        <v>228.8085008761098</v>
      </c>
      <c r="Y426" s="314" t="str">
        <f t="shared" ca="1" si="196"/>
        <v/>
      </c>
      <c r="Z426" s="315" t="str">
        <f t="shared" ca="1" si="197"/>
        <v/>
      </c>
      <c r="AA426" s="316" t="str">
        <f t="shared" ca="1" si="198"/>
        <v/>
      </c>
      <c r="AC426" s="310" t="e">
        <f t="shared" ca="1" si="199"/>
        <v>#N/A</v>
      </c>
      <c r="AD426" s="323" t="e">
        <f t="shared" ca="1" si="200"/>
        <v>#N/A</v>
      </c>
      <c r="AE426" s="324">
        <f t="shared" ca="1" si="179"/>
        <v>669.64229301185446</v>
      </c>
      <c r="AG426" s="306">
        <f t="shared" ca="1" si="201"/>
        <v>20.9937402731845</v>
      </c>
      <c r="AH426" s="304">
        <f t="shared" ca="1" si="202"/>
        <v>30.735169715699829</v>
      </c>
    </row>
    <row r="427" spans="1:34" x14ac:dyDescent="0.2">
      <c r="A427" s="347">
        <f t="shared" ca="1" si="180"/>
        <v>0.01</v>
      </c>
      <c r="B427" s="304">
        <f t="shared" ca="1" si="181"/>
        <v>4.2299999999999542</v>
      </c>
      <c r="D427" s="306">
        <f t="shared" ca="1" si="182"/>
        <v>3.4972401983906778</v>
      </c>
      <c r="E427" s="307">
        <f t="shared" ca="1" si="183"/>
        <v>19.6026384350426</v>
      </c>
      <c r="F427" s="304">
        <f t="shared" ca="1" si="184"/>
        <v>19.912160169611159</v>
      </c>
      <c r="G427" s="306">
        <f t="shared" ca="1" si="185"/>
        <v>32.487617557194426</v>
      </c>
      <c r="H427" s="307">
        <f t="shared" ca="1" si="186"/>
        <v>273.13064455847081</v>
      </c>
      <c r="I427" s="304">
        <f t="shared" ca="1" si="187"/>
        <v>275.05598392230672</v>
      </c>
      <c r="J427" s="306">
        <f t="shared" ca="1" si="188"/>
        <v>74.740180029503151</v>
      </c>
      <c r="K427" s="307">
        <f t="shared" ca="1" si="189"/>
        <v>672.37261932551746</v>
      </c>
      <c r="L427" s="304">
        <f t="shared" ca="1" si="174"/>
        <v>676.51388288009264</v>
      </c>
      <c r="M427" s="306">
        <f t="shared" ca="1" si="190"/>
        <v>1.4524072179834948</v>
      </c>
      <c r="N427" s="304">
        <f t="shared" ca="1" si="191"/>
        <v>83.216803724791617</v>
      </c>
      <c r="P427" s="310">
        <f t="shared" ca="1" si="192"/>
        <v>16</v>
      </c>
      <c r="Q427" s="304">
        <f t="shared" ca="1" si="193"/>
        <v>501.05416666671272</v>
      </c>
      <c r="R427" s="306">
        <f t="shared" ca="1" si="194"/>
        <v>0.2509941965317336</v>
      </c>
      <c r="S427" s="307">
        <f t="shared" ca="1" si="195"/>
        <v>9.1913329219965263</v>
      </c>
      <c r="T427" s="304">
        <f t="shared" ca="1" si="175"/>
        <v>90.166975964785934</v>
      </c>
      <c r="U427" s="311">
        <f t="shared" ca="1" si="176"/>
        <v>0</v>
      </c>
      <c r="V427" s="306">
        <f t="shared" ca="1" si="177"/>
        <v>1.1453133115060277</v>
      </c>
      <c r="W427" s="304">
        <f t="shared" ca="1" si="178"/>
        <v>229.07695788861736</v>
      </c>
      <c r="Y427" s="314" t="str">
        <f t="shared" ca="1" si="196"/>
        <v/>
      </c>
      <c r="Z427" s="315" t="str">
        <f t="shared" ca="1" si="197"/>
        <v/>
      </c>
      <c r="AA427" s="316" t="str">
        <f t="shared" ca="1" si="198"/>
        <v/>
      </c>
      <c r="AC427" s="310" t="e">
        <f t="shared" ca="1" si="199"/>
        <v>#N/A</v>
      </c>
      <c r="AD427" s="323" t="e">
        <f t="shared" ca="1" si="200"/>
        <v>#N/A</v>
      </c>
      <c r="AE427" s="324">
        <f t="shared" ca="1" si="179"/>
        <v>672.37261932551746</v>
      </c>
      <c r="AG427" s="306">
        <f t="shared" ca="1" si="201"/>
        <v>19.878443594393111</v>
      </c>
      <c r="AH427" s="304">
        <f t="shared" ca="1" si="202"/>
        <v>29.619824251939527</v>
      </c>
    </row>
    <row r="428" spans="1:34" x14ac:dyDescent="0.2">
      <c r="A428" s="347">
        <f t="shared" ca="1" si="180"/>
        <v>0.01</v>
      </c>
      <c r="B428" s="304">
        <f t="shared" ca="1" si="181"/>
        <v>4.239999999999954</v>
      </c>
      <c r="D428" s="306">
        <f t="shared" ca="1" si="182"/>
        <v>3.3668900633568977</v>
      </c>
      <c r="E428" s="307">
        <f t="shared" ca="1" si="183"/>
        <v>18.496195477191364</v>
      </c>
      <c r="F428" s="304">
        <f t="shared" ca="1" si="184"/>
        <v>18.800138186439099</v>
      </c>
      <c r="G428" s="306">
        <f t="shared" ca="1" si="185"/>
        <v>32.521286457827998</v>
      </c>
      <c r="H428" s="307">
        <f t="shared" ca="1" si="186"/>
        <v>273.3156065132427</v>
      </c>
      <c r="I428" s="304">
        <f t="shared" ca="1" si="187"/>
        <v>275.24362814890708</v>
      </c>
      <c r="J428" s="306">
        <f t="shared" ca="1" si="188"/>
        <v>75.065224549578261</v>
      </c>
      <c r="K428" s="307">
        <f t="shared" ca="1" si="189"/>
        <v>675.10485058087602</v>
      </c>
      <c r="L428" s="304">
        <f t="shared" ca="1" si="174"/>
        <v>679.2652995807349</v>
      </c>
      <c r="M428" s="306">
        <f t="shared" ca="1" si="190"/>
        <v>1.452365121240107</v>
      </c>
      <c r="N428" s="304">
        <f t="shared" ca="1" si="191"/>
        <v>83.214391759064242</v>
      </c>
      <c r="P428" s="310">
        <f t="shared" ca="1" si="192"/>
        <v>16</v>
      </c>
      <c r="Q428" s="304">
        <f t="shared" ca="1" si="193"/>
        <v>491.0125000000462</v>
      </c>
      <c r="R428" s="306">
        <f t="shared" ca="1" si="194"/>
        <v>0.24596400174539634</v>
      </c>
      <c r="S428" s="307">
        <f t="shared" ca="1" si="195"/>
        <v>9.1888732819790722</v>
      </c>
      <c r="T428" s="304">
        <f t="shared" ca="1" si="175"/>
        <v>90.142846896214706</v>
      </c>
      <c r="U428" s="311">
        <f t="shared" ca="1" si="176"/>
        <v>0</v>
      </c>
      <c r="V428" s="306">
        <f t="shared" ca="1" si="177"/>
        <v>1.145000072750457</v>
      </c>
      <c r="W428" s="304">
        <f t="shared" ca="1" si="178"/>
        <v>229.32688165329282</v>
      </c>
      <c r="Y428" s="314" t="str">
        <f t="shared" ca="1" si="196"/>
        <v/>
      </c>
      <c r="Z428" s="315" t="str">
        <f t="shared" ca="1" si="197"/>
        <v/>
      </c>
      <c r="AA428" s="316" t="str">
        <f t="shared" ca="1" si="198"/>
        <v/>
      </c>
      <c r="AC428" s="310" t="e">
        <f t="shared" ca="1" si="199"/>
        <v>#N/A</v>
      </c>
      <c r="AD428" s="323" t="e">
        <f t="shared" ca="1" si="200"/>
        <v>#N/A</v>
      </c>
      <c r="AE428" s="324">
        <f t="shared" ca="1" si="179"/>
        <v>675.10485058087602</v>
      </c>
      <c r="AG428" s="306">
        <f t="shared" ca="1" si="201"/>
        <v>18.764398271582685</v>
      </c>
      <c r="AH428" s="304">
        <f t="shared" ca="1" si="202"/>
        <v>28.505730144862106</v>
      </c>
    </row>
    <row r="429" spans="1:34" x14ac:dyDescent="0.2">
      <c r="A429" s="347">
        <f t="shared" ca="1" si="180"/>
        <v>0.01</v>
      </c>
      <c r="B429" s="304">
        <f t="shared" ca="1" si="181"/>
        <v>4.2499999999999538</v>
      </c>
      <c r="D429" s="306">
        <f t="shared" ca="1" si="182"/>
        <v>3.2365965331841919</v>
      </c>
      <c r="E429" s="307">
        <f t="shared" ca="1" si="183"/>
        <v>17.391025569914561</v>
      </c>
      <c r="F429" s="304">
        <f t="shared" ca="1" si="184"/>
        <v>17.689638987046685</v>
      </c>
      <c r="G429" s="306">
        <f t="shared" ca="1" si="185"/>
        <v>32.553652423159839</v>
      </c>
      <c r="H429" s="307">
        <f t="shared" ca="1" si="186"/>
        <v>273.48951676894183</v>
      </c>
      <c r="I429" s="304">
        <f t="shared" ca="1" si="187"/>
        <v>275.4201446310658</v>
      </c>
      <c r="J429" s="306">
        <f t="shared" ca="1" si="188"/>
        <v>75.390599243983203</v>
      </c>
      <c r="K429" s="307">
        <f t="shared" ca="1" si="189"/>
        <v>677.83887619728694</v>
      </c>
      <c r="L429" s="304">
        <f t="shared" ca="1" si="174"/>
        <v>682.01853679996691</v>
      </c>
      <c r="M429" s="306">
        <f t="shared" ca="1" si="190"/>
        <v>1.452323036587323</v>
      </c>
      <c r="N429" s="304">
        <f t="shared" ca="1" si="191"/>
        <v>83.211980486077451</v>
      </c>
      <c r="P429" s="310">
        <f t="shared" ca="1" si="192"/>
        <v>16</v>
      </c>
      <c r="Q429" s="304">
        <f t="shared" ca="1" si="193"/>
        <v>480.97083333337969</v>
      </c>
      <c r="R429" s="306">
        <f t="shared" ca="1" si="194"/>
        <v>0.24093380695905908</v>
      </c>
      <c r="S429" s="307">
        <f t="shared" ca="1" si="195"/>
        <v>9.186463943909482</v>
      </c>
      <c r="T429" s="304">
        <f t="shared" ca="1" si="175"/>
        <v>90.119211289752016</v>
      </c>
      <c r="U429" s="311">
        <f t="shared" ca="1" si="176"/>
        <v>0</v>
      </c>
      <c r="V429" s="306">
        <f t="shared" ca="1" si="177"/>
        <v>1.1446867111390919</v>
      </c>
      <c r="W429" s="304">
        <f t="shared" ca="1" si="178"/>
        <v>229.55827289642647</v>
      </c>
      <c r="Y429" s="314" t="str">
        <f t="shared" ca="1" si="196"/>
        <v/>
      </c>
      <c r="Z429" s="315" t="str">
        <f t="shared" ca="1" si="197"/>
        <v/>
      </c>
      <c r="AA429" s="316" t="str">
        <f t="shared" ca="1" si="198"/>
        <v/>
      </c>
      <c r="AC429" s="310" t="e">
        <f t="shared" ca="1" si="199"/>
        <v>#N/A</v>
      </c>
      <c r="AD429" s="323" t="e">
        <f t="shared" ca="1" si="200"/>
        <v>#N/A</v>
      </c>
      <c r="AE429" s="324">
        <f t="shared" ca="1" si="179"/>
        <v>677.83887619728694</v>
      </c>
      <c r="AG429" s="306">
        <f t="shared" ca="1" si="201"/>
        <v>17.651623825798993</v>
      </c>
      <c r="AH429" s="304">
        <f t="shared" ca="1" si="202"/>
        <v>27.392906913538138</v>
      </c>
    </row>
    <row r="430" spans="1:34" x14ac:dyDescent="0.2">
      <c r="A430" s="347">
        <f t="shared" ca="1" si="180"/>
        <v>0.01</v>
      </c>
      <c r="B430" s="304">
        <f t="shared" ca="1" si="181"/>
        <v>4.2599999999999536</v>
      </c>
      <c r="D430" s="306">
        <f t="shared" ca="1" si="182"/>
        <v>3.106362128542731</v>
      </c>
      <c r="E430" s="307">
        <f t="shared" ca="1" si="183"/>
        <v>16.287147760909527</v>
      </c>
      <c r="F430" s="304">
        <f t="shared" ca="1" si="184"/>
        <v>16.58073182520436</v>
      </c>
      <c r="G430" s="306">
        <f t="shared" ca="1" si="185"/>
        <v>32.584716044445265</v>
      </c>
      <c r="H430" s="307">
        <f t="shared" ca="1" si="186"/>
        <v>273.65238824655091</v>
      </c>
      <c r="I430" s="304">
        <f t="shared" ca="1" si="187"/>
        <v>275.58554626964417</v>
      </c>
      <c r="J430" s="306">
        <f t="shared" ca="1" si="188"/>
        <v>75.716291086321235</v>
      </c>
      <c r="K430" s="307">
        <f t="shared" ca="1" si="189"/>
        <v>680.57458572236442</v>
      </c>
      <c r="L430" s="304">
        <f t="shared" ca="1" si="174"/>
        <v>684.77348332644749</v>
      </c>
      <c r="M430" s="306">
        <f t="shared" ca="1" si="190"/>
        <v>1.4522809623171431</v>
      </c>
      <c r="N430" s="304">
        <f t="shared" ca="1" si="191"/>
        <v>83.209569807970055</v>
      </c>
      <c r="P430" s="310">
        <f t="shared" ca="1" si="192"/>
        <v>16</v>
      </c>
      <c r="Q430" s="304">
        <f t="shared" ca="1" si="193"/>
        <v>470.92916666671312</v>
      </c>
      <c r="R430" s="306">
        <f t="shared" ca="1" si="194"/>
        <v>0.23590361217272182</v>
      </c>
      <c r="S430" s="307">
        <f t="shared" ca="1" si="195"/>
        <v>9.1841049077877539</v>
      </c>
      <c r="T430" s="304">
        <f t="shared" ca="1" si="175"/>
        <v>90.096069145397877</v>
      </c>
      <c r="U430" s="311">
        <f t="shared" ca="1" si="176"/>
        <v>0</v>
      </c>
      <c r="V430" s="306">
        <f t="shared" ca="1" si="177"/>
        <v>1.1443732394567534</v>
      </c>
      <c r="W430" s="304">
        <f t="shared" ca="1" si="178"/>
        <v>229.77113500647212</v>
      </c>
      <c r="Y430" s="314" t="str">
        <f t="shared" ca="1" si="196"/>
        <v/>
      </c>
      <c r="Z430" s="315" t="str">
        <f t="shared" ca="1" si="197"/>
        <v/>
      </c>
      <c r="AA430" s="316" t="str">
        <f t="shared" ca="1" si="198"/>
        <v/>
      </c>
      <c r="AC430" s="310" t="e">
        <f t="shared" ca="1" si="199"/>
        <v>#N/A</v>
      </c>
      <c r="AD430" s="323" t="e">
        <f t="shared" ca="1" si="200"/>
        <v>#N/A</v>
      </c>
      <c r="AE430" s="324">
        <f t="shared" ca="1" si="179"/>
        <v>680.57458572236442</v>
      </c>
      <c r="AG430" s="306">
        <f t="shared" ca="1" si="201"/>
        <v>16.54013946514613</v>
      </c>
      <c r="AH430" s="304">
        <f t="shared" ca="1" si="202"/>
        <v>26.281373764101254</v>
      </c>
    </row>
    <row r="431" spans="1:34" x14ac:dyDescent="0.2">
      <c r="A431" s="347">
        <f t="shared" ca="1" si="180"/>
        <v>0.01</v>
      </c>
      <c r="B431" s="304">
        <f t="shared" ca="1" si="181"/>
        <v>4.2699999999999534</v>
      </c>
      <c r="D431" s="306">
        <f t="shared" ca="1" si="182"/>
        <v>2.9761893285553382</v>
      </c>
      <c r="E431" s="307">
        <f t="shared" ca="1" si="183"/>
        <v>15.184580788188425</v>
      </c>
      <c r="F431" s="304">
        <f t="shared" ca="1" si="184"/>
        <v>15.473499818477645</v>
      </c>
      <c r="G431" s="306">
        <f t="shared" ca="1" si="185"/>
        <v>32.614477937730818</v>
      </c>
      <c r="H431" s="307">
        <f t="shared" ca="1" si="186"/>
        <v>273.80423405443281</v>
      </c>
      <c r="I431" s="304">
        <f t="shared" ca="1" si="187"/>
        <v>275.73984615446017</v>
      </c>
      <c r="J431" s="306">
        <f t="shared" ca="1" si="188"/>
        <v>76.042287056232112</v>
      </c>
      <c r="K431" s="307">
        <f t="shared" ca="1" si="189"/>
        <v>683.31186883386931</v>
      </c>
      <c r="L431" s="304">
        <f t="shared" ca="1" si="174"/>
        <v>687.53002807875771</v>
      </c>
      <c r="M431" s="306">
        <f t="shared" ca="1" si="190"/>
        <v>1.4522388967272903</v>
      </c>
      <c r="N431" s="304">
        <f t="shared" ca="1" si="191"/>
        <v>83.207159627208753</v>
      </c>
      <c r="P431" s="310">
        <f t="shared" ca="1" si="192"/>
        <v>16</v>
      </c>
      <c r="Q431" s="304">
        <f t="shared" ca="1" si="193"/>
        <v>460.8875000000466</v>
      </c>
      <c r="R431" s="306">
        <f t="shared" ca="1" si="194"/>
        <v>0.23087341738638456</v>
      </c>
      <c r="S431" s="307">
        <f t="shared" ca="1" si="195"/>
        <v>9.1817961736138898</v>
      </c>
      <c r="T431" s="304">
        <f t="shared" ca="1" si="175"/>
        <v>90.07342046315226</v>
      </c>
      <c r="U431" s="311">
        <f t="shared" ca="1" si="176"/>
        <v>0</v>
      </c>
      <c r="V431" s="306">
        <f t="shared" ca="1" si="177"/>
        <v>1.144059670459953</v>
      </c>
      <c r="W431" s="304">
        <f t="shared" ca="1" si="178"/>
        <v>229.96547401547758</v>
      </c>
      <c r="Y431" s="314" t="str">
        <f t="shared" ca="1" si="196"/>
        <v/>
      </c>
      <c r="Z431" s="315" t="str">
        <f t="shared" ca="1" si="197"/>
        <v/>
      </c>
      <c r="AA431" s="316" t="str">
        <f t="shared" ca="1" si="198"/>
        <v/>
      </c>
      <c r="AC431" s="310" t="e">
        <f t="shared" ca="1" si="199"/>
        <v>#N/A</v>
      </c>
      <c r="AD431" s="323" t="e">
        <f t="shared" ca="1" si="200"/>
        <v>#N/A</v>
      </c>
      <c r="AE431" s="324">
        <f t="shared" ca="1" si="179"/>
        <v>683.31186883386931</v>
      </c>
      <c r="AG431" s="306">
        <f t="shared" ca="1" si="201"/>
        <v>15.4299640853274</v>
      </c>
      <c r="AH431" s="304">
        <f t="shared" ca="1" si="202"/>
        <v>25.171149590288575</v>
      </c>
    </row>
    <row r="432" spans="1:34" x14ac:dyDescent="0.2">
      <c r="A432" s="347">
        <f t="shared" ca="1" si="180"/>
        <v>0.01</v>
      </c>
      <c r="B432" s="304">
        <f t="shared" ca="1" si="181"/>
        <v>4.2799999999999532</v>
      </c>
      <c r="D432" s="306">
        <f t="shared" ca="1" si="182"/>
        <v>2.8460805708649408</v>
      </c>
      <c r="E432" s="307">
        <f t="shared" ca="1" si="183"/>
        <v>14.083343080661804</v>
      </c>
      <c r="F432" s="304">
        <f t="shared" ca="1" si="184"/>
        <v>14.368045341781171</v>
      </c>
      <c r="G432" s="306">
        <f t="shared" ca="1" si="185"/>
        <v>32.642938743439466</v>
      </c>
      <c r="H432" s="307">
        <f t="shared" ca="1" si="186"/>
        <v>273.94506748523941</v>
      </c>
      <c r="I432" s="304">
        <f t="shared" ca="1" si="187"/>
        <v>275.88305756117086</v>
      </c>
      <c r="J432" s="306">
        <f t="shared" ca="1" si="188"/>
        <v>76.368574139637957</v>
      </c>
      <c r="K432" s="307">
        <f t="shared" ca="1" si="189"/>
        <v>686.05061534156766</v>
      </c>
      <c r="L432" s="304">
        <f t="shared" ca="1" si="174"/>
        <v>690.2880601072751</v>
      </c>
      <c r="M432" s="306">
        <f t="shared" ca="1" si="190"/>
        <v>1.4521968381208148</v>
      </c>
      <c r="N432" s="304">
        <f t="shared" ca="1" si="191"/>
        <v>83.204749846565505</v>
      </c>
      <c r="P432" s="310">
        <f t="shared" ca="1" si="192"/>
        <v>16</v>
      </c>
      <c r="Q432" s="304">
        <f t="shared" ca="1" si="193"/>
        <v>450.84583333338009</v>
      </c>
      <c r="R432" s="306">
        <f t="shared" ca="1" si="194"/>
        <v>0.22584322260004733</v>
      </c>
      <c r="S432" s="307">
        <f t="shared" ca="1" si="195"/>
        <v>9.1795377413878896</v>
      </c>
      <c r="T432" s="304">
        <f t="shared" ca="1" si="175"/>
        <v>90.051265243015195</v>
      </c>
      <c r="U432" s="311">
        <f t="shared" ca="1" si="176"/>
        <v>0</v>
      </c>
      <c r="V432" s="306">
        <f t="shared" ca="1" si="177"/>
        <v>1.1437460168766931</v>
      </c>
      <c r="W432" s="304">
        <f t="shared" ca="1" si="178"/>
        <v>230.14129858034954</v>
      </c>
      <c r="Y432" s="314" t="str">
        <f t="shared" ca="1" si="196"/>
        <v/>
      </c>
      <c r="Z432" s="315" t="str">
        <f t="shared" ca="1" si="197"/>
        <v/>
      </c>
      <c r="AA432" s="316" t="str">
        <f t="shared" ca="1" si="198"/>
        <v/>
      </c>
      <c r="AC432" s="310" t="e">
        <f t="shared" ca="1" si="199"/>
        <v>#N/A</v>
      </c>
      <c r="AD432" s="323" t="e">
        <f t="shared" ca="1" si="200"/>
        <v>#N/A</v>
      </c>
      <c r="AE432" s="324">
        <f t="shared" ca="1" si="179"/>
        <v>686.05061534156766</v>
      </c>
      <c r="AG432" s="306">
        <f t="shared" ca="1" si="201"/>
        <v>14.321116270231901</v>
      </c>
      <c r="AH432" s="304">
        <f t="shared" ca="1" si="202"/>
        <v>24.062252974026855</v>
      </c>
    </row>
    <row r="433" spans="1:34" x14ac:dyDescent="0.2">
      <c r="A433" s="347">
        <f t="shared" ca="1" si="180"/>
        <v>0.01</v>
      </c>
      <c r="B433" s="304">
        <f t="shared" ca="1" si="181"/>
        <v>4.289999999999953</v>
      </c>
      <c r="D433" s="306">
        <f t="shared" ca="1" si="182"/>
        <v>2.7160382517053101</v>
      </c>
      <c r="E433" s="307">
        <f t="shared" ca="1" si="183"/>
        <v>12.983452758766722</v>
      </c>
      <c r="F433" s="304">
        <f t="shared" ca="1" si="184"/>
        <v>13.264498080359227</v>
      </c>
      <c r="G433" s="306">
        <f t="shared" ca="1" si="185"/>
        <v>32.670099125956519</v>
      </c>
      <c r="H433" s="307">
        <f t="shared" ca="1" si="186"/>
        <v>274.07490201282707</v>
      </c>
      <c r="I433" s="304">
        <f t="shared" ca="1" si="187"/>
        <v>276.01519394816034</v>
      </c>
      <c r="J433" s="306">
        <f t="shared" ca="1" si="188"/>
        <v>76.695139328984936</v>
      </c>
      <c r="K433" s="307">
        <f t="shared" ca="1" si="189"/>
        <v>688.79071518905801</v>
      </c>
      <c r="L433" s="304">
        <f t="shared" ca="1" si="174"/>
        <v>693.04746859601642</v>
      </c>
      <c r="M433" s="306">
        <f t="shared" ca="1" si="190"/>
        <v>1.4521547848057006</v>
      </c>
      <c r="N433" s="304">
        <f t="shared" ca="1" si="191"/>
        <v>83.202340369094927</v>
      </c>
      <c r="P433" s="310">
        <f t="shared" ca="1" si="192"/>
        <v>16</v>
      </c>
      <c r="Q433" s="304">
        <f t="shared" ca="1" si="193"/>
        <v>440.80416666671357</v>
      </c>
      <c r="R433" s="306">
        <f t="shared" ca="1" si="194"/>
        <v>0.22081302781371007</v>
      </c>
      <c r="S433" s="307">
        <f t="shared" ca="1" si="195"/>
        <v>9.1773296111097533</v>
      </c>
      <c r="T433" s="304">
        <f t="shared" ca="1" si="175"/>
        <v>90.02960348498668</v>
      </c>
      <c r="U433" s="311">
        <f t="shared" ca="1" si="176"/>
        <v>0</v>
      </c>
      <c r="V433" s="306">
        <f t="shared" ca="1" si="177"/>
        <v>1.1434322914062709</v>
      </c>
      <c r="W433" s="304">
        <f t="shared" ca="1" si="178"/>
        <v>230.29861996395576</v>
      </c>
      <c r="Y433" s="314" t="str">
        <f t="shared" ca="1" si="196"/>
        <v/>
      </c>
      <c r="Z433" s="315" t="str">
        <f t="shared" ca="1" si="197"/>
        <v/>
      </c>
      <c r="AA433" s="316" t="str">
        <f t="shared" ca="1" si="198"/>
        <v/>
      </c>
      <c r="AC433" s="310" t="e">
        <f t="shared" ca="1" si="199"/>
        <v>#N/A</v>
      </c>
      <c r="AD433" s="323" t="e">
        <f t="shared" ca="1" si="200"/>
        <v>#N/A</v>
      </c>
      <c r="AE433" s="324">
        <f t="shared" ca="1" si="179"/>
        <v>688.79071518905801</v>
      </c>
      <c r="AG433" s="306">
        <f t="shared" ca="1" si="201"/>
        <v>13.213614292565737</v>
      </c>
      <c r="AH433" s="304">
        <f t="shared" ca="1" si="202"/>
        <v>22.954702186063248</v>
      </c>
    </row>
    <row r="434" spans="1:34" x14ac:dyDescent="0.2">
      <c r="A434" s="347">
        <f t="shared" ca="1" si="180"/>
        <v>0.01</v>
      </c>
      <c r="B434" s="304">
        <f t="shared" ca="1" si="181"/>
        <v>4.2999999999999527</v>
      </c>
      <c r="D434" s="306">
        <f t="shared" ca="1" si="182"/>
        <v>2.5860647259750746</v>
      </c>
      <c r="E434" s="307">
        <f t="shared" ca="1" si="183"/>
        <v>11.884927635139062</v>
      </c>
      <c r="F434" s="304">
        <f t="shared" ca="1" si="184"/>
        <v>12.163027405190894</v>
      </c>
      <c r="G434" s="306">
        <f t="shared" ca="1" si="185"/>
        <v>32.695959773216266</v>
      </c>
      <c r="H434" s="307">
        <f t="shared" ca="1" si="186"/>
        <v>274.19375128917846</v>
      </c>
      <c r="I434" s="304">
        <f t="shared" ca="1" si="187"/>
        <v>276.13626895343469</v>
      </c>
      <c r="J434" s="306">
        <f t="shared" ca="1" si="188"/>
        <v>77.0219696234808</v>
      </c>
      <c r="K434" s="307">
        <f t="shared" ca="1" si="189"/>
        <v>691.53205845556806</v>
      </c>
      <c r="L434" s="304">
        <f t="shared" ca="1" si="174"/>
        <v>695.80814286445059</v>
      </c>
      <c r="M434" s="306">
        <f t="shared" ca="1" si="190"/>
        <v>1.4521127350944785</v>
      </c>
      <c r="N434" s="304">
        <f t="shared" ca="1" si="191"/>
        <v>83.19993109811216</v>
      </c>
      <c r="P434" s="310">
        <f t="shared" ca="1" si="192"/>
        <v>16</v>
      </c>
      <c r="Q434" s="304">
        <f t="shared" ca="1" si="193"/>
        <v>430.76250000004705</v>
      </c>
      <c r="R434" s="306">
        <f t="shared" ca="1" si="194"/>
        <v>0.21578283302737283</v>
      </c>
      <c r="S434" s="307">
        <f t="shared" ca="1" si="195"/>
        <v>9.1751717827794792</v>
      </c>
      <c r="T434" s="304">
        <f t="shared" ca="1" si="175"/>
        <v>90.008435189066702</v>
      </c>
      <c r="U434" s="311">
        <f t="shared" ca="1" si="176"/>
        <v>0</v>
      </c>
      <c r="V434" s="306">
        <f t="shared" ca="1" si="177"/>
        <v>1.1431185067190914</v>
      </c>
      <c r="W434" s="304">
        <f t="shared" ca="1" si="178"/>
        <v>230.4374520160753</v>
      </c>
      <c r="Y434" s="314" t="str">
        <f t="shared" ca="1" si="196"/>
        <v/>
      </c>
      <c r="Z434" s="315" t="str">
        <f t="shared" ca="1" si="197"/>
        <v/>
      </c>
      <c r="AA434" s="316" t="str">
        <f t="shared" ca="1" si="198"/>
        <v/>
      </c>
      <c r="AC434" s="310" t="e">
        <f t="shared" ca="1" si="199"/>
        <v>#N/A</v>
      </c>
      <c r="AD434" s="323" t="e">
        <f t="shared" ca="1" si="200"/>
        <v>#N/A</v>
      </c>
      <c r="AE434" s="324">
        <f t="shared" ca="1" si="179"/>
        <v>691.53205845556806</v>
      </c>
      <c r="AG434" s="306">
        <f t="shared" ca="1" si="201"/>
        <v>12.10747611452749</v>
      </c>
      <c r="AH434" s="304">
        <f t="shared" ca="1" si="202"/>
        <v>21.848515186640331</v>
      </c>
    </row>
    <row r="435" spans="1:34" x14ac:dyDescent="0.2">
      <c r="A435" s="347">
        <f t="shared" ca="1" si="180"/>
        <v>0.01</v>
      </c>
      <c r="B435" s="304">
        <f t="shared" ca="1" si="181"/>
        <v>4.3099999999999525</v>
      </c>
      <c r="D435" s="306">
        <f t="shared" ca="1" si="182"/>
        <v>2.4561623073148349</v>
      </c>
      <c r="E435" s="307">
        <f t="shared" ca="1" si="183"/>
        <v>10.787785215328791</v>
      </c>
      <c r="F435" s="304">
        <f t="shared" ca="1" si="184"/>
        <v>11.063862035109647</v>
      </c>
      <c r="G435" s="306">
        <f t="shared" ca="1" si="185"/>
        <v>32.720521396289413</v>
      </c>
      <c r="H435" s="307">
        <f t="shared" ca="1" si="186"/>
        <v>274.30162914133177</v>
      </c>
      <c r="I435" s="304">
        <f t="shared" ca="1" si="187"/>
        <v>276.24629639152403</v>
      </c>
      <c r="J435" s="306">
        <f t="shared" ca="1" si="188"/>
        <v>77.349052029328334</v>
      </c>
      <c r="K435" s="307">
        <f t="shared" ca="1" si="189"/>
        <v>694.27453535772065</v>
      </c>
      <c r="L435" s="304">
        <f t="shared" ca="1" si="174"/>
        <v>698.56997236927862</v>
      </c>
      <c r="M435" s="306">
        <f t="shared" ca="1" si="190"/>
        <v>1.4520706873038374</v>
      </c>
      <c r="N435" s="304">
        <f t="shared" ca="1" si="191"/>
        <v>83.197521937170578</v>
      </c>
      <c r="P435" s="310">
        <f t="shared" ca="1" si="192"/>
        <v>16</v>
      </c>
      <c r="Q435" s="304">
        <f t="shared" ca="1" si="193"/>
        <v>420.72083333338054</v>
      </c>
      <c r="R435" s="306">
        <f t="shared" ca="1" si="194"/>
        <v>0.21075263824103557</v>
      </c>
      <c r="S435" s="307">
        <f t="shared" ca="1" si="195"/>
        <v>9.173064256397069</v>
      </c>
      <c r="T435" s="304">
        <f t="shared" ca="1" si="175"/>
        <v>89.987760355255247</v>
      </c>
      <c r="U435" s="311">
        <f t="shared" ca="1" si="176"/>
        <v>0</v>
      </c>
      <c r="V435" s="306">
        <f t="shared" ca="1" si="177"/>
        <v>1.1428046754564809</v>
      </c>
      <c r="W435" s="304">
        <f t="shared" ca="1" si="178"/>
        <v>230.55781115420089</v>
      </c>
      <c r="Y435" s="314" t="str">
        <f t="shared" ca="1" si="196"/>
        <v/>
      </c>
      <c r="Z435" s="315" t="str">
        <f t="shared" ca="1" si="197"/>
        <v/>
      </c>
      <c r="AA435" s="316" t="str">
        <f t="shared" ca="1" si="198"/>
        <v/>
      </c>
      <c r="AC435" s="310" t="e">
        <f t="shared" ca="1" si="199"/>
        <v>#N/A</v>
      </c>
      <c r="AD435" s="323" t="e">
        <f t="shared" ca="1" si="200"/>
        <v>#N/A</v>
      </c>
      <c r="AE435" s="324">
        <f t="shared" ca="1" si="179"/>
        <v>694.27453535772065</v>
      </c>
      <c r="AG435" s="306">
        <f t="shared" ca="1" si="201"/>
        <v>11.002719388526755</v>
      </c>
      <c r="AH435" s="304">
        <f t="shared" ca="1" si="202"/>
        <v>20.743709626214194</v>
      </c>
    </row>
    <row r="436" spans="1:34" x14ac:dyDescent="0.2">
      <c r="A436" s="347">
        <f t="shared" ca="1" si="180"/>
        <v>0.01</v>
      </c>
      <c r="B436" s="304">
        <f t="shared" ca="1" si="181"/>
        <v>4.3199999999999523</v>
      </c>
      <c r="D436" s="306">
        <f t="shared" ca="1" si="182"/>
        <v>2.2972170517357151</v>
      </c>
      <c r="E436" s="307">
        <f t="shared" ca="1" si="183"/>
        <v>9.4479565634247979</v>
      </c>
      <c r="F436" s="304">
        <f t="shared" ca="1" si="184"/>
        <v>9.7232242289863429</v>
      </c>
      <c r="G436" s="306">
        <f t="shared" ca="1" si="185"/>
        <v>32.743493566806769</v>
      </c>
      <c r="H436" s="307">
        <f t="shared" ca="1" si="186"/>
        <v>274.396108706966</v>
      </c>
      <c r="I436" s="304">
        <f t="shared" ca="1" si="187"/>
        <v>276.34283208450444</v>
      </c>
      <c r="J436" s="306">
        <f t="shared" ca="1" si="188"/>
        <v>77.676372104143809</v>
      </c>
      <c r="K436" s="307">
        <f t="shared" ca="1" si="189"/>
        <v>697.01802404696218</v>
      </c>
      <c r="L436" s="304">
        <f t="shared" ca="1" si="174"/>
        <v>701.33283441572371</v>
      </c>
      <c r="M436" s="306">
        <f t="shared" ca="1" si="190"/>
        <v>1.4520286393802155</v>
      </c>
      <c r="N436" s="304">
        <f t="shared" ca="1" si="191"/>
        <v>83.195112768609746</v>
      </c>
      <c r="P436" s="310">
        <f t="shared" ca="1" si="192"/>
        <v>17</v>
      </c>
      <c r="Q436" s="304">
        <f t="shared" ca="1" si="193"/>
        <v>408.42500000006868</v>
      </c>
      <c r="R436" s="306">
        <f t="shared" ca="1" si="194"/>
        <v>0.20459325864997518</v>
      </c>
      <c r="S436" s="307">
        <f t="shared" ca="1" si="195"/>
        <v>9.1710183238105696</v>
      </c>
      <c r="T436" s="304">
        <f t="shared" ca="1" si="175"/>
        <v>89.967689756581692</v>
      </c>
      <c r="U436" s="311">
        <f t="shared" ca="1" si="176"/>
        <v>0</v>
      </c>
      <c r="V436" s="306">
        <f t="shared" ca="1" si="177"/>
        <v>1.1424908116265364</v>
      </c>
      <c r="W436" s="304">
        <f t="shared" ca="1" si="178"/>
        <v>230.65561308352312</v>
      </c>
      <c r="Y436" s="314" t="str">
        <f t="shared" ca="1" si="196"/>
        <v/>
      </c>
      <c r="Z436" s="315" t="str">
        <f t="shared" ca="1" si="197"/>
        <v/>
      </c>
      <c r="AA436" s="316" t="str">
        <f t="shared" ca="1" si="198"/>
        <v/>
      </c>
      <c r="AC436" s="310" t="e">
        <f t="shared" ca="1" si="199"/>
        <v>#N/A</v>
      </c>
      <c r="AD436" s="323" t="e">
        <f t="shared" ca="1" si="200"/>
        <v>#N/A</v>
      </c>
      <c r="AE436" s="324">
        <f t="shared" ca="1" si="179"/>
        <v>697.01802404696218</v>
      </c>
      <c r="AG436" s="306">
        <f t="shared" ca="1" si="201"/>
        <v>9.6535448689513093</v>
      </c>
      <c r="AH436" s="304">
        <f t="shared" ca="1" si="202"/>
        <v>19.394486257221189</v>
      </c>
    </row>
    <row r="437" spans="1:34" x14ac:dyDescent="0.2">
      <c r="A437" s="347">
        <f t="shared" ca="1" si="180"/>
        <v>0.01</v>
      </c>
      <c r="B437" s="304">
        <f t="shared" ca="1" si="181"/>
        <v>4.3299999999999521</v>
      </c>
      <c r="D437" s="306">
        <f t="shared" ca="1" si="182"/>
        <v>2.1092324072407802</v>
      </c>
      <c r="E437" s="307">
        <f t="shared" ca="1" si="183"/>
        <v>7.8657304080775017</v>
      </c>
      <c r="F437" s="304">
        <f t="shared" ca="1" si="184"/>
        <v>8.1436218109824932</v>
      </c>
      <c r="G437" s="306">
        <f t="shared" ca="1" si="185"/>
        <v>32.764585890879175</v>
      </c>
      <c r="H437" s="307">
        <f t="shared" ca="1" si="186"/>
        <v>274.47476601104677</v>
      </c>
      <c r="I437" s="304">
        <f t="shared" ca="1" si="187"/>
        <v>276.42343472545826</v>
      </c>
      <c r="J437" s="306">
        <f t="shared" ca="1" si="188"/>
        <v>78.003912501432239</v>
      </c>
      <c r="K437" s="307">
        <f t="shared" ca="1" si="189"/>
        <v>699.7623784205523</v>
      </c>
      <c r="L437" s="304">
        <f t="shared" ca="1" si="174"/>
        <v>704.0965818822865</v>
      </c>
      <c r="M437" s="306">
        <f t="shared" ca="1" si="190"/>
        <v>1.4519865889000825</v>
      </c>
      <c r="N437" s="304">
        <f t="shared" ca="1" si="191"/>
        <v>83.192703453571625</v>
      </c>
      <c r="P437" s="310">
        <f t="shared" ca="1" si="192"/>
        <v>17</v>
      </c>
      <c r="Q437" s="304">
        <f t="shared" ca="1" si="193"/>
        <v>393.87500000006906</v>
      </c>
      <c r="R437" s="306">
        <f t="shared" ca="1" si="194"/>
        <v>0.19730469425417044</v>
      </c>
      <c r="S437" s="307">
        <f t="shared" ca="1" si="195"/>
        <v>9.1690452768680277</v>
      </c>
      <c r="T437" s="304">
        <f t="shared" ca="1" si="175"/>
        <v>89.948334166075355</v>
      </c>
      <c r="U437" s="311">
        <f t="shared" ca="1" si="176"/>
        <v>0</v>
      </c>
      <c r="V437" s="306">
        <f t="shared" ca="1" si="177"/>
        <v>1.1421769319962034</v>
      </c>
      <c r="W437" s="304">
        <f t="shared" ca="1" si="178"/>
        <v>230.72678061497643</v>
      </c>
      <c r="Y437" s="314" t="str">
        <f t="shared" ca="1" si="196"/>
        <v/>
      </c>
      <c r="Z437" s="315" t="str">
        <f t="shared" ca="1" si="197"/>
        <v/>
      </c>
      <c r="AA437" s="316" t="str">
        <f t="shared" ca="1" si="198"/>
        <v/>
      </c>
      <c r="AC437" s="310" t="e">
        <f t="shared" ca="1" si="199"/>
        <v>#N/A</v>
      </c>
      <c r="AD437" s="323" t="e">
        <f t="shared" ca="1" si="200"/>
        <v>#N/A</v>
      </c>
      <c r="AE437" s="324">
        <f t="shared" ca="1" si="179"/>
        <v>699.7623784205523</v>
      </c>
      <c r="AG437" s="306">
        <f t="shared" ca="1" si="201"/>
        <v>8.0602396561919303</v>
      </c>
      <c r="AH437" s="304">
        <f t="shared" ca="1" si="202"/>
        <v>17.80113217766753</v>
      </c>
    </row>
    <row r="438" spans="1:34" x14ac:dyDescent="0.2">
      <c r="A438" s="347">
        <f t="shared" ca="1" si="180"/>
        <v>0.01</v>
      </c>
      <c r="B438" s="304">
        <f t="shared" ca="1" si="181"/>
        <v>4.3399999999999519</v>
      </c>
      <c r="D438" s="306">
        <f t="shared" ca="1" si="182"/>
        <v>1.9213625587082541</v>
      </c>
      <c r="E438" s="307">
        <f t="shared" ca="1" si="183"/>
        <v>6.2855960340899433</v>
      </c>
      <c r="F438" s="304">
        <f t="shared" ca="1" si="184"/>
        <v>6.5726974360435264</v>
      </c>
      <c r="G438" s="306">
        <f t="shared" ca="1" si="185"/>
        <v>32.78379951646626</v>
      </c>
      <c r="H438" s="307">
        <f t="shared" ca="1" si="186"/>
        <v>274.53762197138769</v>
      </c>
      <c r="I438" s="304">
        <f t="shared" ca="1" si="187"/>
        <v>276.48812522139252</v>
      </c>
      <c r="J438" s="306">
        <f t="shared" ca="1" si="188"/>
        <v>78.331654428468966</v>
      </c>
      <c r="K438" s="307">
        <f t="shared" ca="1" si="189"/>
        <v>702.50744036046444</v>
      </c>
      <c r="L438" s="304">
        <f t="shared" ca="1" si="174"/>
        <v>706.86105554579296</v>
      </c>
      <c r="M438" s="306">
        <f t="shared" ca="1" si="190"/>
        <v>1.4519445334439114</v>
      </c>
      <c r="N438" s="304">
        <f t="shared" ca="1" si="191"/>
        <v>83.190293853427534</v>
      </c>
      <c r="P438" s="310">
        <f t="shared" ca="1" si="192"/>
        <v>17</v>
      </c>
      <c r="Q438" s="304">
        <f t="shared" ca="1" si="193"/>
        <v>379.32500000006945</v>
      </c>
      <c r="R438" s="306">
        <f t="shared" ca="1" si="194"/>
        <v>0.19001612985836566</v>
      </c>
      <c r="S438" s="307">
        <f t="shared" ca="1" si="195"/>
        <v>9.1671451155694434</v>
      </c>
      <c r="T438" s="304">
        <f t="shared" ca="1" si="175"/>
        <v>89.929693583736238</v>
      </c>
      <c r="U438" s="311">
        <f t="shared" ca="1" si="176"/>
        <v>0</v>
      </c>
      <c r="V438" s="306">
        <f t="shared" ca="1" si="177"/>
        <v>1.1418630546883568</v>
      </c>
      <c r="W438" s="304">
        <f t="shared" ca="1" si="178"/>
        <v>230.77135092720837</v>
      </c>
      <c r="Y438" s="314" t="str">
        <f t="shared" ca="1" si="196"/>
        <v/>
      </c>
      <c r="Z438" s="315" t="str">
        <f t="shared" ca="1" si="197"/>
        <v/>
      </c>
      <c r="AA438" s="316" t="str">
        <f t="shared" ca="1" si="198"/>
        <v/>
      </c>
      <c r="AC438" s="310" t="e">
        <f t="shared" ca="1" si="199"/>
        <v>#N/A</v>
      </c>
      <c r="AD438" s="323" t="e">
        <f t="shared" ca="1" si="200"/>
        <v>#N/A</v>
      </c>
      <c r="AE438" s="324">
        <f t="shared" ca="1" si="179"/>
        <v>702.50744036046444</v>
      </c>
      <c r="AG438" s="306">
        <f t="shared" ca="1" si="201"/>
        <v>6.4690251427312386</v>
      </c>
      <c r="AH438" s="304">
        <f t="shared" ca="1" si="202"/>
        <v>16.209868777217718</v>
      </c>
    </row>
    <row r="439" spans="1:34" x14ac:dyDescent="0.2">
      <c r="A439" s="347">
        <f t="shared" ca="1" si="180"/>
        <v>0.01</v>
      </c>
      <c r="B439" s="304">
        <f t="shared" ca="1" si="181"/>
        <v>4.3499999999999517</v>
      </c>
      <c r="D439" s="306">
        <f t="shared" ca="1" si="182"/>
        <v>1.7336119665550636</v>
      </c>
      <c r="E439" s="307">
        <f t="shared" ca="1" si="183"/>
        <v>4.7075883741028068</v>
      </c>
      <c r="F439" s="304">
        <f t="shared" ca="1" si="184"/>
        <v>5.0166521456615687</v>
      </c>
      <c r="G439" s="306">
        <f t="shared" ca="1" si="185"/>
        <v>32.801135636131811</v>
      </c>
      <c r="H439" s="307">
        <f t="shared" ca="1" si="186"/>
        <v>274.5846978551287</v>
      </c>
      <c r="I439" s="304">
        <f t="shared" ca="1" si="187"/>
        <v>276.53692483140878</v>
      </c>
      <c r="J439" s="306">
        <f t="shared" ca="1" si="188"/>
        <v>78.659579104231952</v>
      </c>
      <c r="K439" s="307">
        <f t="shared" ca="1" si="189"/>
        <v>705.25305195959697</v>
      </c>
      <c r="L439" s="304">
        <f t="shared" ca="1" si="174"/>
        <v>709.62609639385505</v>
      </c>
      <c r="M439" s="306">
        <f t="shared" ca="1" si="190"/>
        <v>1.4519024705953965</v>
      </c>
      <c r="N439" s="304">
        <f t="shared" ca="1" si="191"/>
        <v>83.187883829733323</v>
      </c>
      <c r="P439" s="310">
        <f t="shared" ca="1" si="192"/>
        <v>17</v>
      </c>
      <c r="Q439" s="304">
        <f t="shared" ca="1" si="193"/>
        <v>364.77500000006984</v>
      </c>
      <c r="R439" s="306">
        <f t="shared" ca="1" si="194"/>
        <v>0.18272756546256091</v>
      </c>
      <c r="S439" s="307">
        <f t="shared" ca="1" si="195"/>
        <v>9.1653178399148185</v>
      </c>
      <c r="T439" s="304">
        <f t="shared" ca="1" si="175"/>
        <v>89.911768009564369</v>
      </c>
      <c r="U439" s="311">
        <f t="shared" ca="1" si="176"/>
        <v>0</v>
      </c>
      <c r="V439" s="306">
        <f t="shared" ca="1" si="177"/>
        <v>1.1415491977825656</v>
      </c>
      <c r="W439" s="304">
        <f t="shared" ca="1" si="178"/>
        <v>230.78936639383136</v>
      </c>
      <c r="Y439" s="314" t="str">
        <f t="shared" ca="1" si="196"/>
        <v/>
      </c>
      <c r="Z439" s="315" t="str">
        <f t="shared" ca="1" si="197"/>
        <v/>
      </c>
      <c r="AA439" s="316" t="str">
        <f t="shared" ca="1" si="198"/>
        <v/>
      </c>
      <c r="AC439" s="310" t="e">
        <f t="shared" ca="1" si="199"/>
        <v>#N/A</v>
      </c>
      <c r="AD439" s="323" t="e">
        <f t="shared" ca="1" si="200"/>
        <v>#N/A</v>
      </c>
      <c r="AE439" s="324">
        <f t="shared" ca="1" si="179"/>
        <v>705.25305195959697</v>
      </c>
      <c r="AG439" s="306">
        <f t="shared" ca="1" si="201"/>
        <v>4.8799365380225375</v>
      </c>
      <c r="AH439" s="304">
        <f t="shared" ca="1" si="202"/>
        <v>14.620731262507627</v>
      </c>
    </row>
    <row r="440" spans="1:34" x14ac:dyDescent="0.2">
      <c r="A440" s="347">
        <f t="shared" ca="1" si="180"/>
        <v>0.01</v>
      </c>
      <c r="B440" s="304">
        <f t="shared" ca="1" si="181"/>
        <v>4.3599999999999515</v>
      </c>
      <c r="D440" s="306">
        <f t="shared" ca="1" si="182"/>
        <v>1.545985005935324</v>
      </c>
      <c r="E440" s="307">
        <f t="shared" ca="1" si="183"/>
        <v>3.1317417266401559</v>
      </c>
      <c r="F440" s="304">
        <f t="shared" ca="1" si="184"/>
        <v>3.4925457593216884</v>
      </c>
      <c r="G440" s="306">
        <f t="shared" ca="1" si="185"/>
        <v>32.816595486191162</v>
      </c>
      <c r="H440" s="307">
        <f t="shared" ca="1" si="186"/>
        <v>274.61601527239509</v>
      </c>
      <c r="I440" s="304">
        <f t="shared" ca="1" si="187"/>
        <v>276.56985516030596</v>
      </c>
      <c r="J440" s="306">
        <f t="shared" ca="1" si="188"/>
        <v>78.987667759843561</v>
      </c>
      <c r="K440" s="307">
        <f t="shared" ca="1" si="189"/>
        <v>707.99905552523455</v>
      </c>
      <c r="L440" s="304">
        <f t="shared" ca="1" si="174"/>
        <v>712.39154562835995</v>
      </c>
      <c r="M440" s="306">
        <f t="shared" ca="1" si="190"/>
        <v>1.4518603979406717</v>
      </c>
      <c r="N440" s="304">
        <f t="shared" ca="1" si="191"/>
        <v>83.185473244184692</v>
      </c>
      <c r="P440" s="310">
        <f t="shared" ca="1" si="192"/>
        <v>17</v>
      </c>
      <c r="Q440" s="304">
        <f t="shared" ca="1" si="193"/>
        <v>350.22500000007022</v>
      </c>
      <c r="R440" s="306">
        <f t="shared" ca="1" si="194"/>
        <v>0.17543900106675614</v>
      </c>
      <c r="S440" s="307">
        <f t="shared" ca="1" si="195"/>
        <v>9.1635634499041512</v>
      </c>
      <c r="T440" s="304">
        <f t="shared" ca="1" si="175"/>
        <v>89.894557443559734</v>
      </c>
      <c r="U440" s="311">
        <f t="shared" ca="1" si="176"/>
        <v>0</v>
      </c>
      <c r="V440" s="306">
        <f t="shared" ca="1" si="177"/>
        <v>1.1412353793147387</v>
      </c>
      <c r="W440" s="304">
        <f t="shared" ca="1" si="178"/>
        <v>230.78087454158594</v>
      </c>
      <c r="Y440" s="314" t="str">
        <f t="shared" ca="1" si="196"/>
        <v/>
      </c>
      <c r="Z440" s="315" t="str">
        <f t="shared" ca="1" si="197"/>
        <v/>
      </c>
      <c r="AA440" s="316" t="str">
        <f t="shared" ca="1" si="198"/>
        <v/>
      </c>
      <c r="AC440" s="310" t="e">
        <f t="shared" ca="1" si="199"/>
        <v>#N/A</v>
      </c>
      <c r="AD440" s="323" t="e">
        <f t="shared" ca="1" si="200"/>
        <v>#N/A</v>
      </c>
      <c r="AE440" s="324">
        <f t="shared" ca="1" si="179"/>
        <v>707.99905552523455</v>
      </c>
      <c r="AG440" s="306">
        <f t="shared" ca="1" si="201"/>
        <v>3.2930084117919094</v>
      </c>
      <c r="AH440" s="304">
        <f t="shared" ca="1" si="202"/>
        <v>13.033754200445694</v>
      </c>
    </row>
    <row r="441" spans="1:34" x14ac:dyDescent="0.2">
      <c r="A441" s="347">
        <f t="shared" ca="1" si="180"/>
        <v>0.01</v>
      </c>
      <c r="B441" s="304">
        <f t="shared" ca="1" si="181"/>
        <v>4.3699999999999513</v>
      </c>
      <c r="D441" s="306">
        <f t="shared" ca="1" si="182"/>
        <v>1.3584859668347378</v>
      </c>
      <c r="E441" s="307">
        <f t="shared" ca="1" si="183"/>
        <v>1.5580897572876804</v>
      </c>
      <c r="F441" s="304">
        <f t="shared" ca="1" si="184"/>
        <v>2.0671545210389315</v>
      </c>
      <c r="G441" s="306">
        <f t="shared" ca="1" si="185"/>
        <v>32.83018034585951</v>
      </c>
      <c r="H441" s="307">
        <f t="shared" ca="1" si="186"/>
        <v>274.63159616996796</v>
      </c>
      <c r="I441" s="304">
        <f t="shared" ca="1" si="187"/>
        <v>276.58693815219476</v>
      </c>
      <c r="J441" s="306">
        <f t="shared" ca="1" si="188"/>
        <v>79.315901639003812</v>
      </c>
      <c r="K441" s="307">
        <f t="shared" ca="1" si="189"/>
        <v>710.74529358244638</v>
      </c>
      <c r="L441" s="304">
        <f t="shared" ca="1" si="174"/>
        <v>715.15724466889526</v>
      </c>
      <c r="M441" s="306">
        <f t="shared" ca="1" si="190"/>
        <v>1.4518183130675346</v>
      </c>
      <c r="N441" s="304">
        <f t="shared" ca="1" si="191"/>
        <v>83.183061958572594</v>
      </c>
      <c r="P441" s="310">
        <f t="shared" ca="1" si="192"/>
        <v>17</v>
      </c>
      <c r="Q441" s="304">
        <f t="shared" ca="1" si="193"/>
        <v>335.67500000007061</v>
      </c>
      <c r="R441" s="306">
        <f t="shared" ca="1" si="194"/>
        <v>0.16815043667095139</v>
      </c>
      <c r="S441" s="307">
        <f t="shared" ca="1" si="195"/>
        <v>9.1618819455374414</v>
      </c>
      <c r="T441" s="304">
        <f t="shared" ca="1" si="175"/>
        <v>89.878061885722303</v>
      </c>
      <c r="U441" s="311">
        <f t="shared" ca="1" si="176"/>
        <v>0</v>
      </c>
      <c r="V441" s="306">
        <f t="shared" ca="1" si="177"/>
        <v>1.140921617276778</v>
      </c>
      <c r="W441" s="304">
        <f t="shared" ca="1" si="178"/>
        <v>230.74592800811428</v>
      </c>
      <c r="Y441" s="314" t="str">
        <f t="shared" ca="1" si="196"/>
        <v/>
      </c>
      <c r="Z441" s="315" t="str">
        <f t="shared" ca="1" si="197"/>
        <v/>
      </c>
      <c r="AA441" s="316" t="str">
        <f t="shared" ca="1" si="198"/>
        <v/>
      </c>
      <c r="AC441" s="310" t="e">
        <f t="shared" ca="1" si="199"/>
        <v>#N/A</v>
      </c>
      <c r="AD441" s="323" t="e">
        <f t="shared" ca="1" si="200"/>
        <v>#N/A</v>
      </c>
      <c r="AE441" s="324">
        <f t="shared" ca="1" si="179"/>
        <v>710.74529358244638</v>
      </c>
      <c r="AG441" s="306">
        <f t="shared" ca="1" si="201"/>
        <v>1.7082746952176393</v>
      </c>
      <c r="AH441" s="304">
        <f t="shared" ca="1" si="202"/>
        <v>11.448971519391424</v>
      </c>
    </row>
    <row r="442" spans="1:34" x14ac:dyDescent="0.2">
      <c r="A442" s="347">
        <f t="shared" ca="1" si="180"/>
        <v>0.01</v>
      </c>
      <c r="B442" s="304">
        <f t="shared" ca="1" si="181"/>
        <v>4.379999999999951</v>
      </c>
      <c r="D442" s="306">
        <f t="shared" ca="1" si="182"/>
        <v>1.1711190541736127</v>
      </c>
      <c r="E442" s="307">
        <f t="shared" ca="1" si="183"/>
        <v>-1.3334500009063888E-2</v>
      </c>
      <c r="F442" s="304">
        <f t="shared" ca="1" si="184"/>
        <v>1.1711949658101288</v>
      </c>
      <c r="G442" s="306">
        <f t="shared" ca="1" si="185"/>
        <v>32.841891536401249</v>
      </c>
      <c r="H442" s="307">
        <f t="shared" ca="1" si="186"/>
        <v>274.63146282496785</v>
      </c>
      <c r="I442" s="304">
        <f t="shared" ca="1" si="187"/>
        <v>276.58819608412512</v>
      </c>
      <c r="J442" s="306">
        <f t="shared" ca="1" si="188"/>
        <v>79.644261998415118</v>
      </c>
      <c r="K442" s="307">
        <f t="shared" ca="1" si="189"/>
        <v>713.49160887742107</v>
      </c>
      <c r="L442" s="304">
        <f t="shared" ca="1" si="174"/>
        <v>717.92303515611127</v>
      </c>
      <c r="M442" s="306">
        <f t="shared" ca="1" si="190"/>
        <v>1.451776213564671</v>
      </c>
      <c r="N442" s="304">
        <f t="shared" ca="1" si="191"/>
        <v>83.180649834738901</v>
      </c>
      <c r="P442" s="310">
        <f t="shared" ca="1" si="192"/>
        <v>17</v>
      </c>
      <c r="Q442" s="304">
        <f t="shared" ca="1" si="193"/>
        <v>321.125000000071</v>
      </c>
      <c r="R442" s="306">
        <f t="shared" ca="1" si="194"/>
        <v>0.16086187227514662</v>
      </c>
      <c r="S442" s="307">
        <f t="shared" ca="1" si="195"/>
        <v>9.1602733268146892</v>
      </c>
      <c r="T442" s="304">
        <f t="shared" ca="1" si="175"/>
        <v>89.862281336052106</v>
      </c>
      <c r="U442" s="311">
        <f t="shared" ca="1" si="176"/>
        <v>0</v>
      </c>
      <c r="V442" s="306">
        <f t="shared" ca="1" si="177"/>
        <v>1.1406079296162459</v>
      </c>
      <c r="W442" s="304">
        <f t="shared" ca="1" si="178"/>
        <v>230.68458449936733</v>
      </c>
      <c r="Y442" s="314" t="str">
        <f t="shared" ca="1" si="196"/>
        <v/>
      </c>
      <c r="Z442" s="315" t="str">
        <f t="shared" ca="1" si="197"/>
        <v/>
      </c>
      <c r="AA442" s="316" t="str">
        <f t="shared" ca="1" si="198"/>
        <v/>
      </c>
      <c r="AC442" s="310" t="e">
        <f t="shared" ca="1" si="199"/>
        <v>#N/A</v>
      </c>
      <c r="AD442" s="323" t="e">
        <f t="shared" ca="1" si="200"/>
        <v>#N/A</v>
      </c>
      <c r="AE442" s="324">
        <f t="shared" ca="1" si="179"/>
        <v>713.49160887742107</v>
      </c>
      <c r="AG442" s="306">
        <f t="shared" ca="1" si="201"/>
        <v>0.12576868222979165</v>
      </c>
      <c r="AH442" s="304">
        <f t="shared" ca="1" si="202"/>
        <v>9.866416510454096</v>
      </c>
    </row>
    <row r="443" spans="1:34" x14ac:dyDescent="0.2">
      <c r="A443" s="347">
        <f t="shared" ca="1" si="180"/>
        <v>0.01</v>
      </c>
      <c r="B443" s="304">
        <f t="shared" ca="1" si="181"/>
        <v>4.3899999999999508</v>
      </c>
      <c r="D443" s="306">
        <f t="shared" ca="1" si="182"/>
        <v>0.98388838791827848</v>
      </c>
      <c r="E443" s="307">
        <f t="shared" ca="1" si="183"/>
        <v>-1.5824986415290709</v>
      </c>
      <c r="F443" s="304">
        <f t="shared" ca="1" si="184"/>
        <v>1.863421130695309</v>
      </c>
      <c r="G443" s="306">
        <f t="shared" ca="1" si="185"/>
        <v>32.851730420280433</v>
      </c>
      <c r="H443" s="307">
        <f t="shared" ca="1" si="186"/>
        <v>274.61563783855257</v>
      </c>
      <c r="I443" s="304">
        <f t="shared" ca="1" si="187"/>
        <v>276.57365155972803</v>
      </c>
      <c r="J443" s="306">
        <f t="shared" ca="1" si="188"/>
        <v>79.972730108198533</v>
      </c>
      <c r="K443" s="307">
        <f t="shared" ca="1" si="189"/>
        <v>716.23784438073869</v>
      </c>
      <c r="L443" s="304">
        <f t="shared" ca="1" si="174"/>
        <v>720.68875895501935</v>
      </c>
      <c r="M443" s="306">
        <f t="shared" ca="1" si="190"/>
        <v>1.451734097020881</v>
      </c>
      <c r="N443" s="304">
        <f t="shared" ca="1" si="191"/>
        <v>83.178236734532064</v>
      </c>
      <c r="P443" s="310">
        <f t="shared" ca="1" si="192"/>
        <v>17</v>
      </c>
      <c r="Q443" s="304">
        <f t="shared" ca="1" si="193"/>
        <v>306.57500000007138</v>
      </c>
      <c r="R443" s="306">
        <f t="shared" ca="1" si="194"/>
        <v>0.15357330787934187</v>
      </c>
      <c r="S443" s="307">
        <f t="shared" ca="1" si="195"/>
        <v>9.1587375937358964</v>
      </c>
      <c r="T443" s="304">
        <f t="shared" ca="1" si="175"/>
        <v>89.847215794549143</v>
      </c>
      <c r="U443" s="311">
        <f t="shared" ca="1" si="176"/>
        <v>0</v>
      </c>
      <c r="V443" s="306">
        <f t="shared" ca="1" si="177"/>
        <v>1.1402943342360403</v>
      </c>
      <c r="W443" s="304">
        <f t="shared" ca="1" si="178"/>
        <v>230.59690674666382</v>
      </c>
      <c r="Y443" s="314" t="str">
        <f t="shared" ca="1" si="196"/>
        <v/>
      </c>
      <c r="Z443" s="315" t="str">
        <f t="shared" ca="1" si="197"/>
        <v/>
      </c>
      <c r="AA443" s="316" t="str">
        <f t="shared" ca="1" si="198"/>
        <v/>
      </c>
      <c r="AC443" s="310" t="e">
        <f t="shared" ca="1" si="199"/>
        <v>#N/A</v>
      </c>
      <c r="AD443" s="323" t="e">
        <f t="shared" ca="1" si="200"/>
        <v>#N/A</v>
      </c>
      <c r="AE443" s="324">
        <f t="shared" ca="1" si="179"/>
        <v>716.23784438073869</v>
      </c>
      <c r="AG443" s="306">
        <f t="shared" ca="1" si="201"/>
        <v>-1.4544769690726724</v>
      </c>
      <c r="AH443" s="304">
        <f t="shared" ca="1" si="202"/>
        <v>8.2861218289089518</v>
      </c>
    </row>
    <row r="444" spans="1:34" x14ac:dyDescent="0.2">
      <c r="A444" s="347">
        <f t="shared" ca="1" si="180"/>
        <v>0.01</v>
      </c>
      <c r="B444" s="304">
        <f t="shared" ca="1" si="181"/>
        <v>4.3999999999999506</v>
      </c>
      <c r="D444" s="306">
        <f t="shared" ca="1" si="182"/>
        <v>0.79679800320068395</v>
      </c>
      <c r="E444" s="307">
        <f t="shared" ca="1" si="183"/>
        <v>-3.1493708922449839</v>
      </c>
      <c r="F444" s="304">
        <f t="shared" ca="1" si="184"/>
        <v>3.2486034037451486</v>
      </c>
      <c r="G444" s="306">
        <f t="shared" ca="1" si="185"/>
        <v>32.859698400312439</v>
      </c>
      <c r="H444" s="307">
        <f t="shared" ca="1" si="186"/>
        <v>274.58414412963015</v>
      </c>
      <c r="I444" s="304">
        <f t="shared" ca="1" si="187"/>
        <v>276.5433275028725</v>
      </c>
      <c r="J444" s="306">
        <f t="shared" ca="1" si="188"/>
        <v>80.301287252301492</v>
      </c>
      <c r="K444" s="307">
        <f t="shared" ca="1" si="189"/>
        <v>718.98384329057956</v>
      </c>
      <c r="L444" s="304">
        <f t="shared" ca="1" si="174"/>
        <v>723.45425815822614</v>
      </c>
      <c r="M444" s="306">
        <f t="shared" ca="1" si="190"/>
        <v>1.4516919610243066</v>
      </c>
      <c r="N444" s="304">
        <f t="shared" ca="1" si="191"/>
        <v>83.175822519762775</v>
      </c>
      <c r="P444" s="310">
        <f t="shared" ca="1" si="192"/>
        <v>17</v>
      </c>
      <c r="Q444" s="304">
        <f t="shared" ca="1" si="193"/>
        <v>292.02500000007177</v>
      </c>
      <c r="R444" s="306">
        <f t="shared" ca="1" si="194"/>
        <v>0.14628474348353709</v>
      </c>
      <c r="S444" s="307">
        <f t="shared" ca="1" si="195"/>
        <v>9.1572747463010611</v>
      </c>
      <c r="T444" s="304">
        <f t="shared" ca="1" si="175"/>
        <v>89.832865261213414</v>
      </c>
      <c r="U444" s="311">
        <f t="shared" ca="1" si="176"/>
        <v>0</v>
      </c>
      <c r="V444" s="306">
        <f t="shared" ca="1" si="177"/>
        <v>1.139980848994081</v>
      </c>
      <c r="W444" s="304">
        <f t="shared" ca="1" si="178"/>
        <v>230.48296246342147</v>
      </c>
      <c r="Y444" s="314" t="str">
        <f t="shared" ca="1" si="196"/>
        <v/>
      </c>
      <c r="Z444" s="315" t="str">
        <f t="shared" ca="1" si="197"/>
        <v/>
      </c>
      <c r="AA444" s="316" t="str">
        <f t="shared" ca="1" si="198"/>
        <v/>
      </c>
      <c r="AC444" s="310" t="e">
        <f t="shared" ca="1" si="199"/>
        <v>#N/A</v>
      </c>
      <c r="AD444" s="323" t="e">
        <f t="shared" ca="1" si="200"/>
        <v>#N/A</v>
      </c>
      <c r="AE444" s="324">
        <f t="shared" ca="1" si="179"/>
        <v>718.98384329057956</v>
      </c>
      <c r="AG444" s="306">
        <f t="shared" ca="1" si="201"/>
        <v>-3.0324302348893131</v>
      </c>
      <c r="AH444" s="304">
        <f t="shared" ca="1" si="202"/>
        <v>6.7081194957288872</v>
      </c>
    </row>
    <row r="445" spans="1:34" x14ac:dyDescent="0.2">
      <c r="A445" s="347">
        <f t="shared" ca="1" si="180"/>
        <v>0.01</v>
      </c>
      <c r="B445" s="304">
        <f t="shared" ca="1" si="181"/>
        <v>4.4099999999999504</v>
      </c>
      <c r="D445" s="306">
        <f t="shared" ca="1" si="182"/>
        <v>0.60985185044592782</v>
      </c>
      <c r="E445" s="307">
        <f t="shared" ca="1" si="183"/>
        <v>-4.7139201041792296</v>
      </c>
      <c r="F445" s="304">
        <f t="shared" ca="1" si="184"/>
        <v>4.7532054477034169</v>
      </c>
      <c r="G445" s="306">
        <f t="shared" ca="1" si="185"/>
        <v>32.865796918816898</v>
      </c>
      <c r="H445" s="307">
        <f t="shared" ca="1" si="186"/>
        <v>274.53700492858837</v>
      </c>
      <c r="I445" s="304">
        <f t="shared" ca="1" si="187"/>
        <v>276.49724715133902</v>
      </c>
      <c r="J445" s="306">
        <f t="shared" ca="1" si="188"/>
        <v>80.629914728897134</v>
      </c>
      <c r="K445" s="307">
        <f t="shared" ca="1" si="189"/>
        <v>721.72944903587063</v>
      </c>
      <c r="L445" s="304">
        <f t="shared" ca="1" si="174"/>
        <v>726.21937508910526</v>
      </c>
      <c r="M445" s="306">
        <f t="shared" ca="1" si="190"/>
        <v>1.4516498031616598</v>
      </c>
      <c r="N445" s="304">
        <f t="shared" ca="1" si="191"/>
        <v>83.173407052159817</v>
      </c>
      <c r="P445" s="310">
        <f t="shared" ca="1" si="192"/>
        <v>17</v>
      </c>
      <c r="Q445" s="304">
        <f t="shared" ca="1" si="193"/>
        <v>277.47500000007216</v>
      </c>
      <c r="R445" s="306">
        <f t="shared" ca="1" si="194"/>
        <v>0.13899617908773235</v>
      </c>
      <c r="S445" s="307">
        <f t="shared" ca="1" si="195"/>
        <v>9.1558847845101834</v>
      </c>
      <c r="T445" s="304">
        <f t="shared" ca="1" si="175"/>
        <v>89.819229736044903</v>
      </c>
      <c r="U445" s="311">
        <f t="shared" ca="1" si="176"/>
        <v>0</v>
      </c>
      <c r="V445" s="306">
        <f t="shared" ca="1" si="177"/>
        <v>1.1396674917030081</v>
      </c>
      <c r="W445" s="304">
        <f t="shared" ca="1" si="178"/>
        <v>230.34282430158106</v>
      </c>
      <c r="Y445" s="314" t="str">
        <f t="shared" ca="1" si="196"/>
        <v/>
      </c>
      <c r="Z445" s="315" t="str">
        <f t="shared" ca="1" si="197"/>
        <v/>
      </c>
      <c r="AA445" s="316" t="str">
        <f t="shared" ca="1" si="198"/>
        <v/>
      </c>
      <c r="AC445" s="310" t="e">
        <f t="shared" ca="1" si="199"/>
        <v>#N/A</v>
      </c>
      <c r="AD445" s="323" t="e">
        <f t="shared" ca="1" si="200"/>
        <v>#N/A</v>
      </c>
      <c r="AE445" s="324">
        <f t="shared" ca="1" si="179"/>
        <v>721.72944903587063</v>
      </c>
      <c r="AG445" s="306">
        <f t="shared" ca="1" si="201"/>
        <v>-4.6080597240725263</v>
      </c>
      <c r="AH445" s="304">
        <f t="shared" ca="1" si="202"/>
        <v>5.1324408992292314</v>
      </c>
    </row>
    <row r="446" spans="1:34" x14ac:dyDescent="0.2">
      <c r="A446" s="347">
        <f t="shared" ca="1" si="180"/>
        <v>0.01</v>
      </c>
      <c r="B446" s="304">
        <f t="shared" ca="1" si="181"/>
        <v>4.4199999999999502</v>
      </c>
      <c r="D446" s="306">
        <f t="shared" ca="1" si="182"/>
        <v>0.44078937476650093</v>
      </c>
      <c r="E446" s="307">
        <f t="shared" ca="1" si="183"/>
        <v>-6.1279656026093257</v>
      </c>
      <c r="F446" s="304">
        <f t="shared" ca="1" si="184"/>
        <v>6.1437983120924562</v>
      </c>
      <c r="G446" s="306">
        <f t="shared" ca="1" si="185"/>
        <v>32.870204812564566</v>
      </c>
      <c r="H446" s="307">
        <f t="shared" ca="1" si="186"/>
        <v>274.47572527256227</v>
      </c>
      <c r="I446" s="304">
        <f t="shared" ca="1" si="187"/>
        <v>276.43692613020971</v>
      </c>
      <c r="J446" s="306">
        <f t="shared" ca="1" si="188"/>
        <v>80.958594737554037</v>
      </c>
      <c r="K446" s="307">
        <f t="shared" ca="1" si="189"/>
        <v>724.47451268687644</v>
      </c>
      <c r="L446" s="304">
        <f t="shared" ca="1" si="174"/>
        <v>728.98395976507368</v>
      </c>
      <c r="M446" s="306">
        <f t="shared" ca="1" si="190"/>
        <v>1.4516076212451285</v>
      </c>
      <c r="N446" s="304">
        <f t="shared" ca="1" si="191"/>
        <v>83.170990206370803</v>
      </c>
      <c r="P446" s="310">
        <f t="shared" ca="1" si="192"/>
        <v>18</v>
      </c>
      <c r="Q446" s="304">
        <f t="shared" ca="1" si="193"/>
        <v>264.29090909096794</v>
      </c>
      <c r="R446" s="306">
        <f t="shared" ca="1" si="194"/>
        <v>0.13239184262098644</v>
      </c>
      <c r="S446" s="307">
        <f t="shared" ca="1" si="195"/>
        <v>9.1545608660839743</v>
      </c>
      <c r="T446" s="304">
        <f t="shared" ca="1" si="175"/>
        <v>89.806242096283796</v>
      </c>
      <c r="U446" s="311">
        <f t="shared" ca="1" si="176"/>
        <v>0</v>
      </c>
      <c r="V446" s="306">
        <f t="shared" ca="1" si="177"/>
        <v>1.1393542792848008</v>
      </c>
      <c r="W446" s="304">
        <f t="shared" ca="1" si="178"/>
        <v>230.17905443216867</v>
      </c>
      <c r="Y446" s="314" t="str">
        <f t="shared" ca="1" si="196"/>
        <v/>
      </c>
      <c r="Z446" s="315" t="str">
        <f t="shared" ca="1" si="197"/>
        <v/>
      </c>
      <c r="AA446" s="316" t="str">
        <f t="shared" ca="1" si="198"/>
        <v/>
      </c>
      <c r="AC446" s="310" t="e">
        <f t="shared" ca="1" si="199"/>
        <v>#N/A</v>
      </c>
      <c r="AD446" s="323" t="e">
        <f t="shared" ca="1" si="200"/>
        <v>#N/A</v>
      </c>
      <c r="AE446" s="324">
        <f t="shared" ca="1" si="179"/>
        <v>724.47451268687644</v>
      </c>
      <c r="AG446" s="306">
        <f t="shared" ca="1" si="201"/>
        <v>-6.0321267063387145</v>
      </c>
      <c r="AH446" s="304">
        <f t="shared" ca="1" si="202"/>
        <v>3.7083247668556689</v>
      </c>
    </row>
    <row r="447" spans="1:34" x14ac:dyDescent="0.2">
      <c r="A447" s="347">
        <f t="shared" ca="1" si="180"/>
        <v>0.01</v>
      </c>
      <c r="B447" s="304">
        <f t="shared" ca="1" si="181"/>
        <v>4.42999999999995</v>
      </c>
      <c r="D447" s="306">
        <f t="shared" ca="1" si="182"/>
        <v>0.28960794015011537</v>
      </c>
      <c r="E447" s="307">
        <f t="shared" ca="1" si="183"/>
        <v>-7.3916898656192522</v>
      </c>
      <c r="F447" s="304">
        <f t="shared" ca="1" si="184"/>
        <v>7.3973611395210623</v>
      </c>
      <c r="G447" s="306">
        <f t="shared" ca="1" si="185"/>
        <v>32.873100891966068</v>
      </c>
      <c r="H447" s="307">
        <f t="shared" ca="1" si="186"/>
        <v>274.40180837390608</v>
      </c>
      <c r="I447" s="304">
        <f t="shared" ca="1" si="187"/>
        <v>276.36387824953397</v>
      </c>
      <c r="J447" s="306">
        <f t="shared" ca="1" si="188"/>
        <v>81.287311266076685</v>
      </c>
      <c r="K447" s="307">
        <f t="shared" ca="1" si="189"/>
        <v>727.21890035510876</v>
      </c>
      <c r="L447" s="304">
        <f t="shared" ca="1" si="174"/>
        <v>731.74787735022619</v>
      </c>
      <c r="M447" s="306">
        <f t="shared" ca="1" si="190"/>
        <v>1.4515654133121787</v>
      </c>
      <c r="N447" s="304">
        <f t="shared" ca="1" si="191"/>
        <v>83.168571869950796</v>
      </c>
      <c r="P447" s="310">
        <f t="shared" ca="1" si="192"/>
        <v>18</v>
      </c>
      <c r="Q447" s="304">
        <f t="shared" ca="1" si="193"/>
        <v>252.47272727278633</v>
      </c>
      <c r="R447" s="306">
        <f t="shared" ca="1" si="194"/>
        <v>0.12647173408331305</v>
      </c>
      <c r="S447" s="307">
        <f t="shared" ca="1" si="195"/>
        <v>9.1532961487431415</v>
      </c>
      <c r="T447" s="304">
        <f t="shared" ca="1" si="175"/>
        <v>89.793835219170219</v>
      </c>
      <c r="U447" s="311">
        <f t="shared" ca="1" si="176"/>
        <v>0</v>
      </c>
      <c r="V447" s="306">
        <f t="shared" ca="1" si="177"/>
        <v>1.1390412269279651</v>
      </c>
      <c r="W447" s="304">
        <f t="shared" ca="1" si="178"/>
        <v>229.9942105768765</v>
      </c>
      <c r="Y447" s="314" t="str">
        <f t="shared" ca="1" si="196"/>
        <v/>
      </c>
      <c r="Z447" s="315" t="str">
        <f t="shared" ca="1" si="197"/>
        <v/>
      </c>
      <c r="AA447" s="316" t="str">
        <f t="shared" ca="1" si="198"/>
        <v/>
      </c>
      <c r="AC447" s="310" t="e">
        <f t="shared" ca="1" si="199"/>
        <v>#N/A</v>
      </c>
      <c r="AD447" s="323" t="e">
        <f t="shared" ca="1" si="200"/>
        <v>#N/A</v>
      </c>
      <c r="AE447" s="324">
        <f t="shared" ca="1" si="179"/>
        <v>727.21890035510876</v>
      </c>
      <c r="AG447" s="306">
        <f t="shared" ca="1" si="201"/>
        <v>-7.3048126848164117</v>
      </c>
      <c r="AH447" s="304">
        <f t="shared" ca="1" si="202"/>
        <v>2.4355895929007882</v>
      </c>
    </row>
    <row r="448" spans="1:34" x14ac:dyDescent="0.2">
      <c r="A448" s="347">
        <f t="shared" ca="1" si="180"/>
        <v>0.01</v>
      </c>
      <c r="B448" s="304">
        <f t="shared" ca="1" si="181"/>
        <v>4.4399999999999498</v>
      </c>
      <c r="D448" s="306">
        <f t="shared" ca="1" si="182"/>
        <v>0.13855108445764436</v>
      </c>
      <c r="E448" s="307">
        <f t="shared" ca="1" si="183"/>
        <v>-8.6534718023015937</v>
      </c>
      <c r="F448" s="304">
        <f t="shared" ca="1" si="184"/>
        <v>8.654580904713594</v>
      </c>
      <c r="G448" s="306">
        <f t="shared" ca="1" si="185"/>
        <v>32.874486402810646</v>
      </c>
      <c r="H448" s="307">
        <f t="shared" ca="1" si="186"/>
        <v>274.31527365588306</v>
      </c>
      <c r="I448" s="304">
        <f t="shared" ca="1" si="187"/>
        <v>276.27812294344011</v>
      </c>
      <c r="J448" s="306">
        <f t="shared" ca="1" si="188"/>
        <v>81.61604920255057</v>
      </c>
      <c r="K448" s="307">
        <f t="shared" ca="1" si="189"/>
        <v>729.96248576525772</v>
      </c>
      <c r="L448" s="304">
        <f t="shared" ca="1" si="174"/>
        <v>734.51100067461709</v>
      </c>
      <c r="M448" s="306">
        <f t="shared" ca="1" si="190"/>
        <v>1.4515231773974029</v>
      </c>
      <c r="N448" s="304">
        <f t="shared" ca="1" si="191"/>
        <v>83.166151930290269</v>
      </c>
      <c r="P448" s="310">
        <f t="shared" ca="1" si="192"/>
        <v>18</v>
      </c>
      <c r="Q448" s="304">
        <f t="shared" ca="1" si="193"/>
        <v>240.65454545460472</v>
      </c>
      <c r="R448" s="306">
        <f t="shared" ca="1" si="194"/>
        <v>0.12055162554563965</v>
      </c>
      <c r="S448" s="307">
        <f t="shared" ca="1" si="195"/>
        <v>9.1520906324876847</v>
      </c>
      <c r="T448" s="304">
        <f t="shared" ca="1" si="175"/>
        <v>89.782009104704187</v>
      </c>
      <c r="U448" s="311">
        <f t="shared" ca="1" si="176"/>
        <v>0</v>
      </c>
      <c r="V448" s="306">
        <f t="shared" ca="1" si="177"/>
        <v>1.1387283489368141</v>
      </c>
      <c r="W448" s="304">
        <f t="shared" ca="1" si="178"/>
        <v>229.78836213930825</v>
      </c>
      <c r="Y448" s="314" t="str">
        <f t="shared" ca="1" si="196"/>
        <v/>
      </c>
      <c r="Z448" s="315" t="str">
        <f t="shared" ca="1" si="197"/>
        <v/>
      </c>
      <c r="AA448" s="316" t="str">
        <f t="shared" ca="1" si="198"/>
        <v/>
      </c>
      <c r="AC448" s="310" t="e">
        <f t="shared" ca="1" si="199"/>
        <v>#N/A</v>
      </c>
      <c r="AD448" s="323" t="e">
        <f t="shared" ca="1" si="200"/>
        <v>#N/A</v>
      </c>
      <c r="AE448" s="324">
        <f t="shared" ca="1" si="179"/>
        <v>729.96248576525772</v>
      </c>
      <c r="AG448" s="306">
        <f t="shared" ca="1" si="201"/>
        <v>-8.5755552516389315</v>
      </c>
      <c r="AH448" s="304">
        <f t="shared" ca="1" si="202"/>
        <v>1.1647977829116589</v>
      </c>
    </row>
    <row r="449" spans="1:34" x14ac:dyDescent="0.2">
      <c r="A449" s="347">
        <f t="shared" ca="1" si="180"/>
        <v>0.01</v>
      </c>
      <c r="B449" s="304">
        <f t="shared" ca="1" si="181"/>
        <v>4.4499999999999496</v>
      </c>
      <c r="D449" s="306">
        <f t="shared" ca="1" si="182"/>
        <v>-1.2378922174551565E-2</v>
      </c>
      <c r="E449" s="307">
        <f t="shared" ca="1" si="183"/>
        <v>-9.9132937026686658</v>
      </c>
      <c r="F449" s="304">
        <f t="shared" ca="1" si="184"/>
        <v>9.9133014315657935</v>
      </c>
      <c r="G449" s="306">
        <f t="shared" ca="1" si="185"/>
        <v>32.8743626135889</v>
      </c>
      <c r="H449" s="307">
        <f t="shared" ca="1" si="186"/>
        <v>274.21614071885637</v>
      </c>
      <c r="I449" s="304">
        <f t="shared" ca="1" si="187"/>
        <v>276.17967982455434</v>
      </c>
      <c r="J449" s="306">
        <f t="shared" ca="1" si="188"/>
        <v>81.944793447632563</v>
      </c>
      <c r="K449" s="307">
        <f t="shared" ca="1" si="189"/>
        <v>732.70514283713146</v>
      </c>
      <c r="L449" s="304">
        <f t="shared" ca="1" si="174"/>
        <v>737.27320276350497</v>
      </c>
      <c r="M449" s="306">
        <f t="shared" ca="1" si="190"/>
        <v>1.4514809115320098</v>
      </c>
      <c r="N449" s="304">
        <f t="shared" ca="1" si="191"/>
        <v>83.163730274585774</v>
      </c>
      <c r="P449" s="310">
        <f t="shared" ca="1" si="192"/>
        <v>18</v>
      </c>
      <c r="Q449" s="304">
        <f t="shared" ca="1" si="193"/>
        <v>228.83636363642307</v>
      </c>
      <c r="R449" s="306">
        <f t="shared" ca="1" si="194"/>
        <v>0.11463151700796624</v>
      </c>
      <c r="S449" s="307">
        <f t="shared" ca="1" si="195"/>
        <v>9.1509443173176059</v>
      </c>
      <c r="T449" s="304">
        <f t="shared" ca="1" si="175"/>
        <v>89.770763752885713</v>
      </c>
      <c r="U449" s="311">
        <f t="shared" ca="1" si="176"/>
        <v>0</v>
      </c>
      <c r="V449" s="306">
        <f t="shared" ca="1" si="177"/>
        <v>1.13841565957826</v>
      </c>
      <c r="W449" s="304">
        <f t="shared" ca="1" si="178"/>
        <v>229.56158161104531</v>
      </c>
      <c r="Y449" s="314" t="str">
        <f t="shared" ca="1" si="196"/>
        <v/>
      </c>
      <c r="Z449" s="315" t="str">
        <f t="shared" ca="1" si="197"/>
        <v/>
      </c>
      <c r="AA449" s="316" t="str">
        <f t="shared" ca="1" si="198"/>
        <v/>
      </c>
      <c r="AC449" s="310" t="e">
        <f t="shared" ca="1" si="199"/>
        <v>#N/A</v>
      </c>
      <c r="AD449" s="323" t="e">
        <f t="shared" ca="1" si="200"/>
        <v>#N/A</v>
      </c>
      <c r="AE449" s="324">
        <f t="shared" ca="1" si="179"/>
        <v>732.70514283713146</v>
      </c>
      <c r="AG449" s="306">
        <f t="shared" ca="1" si="201"/>
        <v>-9.84433655698537</v>
      </c>
      <c r="AH449" s="304">
        <f t="shared" ca="1" si="202"/>
        <v>-0.10403281561702607</v>
      </c>
    </row>
    <row r="450" spans="1:34" x14ac:dyDescent="0.2">
      <c r="A450" s="347">
        <f t="shared" ca="1" si="180"/>
        <v>0.01</v>
      </c>
      <c r="B450" s="304">
        <f t="shared" ca="1" si="181"/>
        <v>4.4599999999999493</v>
      </c>
      <c r="D450" s="306">
        <f t="shared" ca="1" si="182"/>
        <v>-0.16317986434958462</v>
      </c>
      <c r="E450" s="307">
        <f t="shared" ca="1" si="183"/>
        <v>-11.17113825752087</v>
      </c>
      <c r="F450" s="304">
        <f t="shared" ca="1" si="184"/>
        <v>11.172330000352458</v>
      </c>
      <c r="G450" s="306">
        <f t="shared" ca="1" si="185"/>
        <v>32.872730814945406</v>
      </c>
      <c r="H450" s="307">
        <f t="shared" ca="1" si="186"/>
        <v>274.10442933628116</v>
      </c>
      <c r="I450" s="304">
        <f t="shared" ca="1" si="187"/>
        <v>276.06856867995714</v>
      </c>
      <c r="J450" s="306">
        <f t="shared" ca="1" si="188"/>
        <v>82.273528914775241</v>
      </c>
      <c r="K450" s="307">
        <f t="shared" ca="1" si="189"/>
        <v>735.4467456874072</v>
      </c>
      <c r="L450" s="304">
        <f t="shared" ca="1" si="174"/>
        <v>740.0343568391188</v>
      </c>
      <c r="M450" s="306">
        <f t="shared" ca="1" si="190"/>
        <v>1.4514386137433086</v>
      </c>
      <c r="N450" s="304">
        <f t="shared" ca="1" si="191"/>
        <v>83.161306789810467</v>
      </c>
      <c r="P450" s="310">
        <f t="shared" ca="1" si="192"/>
        <v>18</v>
      </c>
      <c r="Q450" s="304">
        <f t="shared" ca="1" si="193"/>
        <v>217.01818181824146</v>
      </c>
      <c r="R450" s="306">
        <f t="shared" ca="1" si="194"/>
        <v>0.10871140847029283</v>
      </c>
      <c r="S450" s="307">
        <f t="shared" ca="1" si="195"/>
        <v>9.1498572032329033</v>
      </c>
      <c r="T450" s="304">
        <f t="shared" ca="1" si="175"/>
        <v>89.760099163714784</v>
      </c>
      <c r="U450" s="311">
        <f t="shared" ca="1" si="176"/>
        <v>0</v>
      </c>
      <c r="V450" s="306">
        <f t="shared" ca="1" si="177"/>
        <v>1.1381031730816749</v>
      </c>
      <c r="W450" s="304">
        <f t="shared" ca="1" si="178"/>
        <v>229.31394454255727</v>
      </c>
      <c r="Y450" s="314" t="str">
        <f t="shared" ca="1" si="196"/>
        <v/>
      </c>
      <c r="Z450" s="315" t="str">
        <f t="shared" ca="1" si="197"/>
        <v/>
      </c>
      <c r="AA450" s="316" t="str">
        <f t="shared" ca="1" si="198"/>
        <v/>
      </c>
      <c r="AC450" s="310" t="e">
        <f t="shared" ca="1" si="199"/>
        <v>#N/A</v>
      </c>
      <c r="AD450" s="323" t="e">
        <f t="shared" ca="1" si="200"/>
        <v>#N/A</v>
      </c>
      <c r="AE450" s="324">
        <f t="shared" ca="1" si="179"/>
        <v>735.4467456874072</v>
      </c>
      <c r="AG450" s="306">
        <f t="shared" ca="1" si="201"/>
        <v>-11.111139155478085</v>
      </c>
      <c r="AH450" s="304">
        <f t="shared" ca="1" si="202"/>
        <v>-1.3708847596410483</v>
      </c>
    </row>
    <row r="451" spans="1:34" x14ac:dyDescent="0.2">
      <c r="A451" s="347">
        <f t="shared" ca="1" si="180"/>
        <v>0.01</v>
      </c>
      <c r="B451" s="304">
        <f t="shared" ca="1" si="181"/>
        <v>4.4699999999999491</v>
      </c>
      <c r="D451" s="306">
        <f t="shared" ca="1" si="182"/>
        <v>-0.31384958125974816</v>
      </c>
      <c r="E451" s="307">
        <f t="shared" ca="1" si="183"/>
        <v>-12.426988556652621</v>
      </c>
      <c r="F451" s="304">
        <f t="shared" ca="1" si="184"/>
        <v>12.430951136048765</v>
      </c>
      <c r="G451" s="306">
        <f t="shared" ca="1" si="185"/>
        <v>32.869592319132806</v>
      </c>
      <c r="H451" s="307">
        <f t="shared" ca="1" si="186"/>
        <v>273.98015945071461</v>
      </c>
      <c r="I451" s="304">
        <f t="shared" ca="1" si="187"/>
        <v>275.94480946715595</v>
      </c>
      <c r="J451" s="306">
        <f t="shared" ca="1" si="188"/>
        <v>82.602240530445627</v>
      </c>
      <c r="K451" s="307">
        <f t="shared" ca="1" si="189"/>
        <v>738.18716863134216</v>
      </c>
      <c r="L451" s="304">
        <f t="shared" ca="1" si="174"/>
        <v>742.79433632238147</v>
      </c>
      <c r="M451" s="306">
        <f t="shared" ca="1" si="190"/>
        <v>1.4513962820541952</v>
      </c>
      <c r="N451" s="304">
        <f t="shared" ca="1" si="191"/>
        <v>83.15888136268461</v>
      </c>
      <c r="P451" s="310">
        <f t="shared" ca="1" si="192"/>
        <v>18</v>
      </c>
      <c r="Q451" s="304">
        <f t="shared" ca="1" si="193"/>
        <v>205.20000000005982</v>
      </c>
      <c r="R451" s="306">
        <f t="shared" ca="1" si="194"/>
        <v>0.10279129993261941</v>
      </c>
      <c r="S451" s="307">
        <f t="shared" ca="1" si="195"/>
        <v>9.1488292902335768</v>
      </c>
      <c r="T451" s="304">
        <f t="shared" ca="1" si="175"/>
        <v>89.7500153371914</v>
      </c>
      <c r="U451" s="311">
        <f t="shared" ca="1" si="176"/>
        <v>0</v>
      </c>
      <c r="V451" s="306">
        <f t="shared" ca="1" si="177"/>
        <v>1.137790903638751</v>
      </c>
      <c r="W451" s="304">
        <f t="shared" ca="1" si="178"/>
        <v>229.04552951404375</v>
      </c>
      <c r="Y451" s="314" t="str">
        <f t="shared" ca="1" si="196"/>
        <v/>
      </c>
      <c r="Z451" s="315" t="str">
        <f t="shared" ca="1" si="197"/>
        <v/>
      </c>
      <c r="AA451" s="316" t="str">
        <f t="shared" ca="1" si="198"/>
        <v/>
      </c>
      <c r="AC451" s="310" t="e">
        <f t="shared" ca="1" si="199"/>
        <v>#N/A</v>
      </c>
      <c r="AD451" s="323" t="e">
        <f t="shared" ca="1" si="200"/>
        <v>#N/A</v>
      </c>
      <c r="AE451" s="324">
        <f t="shared" ca="1" si="179"/>
        <v>738.18716863134216</v>
      </c>
      <c r="AG451" s="306">
        <f t="shared" ca="1" si="201"/>
        <v>-12.375946004384625</v>
      </c>
      <c r="AH451" s="304">
        <f t="shared" ca="1" si="202"/>
        <v>-2.6357410087691999</v>
      </c>
    </row>
    <row r="452" spans="1:34" x14ac:dyDescent="0.2">
      <c r="A452" s="347">
        <f t="shared" ca="1" si="180"/>
        <v>0.01</v>
      </c>
      <c r="B452" s="304">
        <f t="shared" ca="1" si="181"/>
        <v>4.4799999999999489</v>
      </c>
      <c r="D452" s="306">
        <f t="shared" ca="1" si="182"/>
        <v>-0.46438596653333725</v>
      </c>
      <c r="E452" s="307">
        <f t="shared" ca="1" si="183"/>
        <v>-13.680828087010322</v>
      </c>
      <c r="F452" s="304">
        <f t="shared" ca="1" si="184"/>
        <v>13.688707443445624</v>
      </c>
      <c r="G452" s="306">
        <f t="shared" ca="1" si="185"/>
        <v>32.86494845946747</v>
      </c>
      <c r="H452" s="307">
        <f t="shared" ca="1" si="186"/>
        <v>273.84335116984448</v>
      </c>
      <c r="I452" s="304">
        <f t="shared" ca="1" si="187"/>
        <v>275.80842231007779</v>
      </c>
      <c r="J452" s="306">
        <f t="shared" ca="1" si="188"/>
        <v>82.930913234338632</v>
      </c>
      <c r="K452" s="307">
        <f t="shared" ca="1" si="189"/>
        <v>740.92628618444496</v>
      </c>
      <c r="L452" s="304">
        <f t="shared" ref="L452:L515" ca="1" si="203">SQRT(pos_x^2+pos_z^2)</f>
        <v>745.55301483459607</v>
      </c>
      <c r="M452" s="306">
        <f t="shared" ca="1" si="190"/>
        <v>1.4513539144826331</v>
      </c>
      <c r="N452" s="304">
        <f t="shared" ca="1" si="191"/>
        <v>83.156453879645881</v>
      </c>
      <c r="P452" s="310">
        <f t="shared" ca="1" si="192"/>
        <v>18</v>
      </c>
      <c r="Q452" s="304">
        <f t="shared" ca="1" si="193"/>
        <v>193.3818181818782</v>
      </c>
      <c r="R452" s="306">
        <f t="shared" ca="1" si="194"/>
        <v>9.6871191394946016E-2</v>
      </c>
      <c r="S452" s="307">
        <f t="shared" ca="1" si="195"/>
        <v>9.1478605783196265</v>
      </c>
      <c r="T452" s="304">
        <f t="shared" ref="T452:T515" ca="1" si="204">m*g</f>
        <v>89.740512273315545</v>
      </c>
      <c r="U452" s="311">
        <f t="shared" ref="U452:U515" ca="1" si="205">IF(pos_xz&lt;L_rampe,Poids*COS(Beta),0)</f>
        <v>0</v>
      </c>
      <c r="V452" s="306">
        <f t="shared" ref="V452:V515" ca="1" si="206">Rho_moyen*(20000-Alt_rampe-pos_z)/(20000+Alt_rampe+pos_z)</f>
        <v>1.1374788654033721</v>
      </c>
      <c r="W452" s="304">
        <f t="shared" ref="W452:W515" ca="1" si="207">1/2*Rho*Sref*Cx*vit_xz^2</f>
        <v>228.75641810622645</v>
      </c>
      <c r="Y452" s="314" t="str">
        <f t="shared" ca="1" si="196"/>
        <v/>
      </c>
      <c r="Z452" s="315" t="str">
        <f t="shared" ca="1" si="197"/>
        <v/>
      </c>
      <c r="AA452" s="316" t="str">
        <f t="shared" ca="1" si="198"/>
        <v/>
      </c>
      <c r="AC452" s="310" t="e">
        <f t="shared" ca="1" si="199"/>
        <v>#N/A</v>
      </c>
      <c r="AD452" s="323" t="e">
        <f t="shared" ca="1" si="200"/>
        <v>#N/A</v>
      </c>
      <c r="AE452" s="324">
        <f t="shared" ref="AE452:AE515" ca="1" si="208">IF(t&lt;T_para, pos_z, NA())</f>
        <v>740.92628618444496</v>
      </c>
      <c r="AG452" s="306">
        <f t="shared" ca="1" si="201"/>
        <v>-13.638740461771693</v>
      </c>
      <c r="AH452" s="304">
        <f t="shared" ca="1" si="202"/>
        <v>-3.8985849234178671</v>
      </c>
    </row>
    <row r="453" spans="1:34" x14ac:dyDescent="0.2">
      <c r="A453" s="347">
        <f t="shared" ref="A453:A516" ca="1" si="209">IF(B452+0.01&lt;=T_ini+ROUNDUP(Temps_fin_propu,0), 0.01, IF(K452&gt;0, 0.1, 0.0001))</f>
        <v>0.01</v>
      </c>
      <c r="B453" s="304">
        <f t="shared" ref="B453:B516" ca="1" si="210">B452+pas</f>
        <v>4.4899999999999487</v>
      </c>
      <c r="D453" s="306">
        <f t="shared" ref="D453:D516" ca="1" si="211">IF(AND(L452&lt;L_rampe,Poussee&lt;Poids*SIN(M452)),0,(-W452+Poussee)/m*COS(M452)-U452/m*SIN(M452))</f>
        <v>-0.61478696807886968</v>
      </c>
      <c r="E453" s="307">
        <f t="shared" ref="E453:E516" ca="1" si="212">IF(AND(L452&lt;L_rampe,Poussee&lt;Poids*SIN(M452)),0,(-W452+Poussee)/m*SIN(M452)+U452/m*COS(M452)-Poids/m)</f>
        <v>-14.932640730804724</v>
      </c>
      <c r="F453" s="304">
        <f t="shared" ref="F453:F516" ca="1" si="213">SQRT(acc_x^2+acc_z^2)</f>
        <v>14.945290971118892</v>
      </c>
      <c r="G453" s="306">
        <f t="shared" ref="G453:G516" ca="1" si="214">G452+acc_x*pas</f>
        <v>32.858800589786682</v>
      </c>
      <c r="H453" s="307">
        <f t="shared" ref="H453:H516" ca="1" si="215">H452+acc_z*pas</f>
        <v>273.69402476253646</v>
      </c>
      <c r="I453" s="304">
        <f t="shared" ref="I453:I516" ca="1" si="216">SQRT(vit_x^2+vit_z^2)</f>
        <v>275.65942749508002</v>
      </c>
      <c r="J453" s="306">
        <f t="shared" ref="J453:J516" ca="1" si="217">J452+0.5*(vit_x+G452)*pas*(K452&gt;=0)</f>
        <v>83.259531979584906</v>
      </c>
      <c r="K453" s="307">
        <f t="shared" ref="K453:K516" ca="1" si="218">K452+0.5*(vit_z+H452)*pas</f>
        <v>743.66397306410681</v>
      </c>
      <c r="L453" s="304">
        <f t="shared" ca="1" si="203"/>
        <v>748.31026619908937</v>
      </c>
      <c r="M453" s="306">
        <f t="shared" ref="M453:M516" ca="1" si="219">IF(AND(L452&gt;L_rampe,G453&gt;0),ATAN2(G453,H453),$M$4)</f>
        <v>1.451311509041133</v>
      </c>
      <c r="N453" s="304">
        <f t="shared" ref="N453:N516" ca="1" si="220">DEGREES(Beta)</f>
        <v>83.154024226819544</v>
      </c>
      <c r="P453" s="310">
        <f t="shared" ref="P453:P516" ca="1" si="221">MATCH(t-pas/2-T_ini,CdP_t)</f>
        <v>18</v>
      </c>
      <c r="Q453" s="304">
        <f t="shared" ref="Q453:Q516" ca="1" si="222">(INDEX(CdP,2,i_P+1)-INDEX(CdP,2,i_P+0))/(INDEX(CdP,1,i_P+1)-INDEX(CdP,1,i_P+0))*(t-pas/2-T_ini-INDEX(CdP,1,i_P+0))+INDEX(CdP,2,i_P+0)</f>
        <v>181.56363636369656</v>
      </c>
      <c r="R453" s="306">
        <f t="shared" ref="R453:R516" ca="1" si="223">Poussee/(g*ISP)</f>
        <v>9.0951082857272603E-2</v>
      </c>
      <c r="S453" s="307">
        <f t="shared" ref="S453:S516" ca="1" si="224">S452-Débit*pas</f>
        <v>9.1469510674910541</v>
      </c>
      <c r="T453" s="304">
        <f t="shared" ca="1" si="204"/>
        <v>89.731589972087249</v>
      </c>
      <c r="U453" s="311">
        <f t="shared" ca="1" si="205"/>
        <v>0</v>
      </c>
      <c r="V453" s="306">
        <f t="shared" ca="1" si="206"/>
        <v>1.1371670724914884</v>
      </c>
      <c r="W453" s="304">
        <f t="shared" ca="1" si="207"/>
        <v>228.44669487109445</v>
      </c>
      <c r="Y453" s="314" t="str">
        <f t="shared" ref="Y453:Y516" ca="1" si="225">IF(AND(pos_z&lt;=0,K452&gt;0),"Impact balistique","") &amp; IF(AND(H454&lt;0,vit_z&gt;=0),"Apogée","") &amp; IF(AND(Poussee=0,Q452&gt;0),"Fin de propulsion","") &amp; IF(AND(L454&gt;L_rampe,pos_xz&lt;=L_rampe),"Sortie de rampe","")</f>
        <v/>
      </c>
      <c r="Z453" s="315" t="str">
        <f t="shared" ref="Z453:Z516" ca="1" si="226">IF(ABS(t-T_para)&lt;pas/2,"Para","")</f>
        <v/>
      </c>
      <c r="AA453" s="316" t="str">
        <f t="shared" ref="AA453:AA516" ca="1" si="227">IF(ABS(t-T_satellite)&lt;pas/2,"Satellite","")</f>
        <v/>
      </c>
      <c r="AC453" s="310" t="e">
        <f t="shared" ref="AC453:AC516" ca="1" si="228">IF(ABS(t-ROUND(t,0))&lt;0.001,t,NA())</f>
        <v>#N/A</v>
      </c>
      <c r="AD453" s="323" t="e">
        <f t="shared" ref="AD453:AD516" ca="1" si="229">IF(ABS(t-ROUND(t,0))&lt;0.001,pos_x,NA())</f>
        <v>#N/A</v>
      </c>
      <c r="AE453" s="324">
        <f t="shared" ca="1" si="208"/>
        <v>743.66397306410681</v>
      </c>
      <c r="AG453" s="306">
        <f t="shared" ref="AG453:AG516" ca="1" si="230">IF(AND(L452&lt;L_rampe,Poussee&lt;Poids*SIN(M452)),0,(-W452+Poussee)/m-Poids*SIN(M452)/m)</f>
        <v>-14.899506284613526</v>
      </c>
      <c r="AH453" s="304">
        <f t="shared" ref="AH453:AH516" ca="1" si="231">IF(AND(L452&lt;L_rampe,Poussee&lt;Poids*SIN(M452)), g*SIN(M452), (-W452+Poussee)/m)</f>
        <v>-5.1594002629200189</v>
      </c>
    </row>
    <row r="454" spans="1:34" x14ac:dyDescent="0.2">
      <c r="A454" s="347">
        <f t="shared" ca="1" si="209"/>
        <v>0.01</v>
      </c>
      <c r="B454" s="304">
        <f t="shared" ca="1" si="210"/>
        <v>4.4999999999999485</v>
      </c>
      <c r="D454" s="306">
        <f t="shared" ca="1" si="211"/>
        <v>-0.7650505879267725</v>
      </c>
      <c r="E454" s="307">
        <f t="shared" ca="1" si="212"/>
        <v>-16.182410763578105</v>
      </c>
      <c r="F454" s="304">
        <f t="shared" ca="1" si="213"/>
        <v>16.200485194069206</v>
      </c>
      <c r="G454" s="306">
        <f t="shared" ca="1" si="214"/>
        <v>32.851150083907413</v>
      </c>
      <c r="H454" s="307">
        <f t="shared" ca="1" si="215"/>
        <v>273.53220065490069</v>
      </c>
      <c r="I454" s="304">
        <f t="shared" ca="1" si="216"/>
        <v>275.49784546698049</v>
      </c>
      <c r="J454" s="306">
        <f t="shared" ca="1" si="217"/>
        <v>83.588081732953384</v>
      </c>
      <c r="K454" s="307">
        <f t="shared" ca="1" si="218"/>
        <v>746.40010419119403</v>
      </c>
      <c r="L454" s="304">
        <f t="shared" ca="1" si="203"/>
        <v>751.06596444281786</v>
      </c>
      <c r="M454" s="306">
        <f t="shared" ca="1" si="219"/>
        <v>1.4512690637362298</v>
      </c>
      <c r="N454" s="304">
        <f t="shared" ca="1" si="220"/>
        <v>83.151592289988443</v>
      </c>
      <c r="P454" s="310">
        <f t="shared" ca="1" si="221"/>
        <v>18</v>
      </c>
      <c r="Q454" s="304">
        <f t="shared" ca="1" si="222"/>
        <v>169.74545454551495</v>
      </c>
      <c r="R454" s="306">
        <f t="shared" ca="1" si="223"/>
        <v>8.5030974319599203E-2</v>
      </c>
      <c r="S454" s="307">
        <f t="shared" ca="1" si="224"/>
        <v>9.1461007577478579</v>
      </c>
      <c r="T454" s="304">
        <f t="shared" ca="1" si="204"/>
        <v>89.723248433506484</v>
      </c>
      <c r="U454" s="311">
        <f t="shared" ca="1" si="205"/>
        <v>0</v>
      </c>
      <c r="V454" s="306">
        <f t="shared" ca="1" si="206"/>
        <v>1.1368555389810016</v>
      </c>
      <c r="W454" s="304">
        <f t="shared" ca="1" si="207"/>
        <v>228.11644730261438</v>
      </c>
      <c r="Y454" s="314" t="str">
        <f t="shared" ca="1" si="225"/>
        <v/>
      </c>
      <c r="Z454" s="315" t="str">
        <f t="shared" ca="1" si="226"/>
        <v/>
      </c>
      <c r="AA454" s="316" t="str">
        <f t="shared" ca="1" si="227"/>
        <v/>
      </c>
      <c r="AC454" s="310" t="e">
        <f t="shared" ca="1" si="228"/>
        <v>#N/A</v>
      </c>
      <c r="AD454" s="323" t="e">
        <f t="shared" ca="1" si="229"/>
        <v>#N/A</v>
      </c>
      <c r="AE454" s="324">
        <f t="shared" ca="1" si="208"/>
        <v>746.40010419119403</v>
      </c>
      <c r="AG454" s="306">
        <f t="shared" ca="1" si="230"/>
        <v>-16.158227626855115</v>
      </c>
      <c r="AH454" s="304">
        <f t="shared" ca="1" si="231"/>
        <v>-6.4181711835890747</v>
      </c>
    </row>
    <row r="455" spans="1:34" x14ac:dyDescent="0.2">
      <c r="A455" s="347">
        <f t="shared" ca="1" si="209"/>
        <v>0.01</v>
      </c>
      <c r="B455" s="304">
        <f t="shared" ca="1" si="210"/>
        <v>4.5099999999999483</v>
      </c>
      <c r="D455" s="306">
        <f t="shared" ca="1" si="211"/>
        <v>-0.91517488206873965</v>
      </c>
      <c r="E455" s="307">
        <f t="shared" ca="1" si="212"/>
        <v>-17.430122852227903</v>
      </c>
      <c r="F455" s="304">
        <f t="shared" ca="1" si="213"/>
        <v>17.454132109862321</v>
      </c>
      <c r="G455" s="306">
        <f t="shared" ca="1" si="214"/>
        <v>32.841998335086728</v>
      </c>
      <c r="H455" s="307">
        <f t="shared" ca="1" si="215"/>
        <v>273.35789942637842</v>
      </c>
      <c r="I455" s="304">
        <f t="shared" ca="1" si="216"/>
        <v>275.32369682510779</v>
      </c>
      <c r="J455" s="306">
        <f t="shared" ca="1" si="217"/>
        <v>83.916547475048361</v>
      </c>
      <c r="K455" s="307">
        <f t="shared" ca="1" si="218"/>
        <v>749.13455469160044</v>
      </c>
      <c r="L455" s="304">
        <f t="shared" ca="1" si="203"/>
        <v>753.81998379793197</v>
      </c>
      <c r="M455" s="306">
        <f t="shared" ca="1" si="219"/>
        <v>1.4512265765679546</v>
      </c>
      <c r="N455" s="304">
        <f t="shared" ca="1" si="220"/>
        <v>83.14915795456281</v>
      </c>
      <c r="P455" s="310">
        <f t="shared" ca="1" si="221"/>
        <v>18</v>
      </c>
      <c r="Q455" s="304">
        <f t="shared" ca="1" si="222"/>
        <v>157.92727272733333</v>
      </c>
      <c r="R455" s="306">
        <f t="shared" ca="1" si="223"/>
        <v>7.9110865781925804E-2</v>
      </c>
      <c r="S455" s="307">
        <f t="shared" ca="1" si="224"/>
        <v>9.1453096490900379</v>
      </c>
      <c r="T455" s="304">
        <f t="shared" ca="1" si="204"/>
        <v>89.715487657573277</v>
      </c>
      <c r="U455" s="311">
        <f t="shared" ca="1" si="205"/>
        <v>0</v>
      </c>
      <c r="V455" s="306">
        <f t="shared" ca="1" si="206"/>
        <v>1.1365442789116511</v>
      </c>
      <c r="W455" s="304">
        <f t="shared" ca="1" si="207"/>
        <v>227.76576580741394</v>
      </c>
      <c r="Y455" s="314" t="str">
        <f t="shared" ca="1" si="225"/>
        <v/>
      </c>
      <c r="Z455" s="315" t="str">
        <f t="shared" ca="1" si="226"/>
        <v/>
      </c>
      <c r="AA455" s="316" t="str">
        <f t="shared" ca="1" si="227"/>
        <v/>
      </c>
      <c r="AC455" s="310" t="e">
        <f t="shared" ca="1" si="228"/>
        <v>#N/A</v>
      </c>
      <c r="AD455" s="323" t="e">
        <f t="shared" ca="1" si="229"/>
        <v>#N/A</v>
      </c>
      <c r="AE455" s="324">
        <f t="shared" ca="1" si="208"/>
        <v>749.13455469160044</v>
      </c>
      <c r="AG455" s="306">
        <f t="shared" ca="1" si="230"/>
        <v>-17.41488903743193</v>
      </c>
      <c r="AH455" s="304">
        <f t="shared" ca="1" si="231"/>
        <v>-7.6748822367392338</v>
      </c>
    </row>
    <row r="456" spans="1:34" x14ac:dyDescent="0.2">
      <c r="A456" s="347">
        <f t="shared" ca="1" si="209"/>
        <v>0.01</v>
      </c>
      <c r="B456" s="304">
        <f t="shared" ca="1" si="210"/>
        <v>4.5199999999999481</v>
      </c>
      <c r="D456" s="306">
        <f t="shared" ca="1" si="211"/>
        <v>-1.0651579602949037</v>
      </c>
      <c r="E456" s="307">
        <f t="shared" ca="1" si="212"/>
        <v>-18.675762052987807</v>
      </c>
      <c r="F456" s="304">
        <f t="shared" ca="1" si="213"/>
        <v>18.706112630372964</v>
      </c>
      <c r="G456" s="306">
        <f t="shared" ca="1" si="214"/>
        <v>32.831346755483779</v>
      </c>
      <c r="H456" s="307">
        <f t="shared" ca="1" si="215"/>
        <v>273.17114180584855</v>
      </c>
      <c r="I456" s="304">
        <f t="shared" ca="1" si="216"/>
        <v>275.1370023193715</v>
      </c>
      <c r="J456" s="306">
        <f t="shared" ca="1" si="217"/>
        <v>84.244914200501213</v>
      </c>
      <c r="K456" s="307">
        <f t="shared" ca="1" si="218"/>
        <v>751.86719989776157</v>
      </c>
      <c r="L456" s="304">
        <f t="shared" ca="1" si="203"/>
        <v>756.57219870330312</v>
      </c>
      <c r="M456" s="306">
        <f t="shared" ca="1" si="219"/>
        <v>1.4511840455293048</v>
      </c>
      <c r="N456" s="304">
        <f t="shared" ca="1" si="220"/>
        <v>83.146721105549872</v>
      </c>
      <c r="P456" s="310">
        <f t="shared" ca="1" si="221"/>
        <v>18</v>
      </c>
      <c r="Q456" s="304">
        <f t="shared" ca="1" si="222"/>
        <v>146.10909090915169</v>
      </c>
      <c r="R456" s="306">
        <f t="shared" ca="1" si="223"/>
        <v>7.3190757244252391E-2</v>
      </c>
      <c r="S456" s="307">
        <f t="shared" ca="1" si="224"/>
        <v>9.1445777415175957</v>
      </c>
      <c r="T456" s="304">
        <f t="shared" ca="1" si="204"/>
        <v>89.708307644287615</v>
      </c>
      <c r="U456" s="311">
        <f t="shared" ca="1" si="205"/>
        <v>0</v>
      </c>
      <c r="V456" s="306">
        <f t="shared" ca="1" si="206"/>
        <v>1.1362333062849115</v>
      </c>
      <c r="W456" s="304">
        <f t="shared" ca="1" si="207"/>
        <v>227.39474367544807</v>
      </c>
      <c r="Y456" s="314" t="str">
        <f t="shared" ca="1" si="225"/>
        <v/>
      </c>
      <c r="Z456" s="315" t="str">
        <f t="shared" ca="1" si="226"/>
        <v/>
      </c>
      <c r="AA456" s="316" t="str">
        <f t="shared" ca="1" si="227"/>
        <v/>
      </c>
      <c r="AC456" s="310" t="e">
        <f t="shared" ca="1" si="228"/>
        <v>#N/A</v>
      </c>
      <c r="AD456" s="323" t="e">
        <f t="shared" ca="1" si="229"/>
        <v>#N/A</v>
      </c>
      <c r="AE456" s="324">
        <f t="shared" ca="1" si="208"/>
        <v>751.86719989776157</v>
      </c>
      <c r="AG456" s="306">
        <f t="shared" ca="1" si="230"/>
        <v>-18.669475458247135</v>
      </c>
      <c r="AH456" s="304">
        <f t="shared" ca="1" si="231"/>
        <v>-8.929518366663352</v>
      </c>
    </row>
    <row r="457" spans="1:34" x14ac:dyDescent="0.2">
      <c r="A457" s="347">
        <f t="shared" ca="1" si="209"/>
        <v>0.01</v>
      </c>
      <c r="B457" s="304">
        <f t="shared" ca="1" si="210"/>
        <v>4.5299999999999478</v>
      </c>
      <c r="D457" s="306">
        <f t="shared" ca="1" si="211"/>
        <v>-1.1895148327264633</v>
      </c>
      <c r="E457" s="307">
        <f t="shared" ca="1" si="212"/>
        <v>-19.707282845901126</v>
      </c>
      <c r="F457" s="304">
        <f t="shared" ca="1" si="213"/>
        <v>19.743149260075633</v>
      </c>
      <c r="G457" s="306">
        <f t="shared" ca="1" si="214"/>
        <v>32.819451607156516</v>
      </c>
      <c r="H457" s="307">
        <f t="shared" ca="1" si="215"/>
        <v>272.97406897738955</v>
      </c>
      <c r="I457" s="304">
        <f t="shared" ca="1" si="216"/>
        <v>274.93991841467312</v>
      </c>
      <c r="J457" s="306">
        <f t="shared" ca="1" si="217"/>
        <v>84.573168192314412</v>
      </c>
      <c r="K457" s="307">
        <f t="shared" ca="1" si="218"/>
        <v>754.59792595167778</v>
      </c>
      <c r="L457" s="304">
        <f t="shared" ca="1" si="203"/>
        <v>759.32249448350944</v>
      </c>
      <c r="M457" s="306">
        <f t="shared" ca="1" si="219"/>
        <v>1.4511414689364204</v>
      </c>
      <c r="N457" s="304">
        <f t="shared" ca="1" si="220"/>
        <v>83.144281646471541</v>
      </c>
      <c r="P457" s="310">
        <f t="shared" ca="1" si="221"/>
        <v>19</v>
      </c>
      <c r="Q457" s="304">
        <f t="shared" ca="1" si="222"/>
        <v>136.24375000004085</v>
      </c>
      <c r="R457" s="306">
        <f t="shared" ca="1" si="223"/>
        <v>6.82488897182989E-2</v>
      </c>
      <c r="S457" s="307">
        <f t="shared" ca="1" si="224"/>
        <v>9.1438952526204123</v>
      </c>
      <c r="T457" s="304">
        <f t="shared" ca="1" si="204"/>
        <v>89.701612428206246</v>
      </c>
      <c r="U457" s="311">
        <f t="shared" ca="1" si="205"/>
        <v>0</v>
      </c>
      <c r="V457" s="306">
        <f t="shared" ca="1" si="206"/>
        <v>1.1359226338579218</v>
      </c>
      <c r="W457" s="304">
        <f t="shared" ca="1" si="207"/>
        <v>227.00700330434893</v>
      </c>
      <c r="Y457" s="314" t="str">
        <f t="shared" ca="1" si="225"/>
        <v/>
      </c>
      <c r="Z457" s="315" t="str">
        <f t="shared" ca="1" si="226"/>
        <v/>
      </c>
      <c r="AA457" s="316" t="str">
        <f t="shared" ca="1" si="227"/>
        <v/>
      </c>
      <c r="AC457" s="310" t="e">
        <f t="shared" ca="1" si="228"/>
        <v>#N/A</v>
      </c>
      <c r="AD457" s="323" t="e">
        <f t="shared" ca="1" si="229"/>
        <v>#N/A</v>
      </c>
      <c r="AE457" s="324">
        <f t="shared" ca="1" si="208"/>
        <v>754.59792595167778</v>
      </c>
      <c r="AG457" s="306">
        <f t="shared" ca="1" si="230"/>
        <v>-19.708415389927637</v>
      </c>
      <c r="AH457" s="304">
        <f t="shared" ca="1" si="231"/>
        <v>-9.9685080763896128</v>
      </c>
    </row>
    <row r="458" spans="1:34" x14ac:dyDescent="0.2">
      <c r="A458" s="347">
        <f t="shared" ca="1" si="209"/>
        <v>0.01</v>
      </c>
      <c r="B458" s="304">
        <f t="shared" ca="1" si="210"/>
        <v>4.5399999999999476</v>
      </c>
      <c r="D458" s="306">
        <f t="shared" ca="1" si="211"/>
        <v>-1.288259229034614</v>
      </c>
      <c r="E458" s="307">
        <f t="shared" ca="1" si="212"/>
        <v>-20.525028631696312</v>
      </c>
      <c r="F458" s="304">
        <f t="shared" ca="1" si="213"/>
        <v>20.565417870132041</v>
      </c>
      <c r="G458" s="306">
        <f t="shared" ca="1" si="214"/>
        <v>32.80656901486617</v>
      </c>
      <c r="H458" s="307">
        <f t="shared" ca="1" si="215"/>
        <v>272.76881869107257</v>
      </c>
      <c r="I458" s="304">
        <f t="shared" ca="1" si="216"/>
        <v>274.7345981500153</v>
      </c>
      <c r="J458" s="306">
        <f t="shared" ca="1" si="217"/>
        <v>84.901298295424525</v>
      </c>
      <c r="K458" s="307">
        <f t="shared" ca="1" si="218"/>
        <v>757.32664039002009</v>
      </c>
      <c r="L458" s="304">
        <f t="shared" ca="1" si="203"/>
        <v>762.07077800994546</v>
      </c>
      <c r="M458" s="306">
        <f t="shared" ca="1" si="219"/>
        <v>1.4510988454300875</v>
      </c>
      <c r="N458" s="304">
        <f t="shared" ca="1" si="220"/>
        <v>83.141839499450626</v>
      </c>
      <c r="P458" s="310">
        <f t="shared" ca="1" si="221"/>
        <v>19</v>
      </c>
      <c r="Q458" s="304">
        <f t="shared" ca="1" si="222"/>
        <v>128.33125000004102</v>
      </c>
      <c r="R458" s="306">
        <f t="shared" ca="1" si="223"/>
        <v>6.4285263204085466E-2</v>
      </c>
      <c r="S458" s="307">
        <f t="shared" ca="1" si="224"/>
        <v>9.1432523999883717</v>
      </c>
      <c r="T458" s="304">
        <f t="shared" ca="1" si="204"/>
        <v>89.695306043885935</v>
      </c>
      <c r="U458" s="311">
        <f t="shared" ca="1" si="205"/>
        <v>0</v>
      </c>
      <c r="V458" s="306">
        <f t="shared" ca="1" si="206"/>
        <v>1.1356122719413599</v>
      </c>
      <c r="W458" s="304">
        <f t="shared" ca="1" si="207"/>
        <v>226.60614900088666</v>
      </c>
      <c r="Y458" s="314" t="str">
        <f t="shared" ca="1" si="225"/>
        <v/>
      </c>
      <c r="Z458" s="315" t="str">
        <f t="shared" ca="1" si="226"/>
        <v/>
      </c>
      <c r="AA458" s="316" t="str">
        <f t="shared" ca="1" si="227"/>
        <v/>
      </c>
      <c r="AC458" s="310" t="e">
        <f t="shared" ca="1" si="228"/>
        <v>#N/A</v>
      </c>
      <c r="AD458" s="323" t="e">
        <f t="shared" ca="1" si="229"/>
        <v>#N/A</v>
      </c>
      <c r="AE458" s="324">
        <f t="shared" ca="1" si="208"/>
        <v>757.32664039002009</v>
      </c>
      <c r="AG458" s="306">
        <f t="shared" ca="1" si="230"/>
        <v>-20.532051422166532</v>
      </c>
      <c r="AH458" s="304">
        <f t="shared" ca="1" si="231"/>
        <v>-10.792193957637371</v>
      </c>
    </row>
    <row r="459" spans="1:34" x14ac:dyDescent="0.2">
      <c r="A459" s="347">
        <f t="shared" ca="1" si="209"/>
        <v>0.01</v>
      </c>
      <c r="B459" s="304">
        <f t="shared" ca="1" si="210"/>
        <v>4.5499999999999474</v>
      </c>
      <c r="D459" s="306">
        <f t="shared" ca="1" si="211"/>
        <v>-1.3869103397456581</v>
      </c>
      <c r="E459" s="307">
        <f t="shared" ca="1" si="212"/>
        <v>-21.341406860358653</v>
      </c>
      <c r="F459" s="304">
        <f t="shared" ca="1" si="213"/>
        <v>21.386424831417166</v>
      </c>
      <c r="G459" s="306">
        <f t="shared" ca="1" si="214"/>
        <v>32.792699911468716</v>
      </c>
      <c r="H459" s="307">
        <f t="shared" ca="1" si="215"/>
        <v>272.55540462246898</v>
      </c>
      <c r="I459" s="304">
        <f t="shared" ca="1" si="216"/>
        <v>274.52105521508076</v>
      </c>
      <c r="J459" s="306">
        <f t="shared" ca="1" si="217"/>
        <v>85.229294640056196</v>
      </c>
      <c r="K459" s="307">
        <f t="shared" ca="1" si="218"/>
        <v>760.05326150658777</v>
      </c>
      <c r="L459" s="304">
        <f t="shared" ca="1" si="203"/>
        <v>764.81696698729365</v>
      </c>
      <c r="M459" s="306">
        <f t="shared" ca="1" si="219"/>
        <v>1.4510561736454659</v>
      </c>
      <c r="N459" s="304">
        <f t="shared" ca="1" si="220"/>
        <v>83.139394586287509</v>
      </c>
      <c r="P459" s="310">
        <f t="shared" ca="1" si="221"/>
        <v>19</v>
      </c>
      <c r="Q459" s="304">
        <f t="shared" ca="1" si="222"/>
        <v>120.4187500000412</v>
      </c>
      <c r="R459" s="306">
        <f t="shared" ca="1" si="223"/>
        <v>6.0321636689872032E-2</v>
      </c>
      <c r="S459" s="307">
        <f t="shared" ca="1" si="224"/>
        <v>9.1426491836214723</v>
      </c>
      <c r="T459" s="304">
        <f t="shared" ca="1" si="204"/>
        <v>89.689388491326653</v>
      </c>
      <c r="U459" s="311">
        <f t="shared" ca="1" si="205"/>
        <v>0</v>
      </c>
      <c r="V459" s="306">
        <f t="shared" ca="1" si="206"/>
        <v>1.1353022296121025</v>
      </c>
      <c r="W459" s="304">
        <f t="shared" ca="1" si="207"/>
        <v>226.19224625777153</v>
      </c>
      <c r="Y459" s="314" t="str">
        <f t="shared" ca="1" si="225"/>
        <v/>
      </c>
      <c r="Z459" s="315" t="str">
        <f t="shared" ca="1" si="226"/>
        <v/>
      </c>
      <c r="AA459" s="316" t="str">
        <f t="shared" ca="1" si="227"/>
        <v/>
      </c>
      <c r="AC459" s="310" t="e">
        <f t="shared" ca="1" si="228"/>
        <v>#N/A</v>
      </c>
      <c r="AD459" s="323" t="e">
        <f t="shared" ca="1" si="229"/>
        <v>#N/A</v>
      </c>
      <c r="AE459" s="324">
        <f t="shared" ca="1" si="208"/>
        <v>760.05326150658777</v>
      </c>
      <c r="AG459" s="306">
        <f t="shared" ca="1" si="230"/>
        <v>-21.35431848696539</v>
      </c>
      <c r="AH459" s="304">
        <f t="shared" ca="1" si="231"/>
        <v>-11.614510944057008</v>
      </c>
    </row>
    <row r="460" spans="1:34" x14ac:dyDescent="0.2">
      <c r="A460" s="347">
        <f t="shared" ca="1" si="209"/>
        <v>0.01</v>
      </c>
      <c r="B460" s="304">
        <f t="shared" ca="1" si="210"/>
        <v>4.5599999999999472</v>
      </c>
      <c r="D460" s="306">
        <f t="shared" ca="1" si="211"/>
        <v>-1.4854676680258851</v>
      </c>
      <c r="E460" s="307">
        <f t="shared" ca="1" si="212"/>
        <v>-22.156413756885971</v>
      </c>
      <c r="F460" s="304">
        <f t="shared" ca="1" si="213"/>
        <v>22.206154209116811</v>
      </c>
      <c r="G460" s="306">
        <f t="shared" ca="1" si="214"/>
        <v>32.777845234788458</v>
      </c>
      <c r="H460" s="307">
        <f t="shared" ca="1" si="215"/>
        <v>272.33384048490012</v>
      </c>
      <c r="I460" s="304">
        <f t="shared" ca="1" si="216"/>
        <v>274.29930333759648</v>
      </c>
      <c r="J460" s="306">
        <f t="shared" ca="1" si="217"/>
        <v>85.557147365787486</v>
      </c>
      <c r="K460" s="307">
        <f t="shared" ca="1" si="218"/>
        <v>762.77770773212467</v>
      </c>
      <c r="L460" s="304">
        <f t="shared" ca="1" si="203"/>
        <v>767.56097925731331</v>
      </c>
      <c r="M460" s="306">
        <f t="shared" ca="1" si="219"/>
        <v>1.4510134522118396</v>
      </c>
      <c r="N460" s="304">
        <f t="shared" ca="1" si="220"/>
        <v>83.136946828445971</v>
      </c>
      <c r="P460" s="310">
        <f t="shared" ca="1" si="221"/>
        <v>19</v>
      </c>
      <c r="Q460" s="304">
        <f t="shared" ca="1" si="222"/>
        <v>112.50625000004138</v>
      </c>
      <c r="R460" s="306">
        <f t="shared" ca="1" si="223"/>
        <v>5.6358010175658606E-2</v>
      </c>
      <c r="S460" s="307">
        <f t="shared" ca="1" si="224"/>
        <v>9.1420856035197158</v>
      </c>
      <c r="T460" s="304">
        <f t="shared" ca="1" si="204"/>
        <v>89.683859770528414</v>
      </c>
      <c r="U460" s="311">
        <f t="shared" ca="1" si="205"/>
        <v>0</v>
      </c>
      <c r="V460" s="306">
        <f t="shared" ca="1" si="206"/>
        <v>1.1349925159220022</v>
      </c>
      <c r="W460" s="304">
        <f t="shared" ca="1" si="207"/>
        <v>225.76536168236041</v>
      </c>
      <c r="Y460" s="314" t="str">
        <f t="shared" ca="1" si="225"/>
        <v/>
      </c>
      <c r="Z460" s="315" t="str">
        <f t="shared" ca="1" si="226"/>
        <v/>
      </c>
      <c r="AA460" s="316" t="str">
        <f t="shared" ca="1" si="227"/>
        <v/>
      </c>
      <c r="AC460" s="310" t="e">
        <f t="shared" ca="1" si="228"/>
        <v>#N/A</v>
      </c>
      <c r="AD460" s="323" t="e">
        <f t="shared" ca="1" si="229"/>
        <v>#N/A</v>
      </c>
      <c r="AE460" s="324">
        <f t="shared" ca="1" si="208"/>
        <v>762.77770773212467</v>
      </c>
      <c r="AG460" s="306">
        <f t="shared" ca="1" si="230"/>
        <v>-22.175212779898409</v>
      </c>
      <c r="AH460" s="304">
        <f t="shared" ca="1" si="231"/>
        <v>-12.435455232880436</v>
      </c>
    </row>
    <row r="461" spans="1:34" x14ac:dyDescent="0.2">
      <c r="A461" s="347">
        <f t="shared" ca="1" si="209"/>
        <v>0.01</v>
      </c>
      <c r="B461" s="304">
        <f t="shared" ca="1" si="210"/>
        <v>4.569999999999947</v>
      </c>
      <c r="D461" s="306">
        <f t="shared" ca="1" si="211"/>
        <v>-1.5839307392540412</v>
      </c>
      <c r="E461" s="307">
        <f t="shared" ca="1" si="212"/>
        <v>-22.97004570139719</v>
      </c>
      <c r="F461" s="304">
        <f t="shared" ca="1" si="213"/>
        <v>23.024591985766641</v>
      </c>
      <c r="G461" s="306">
        <f t="shared" ca="1" si="214"/>
        <v>32.762005927395919</v>
      </c>
      <c r="H461" s="307">
        <f t="shared" ca="1" si="215"/>
        <v>272.10414002788616</v>
      </c>
      <c r="I461" s="304">
        <f t="shared" ca="1" si="216"/>
        <v>274.06935628176711</v>
      </c>
      <c r="J461" s="306">
        <f t="shared" ca="1" si="217"/>
        <v>85.884846621598413</v>
      </c>
      <c r="K461" s="307">
        <f t="shared" ca="1" si="218"/>
        <v>765.49989763468864</v>
      </c>
      <c r="L461" s="304">
        <f t="shared" ca="1" si="203"/>
        <v>770.30273279921198</v>
      </c>
      <c r="M461" s="306">
        <f t="shared" ca="1" si="219"/>
        <v>1.4509706797523656</v>
      </c>
      <c r="N461" s="304">
        <f t="shared" ca="1" si="220"/>
        <v>83.134496147038718</v>
      </c>
      <c r="P461" s="310">
        <f t="shared" ca="1" si="221"/>
        <v>19</v>
      </c>
      <c r="Q461" s="304">
        <f t="shared" ca="1" si="222"/>
        <v>104.59375000004155</v>
      </c>
      <c r="R461" s="306">
        <f t="shared" ca="1" si="223"/>
        <v>5.2394383661445172E-2</v>
      </c>
      <c r="S461" s="307">
        <f t="shared" ca="1" si="224"/>
        <v>9.1415616596831022</v>
      </c>
      <c r="T461" s="304">
        <f t="shared" ca="1" si="204"/>
        <v>89.678719881491233</v>
      </c>
      <c r="U461" s="311">
        <f t="shared" ca="1" si="205"/>
        <v>0</v>
      </c>
      <c r="V461" s="306">
        <f t="shared" ca="1" si="206"/>
        <v>1.1346831398978934</v>
      </c>
      <c r="W461" s="304">
        <f t="shared" ca="1" si="207"/>
        <v>225.3255629845531</v>
      </c>
      <c r="Y461" s="314" t="str">
        <f t="shared" ca="1" si="225"/>
        <v/>
      </c>
      <c r="Z461" s="315" t="str">
        <f t="shared" ca="1" si="226"/>
        <v/>
      </c>
      <c r="AA461" s="316" t="str">
        <f t="shared" ca="1" si="227"/>
        <v/>
      </c>
      <c r="AC461" s="310" t="e">
        <f t="shared" ca="1" si="228"/>
        <v>#N/A</v>
      </c>
      <c r="AD461" s="323" t="e">
        <f t="shared" ca="1" si="229"/>
        <v>#N/A</v>
      </c>
      <c r="AE461" s="324">
        <f t="shared" ca="1" si="208"/>
        <v>765.49989763468864</v>
      </c>
      <c r="AG461" s="306">
        <f t="shared" ca="1" si="230"/>
        <v>-22.994730653202282</v>
      </c>
      <c r="AH461" s="304">
        <f t="shared" ca="1" si="231"/>
        <v>-13.255023178011287</v>
      </c>
    </row>
    <row r="462" spans="1:34" x14ac:dyDescent="0.2">
      <c r="A462" s="347">
        <f t="shared" ca="1" si="209"/>
        <v>0.01</v>
      </c>
      <c r="B462" s="304">
        <f t="shared" ca="1" si="210"/>
        <v>4.5799999999999468</v>
      </c>
      <c r="D462" s="306">
        <f t="shared" ca="1" si="211"/>
        <v>-1.6822991009277817</v>
      </c>
      <c r="E462" s="307">
        <f t="shared" ca="1" si="212"/>
        <v>-23.782299228016939</v>
      </c>
      <c r="F462" s="304">
        <f t="shared" ca="1" si="213"/>
        <v>23.841725752049022</v>
      </c>
      <c r="G462" s="306">
        <f t="shared" ca="1" si="214"/>
        <v>32.745182936386641</v>
      </c>
      <c r="H462" s="307">
        <f t="shared" ca="1" si="215"/>
        <v>271.86631703560602</v>
      </c>
      <c r="I462" s="304">
        <f t="shared" ca="1" si="216"/>
        <v>273.83122784671963</v>
      </c>
      <c r="J462" s="306">
        <f t="shared" ca="1" si="217"/>
        <v>86.212382565917324</v>
      </c>
      <c r="K462" s="307">
        <f t="shared" ca="1" si="218"/>
        <v>768.21974992000605</v>
      </c>
      <c r="L462" s="304">
        <f t="shared" ca="1" si="203"/>
        <v>773.04214573000388</v>
      </c>
      <c r="M462" s="306">
        <f t="shared" ca="1" si="219"/>
        <v>1.4509278548838194</v>
      </c>
      <c r="N462" s="304">
        <f t="shared" ca="1" si="220"/>
        <v>83.132042462812819</v>
      </c>
      <c r="P462" s="310">
        <f t="shared" ca="1" si="221"/>
        <v>19</v>
      </c>
      <c r="Q462" s="304">
        <f t="shared" ca="1" si="222"/>
        <v>96.681250000041729</v>
      </c>
      <c r="R462" s="306">
        <f t="shared" ca="1" si="223"/>
        <v>4.8430757147231746E-2</v>
      </c>
      <c r="S462" s="307">
        <f t="shared" ca="1" si="224"/>
        <v>9.1410773521116298</v>
      </c>
      <c r="T462" s="304">
        <f t="shared" ca="1" si="204"/>
        <v>89.673968824215095</v>
      </c>
      <c r="U462" s="311">
        <f t="shared" ca="1" si="205"/>
        <v>0</v>
      </c>
      <c r="V462" s="306">
        <f t="shared" ca="1" si="206"/>
        <v>1.1343741105415999</v>
      </c>
      <c r="W462" s="304">
        <f t="shared" ca="1" si="207"/>
        <v>224.87291896473843</v>
      </c>
      <c r="Y462" s="314" t="str">
        <f t="shared" ca="1" si="225"/>
        <v/>
      </c>
      <c r="Z462" s="315" t="str">
        <f t="shared" ca="1" si="226"/>
        <v/>
      </c>
      <c r="AA462" s="316" t="str">
        <f t="shared" ca="1" si="227"/>
        <v/>
      </c>
      <c r="AC462" s="310" t="e">
        <f t="shared" ca="1" si="228"/>
        <v>#N/A</v>
      </c>
      <c r="AD462" s="323" t="e">
        <f t="shared" ca="1" si="229"/>
        <v>#N/A</v>
      </c>
      <c r="AE462" s="324">
        <f t="shared" ca="1" si="208"/>
        <v>768.21974992000605</v>
      </c>
      <c r="AG462" s="306">
        <f t="shared" ca="1" si="230"/>
        <v>-23.812868614658164</v>
      </c>
      <c r="AH462" s="304">
        <f t="shared" ca="1" si="231"/>
        <v>-14.073211288907205</v>
      </c>
    </row>
    <row r="463" spans="1:34" x14ac:dyDescent="0.2">
      <c r="A463" s="347">
        <f t="shared" ca="1" si="209"/>
        <v>0.01</v>
      </c>
      <c r="B463" s="304">
        <f t="shared" ca="1" si="210"/>
        <v>4.5899999999999466</v>
      </c>
      <c r="D463" s="306">
        <f t="shared" ca="1" si="211"/>
        <v>-1.7805723225703991</v>
      </c>
      <c r="E463" s="307">
        <f t="shared" ca="1" si="212"/>
        <v>-24.593171023755048</v>
      </c>
      <c r="F463" s="304">
        <f t="shared" ca="1" si="213"/>
        <v>24.657544460054588</v>
      </c>
      <c r="G463" s="306">
        <f t="shared" ca="1" si="214"/>
        <v>32.727377213160935</v>
      </c>
      <c r="H463" s="307">
        <f t="shared" ca="1" si="215"/>
        <v>271.62038532536849</v>
      </c>
      <c r="I463" s="304">
        <f t="shared" ca="1" si="216"/>
        <v>273.58493186495883</v>
      </c>
      <c r="J463" s="306">
        <f t="shared" ca="1" si="217"/>
        <v>86.539745366665059</v>
      </c>
      <c r="K463" s="307">
        <f t="shared" ca="1" si="218"/>
        <v>770.93718343181092</v>
      </c>
      <c r="L463" s="304">
        <f t="shared" ca="1" si="203"/>
        <v>775.77913630485125</v>
      </c>
      <c r="M463" s="306">
        <f t="shared" ca="1" si="219"/>
        <v>1.4508849762163392</v>
      </c>
      <c r="N463" s="304">
        <f t="shared" ca="1" si="220"/>
        <v>83.129585696135052</v>
      </c>
      <c r="P463" s="310">
        <f t="shared" ca="1" si="221"/>
        <v>19</v>
      </c>
      <c r="Q463" s="304">
        <f t="shared" ca="1" si="222"/>
        <v>88.768750000041905</v>
      </c>
      <c r="R463" s="306">
        <f t="shared" ca="1" si="223"/>
        <v>4.4467130633018312E-2</v>
      </c>
      <c r="S463" s="307">
        <f t="shared" ca="1" si="224"/>
        <v>9.1406326808053002</v>
      </c>
      <c r="T463" s="304">
        <f t="shared" ca="1" si="204"/>
        <v>89.6696065987</v>
      </c>
      <c r="U463" s="311">
        <f t="shared" ca="1" si="205"/>
        <v>0</v>
      </c>
      <c r="V463" s="306">
        <f t="shared" ca="1" si="206"/>
        <v>1.1340654368299492</v>
      </c>
      <c r="W463" s="304">
        <f t="shared" ca="1" si="207"/>
        <v>224.40749950179168</v>
      </c>
      <c r="Y463" s="314" t="str">
        <f t="shared" ca="1" si="225"/>
        <v/>
      </c>
      <c r="Z463" s="315" t="str">
        <f t="shared" ca="1" si="226"/>
        <v/>
      </c>
      <c r="AA463" s="316" t="str">
        <f t="shared" ca="1" si="227"/>
        <v/>
      </c>
      <c r="AC463" s="310" t="e">
        <f t="shared" ca="1" si="228"/>
        <v>#N/A</v>
      </c>
      <c r="AD463" s="323" t="e">
        <f t="shared" ca="1" si="229"/>
        <v>#N/A</v>
      </c>
      <c r="AE463" s="324">
        <f t="shared" ca="1" si="208"/>
        <v>770.93718343181092</v>
      </c>
      <c r="AG463" s="306">
        <f t="shared" ca="1" si="230"/>
        <v>-24.629623326468604</v>
      </c>
      <c r="AH463" s="304">
        <f t="shared" ca="1" si="231"/>
        <v>-14.890016229457061</v>
      </c>
    </row>
    <row r="464" spans="1:34" x14ac:dyDescent="0.2">
      <c r="A464" s="347">
        <f t="shared" ca="1" si="209"/>
        <v>0.01</v>
      </c>
      <c r="B464" s="304">
        <f t="shared" ca="1" si="210"/>
        <v>4.5999999999999464</v>
      </c>
      <c r="D464" s="306">
        <f t="shared" ca="1" si="211"/>
        <v>-1.8787499956378462</v>
      </c>
      <c r="E464" s="307">
        <f t="shared" ca="1" si="212"/>
        <v>-25.402657927381128</v>
      </c>
      <c r="F464" s="304">
        <f t="shared" ca="1" si="213"/>
        <v>25.472038224721015</v>
      </c>
      <c r="G464" s="306">
        <f t="shared" ca="1" si="214"/>
        <v>32.708589713204553</v>
      </c>
      <c r="H464" s="307">
        <f t="shared" ca="1" si="215"/>
        <v>271.3663587460947</v>
      </c>
      <c r="I464" s="304">
        <f t="shared" ca="1" si="216"/>
        <v>273.33048220083492</v>
      </c>
      <c r="J464" s="306">
        <f t="shared" ca="1" si="217"/>
        <v>86.86692520129688</v>
      </c>
      <c r="K464" s="307">
        <f t="shared" ca="1" si="218"/>
        <v>773.65211715216822</v>
      </c>
      <c r="L464" s="304">
        <f t="shared" ca="1" si="203"/>
        <v>778.51362291738985</v>
      </c>
      <c r="M464" s="306">
        <f t="shared" ca="1" si="219"/>
        <v>1.4508420423531654</v>
      </c>
      <c r="N464" s="304">
        <f t="shared" ca="1" si="220"/>
        <v>83.127125766977002</v>
      </c>
      <c r="P464" s="310">
        <f t="shared" ca="1" si="221"/>
        <v>19</v>
      </c>
      <c r="Q464" s="304">
        <f t="shared" ca="1" si="222"/>
        <v>80.856250000042081</v>
      </c>
      <c r="R464" s="306">
        <f t="shared" ca="1" si="223"/>
        <v>4.0503504118804885E-2</v>
      </c>
      <c r="S464" s="307">
        <f t="shared" ca="1" si="224"/>
        <v>9.1402276457641118</v>
      </c>
      <c r="T464" s="304">
        <f t="shared" ca="1" si="204"/>
        <v>89.665633204945948</v>
      </c>
      <c r="U464" s="311">
        <f t="shared" ca="1" si="205"/>
        <v>0</v>
      </c>
      <c r="V464" s="306">
        <f t="shared" ca="1" si="206"/>
        <v>1.1337571277147849</v>
      </c>
      <c r="W464" s="304">
        <f t="shared" ca="1" si="207"/>
        <v>223.92937554112592</v>
      </c>
      <c r="Y464" s="314" t="str">
        <f t="shared" ca="1" si="225"/>
        <v/>
      </c>
      <c r="Z464" s="315" t="str">
        <f t="shared" ca="1" si="226"/>
        <v/>
      </c>
      <c r="AA464" s="316" t="str">
        <f t="shared" ca="1" si="227"/>
        <v/>
      </c>
      <c r="AC464" s="310" t="e">
        <f t="shared" ca="1" si="228"/>
        <v>#N/A</v>
      </c>
      <c r="AD464" s="323" t="e">
        <f t="shared" ca="1" si="229"/>
        <v>#N/A</v>
      </c>
      <c r="AE464" s="324">
        <f t="shared" ca="1" si="208"/>
        <v>773.65211715216822</v>
      </c>
      <c r="AG464" s="306">
        <f t="shared" ca="1" si="230"/>
        <v>-25.444991604129623</v>
      </c>
      <c r="AH464" s="304">
        <f t="shared" ca="1" si="231"/>
        <v>-15.705434816853392</v>
      </c>
    </row>
    <row r="465" spans="1:34" x14ac:dyDescent="0.2">
      <c r="A465" s="347">
        <f t="shared" ca="1" si="209"/>
        <v>0.01</v>
      </c>
      <c r="B465" s="304">
        <f t="shared" ca="1" si="210"/>
        <v>4.6099999999999461</v>
      </c>
      <c r="D465" s="306">
        <f t="shared" ca="1" si="211"/>
        <v>-1.953839301107176</v>
      </c>
      <c r="E465" s="307">
        <f t="shared" ca="1" si="212"/>
        <v>-26.020000533970531</v>
      </c>
      <c r="F465" s="304">
        <f t="shared" ca="1" si="213"/>
        <v>26.093254220245846</v>
      </c>
      <c r="G465" s="306">
        <f t="shared" ca="1" si="214"/>
        <v>32.689051320193478</v>
      </c>
      <c r="H465" s="307">
        <f t="shared" ca="1" si="215"/>
        <v>271.10615874075501</v>
      </c>
      <c r="I465" s="304">
        <f t="shared" ca="1" si="216"/>
        <v>273.06981411972595</v>
      </c>
      <c r="J465" s="306">
        <f t="shared" ca="1" si="217"/>
        <v>87.193913406463864</v>
      </c>
      <c r="K465" s="307">
        <f t="shared" ca="1" si="218"/>
        <v>776.36447973960242</v>
      </c>
      <c r="L465" s="304">
        <f t="shared" ca="1" si="203"/>
        <v>781.24553370657895</v>
      </c>
      <c r="M465" s="306">
        <f t="shared" ca="1" si="219"/>
        <v>1.4507990521928686</v>
      </c>
      <c r="N465" s="304">
        <f t="shared" ca="1" si="220"/>
        <v>83.124662612231418</v>
      </c>
      <c r="P465" s="310">
        <f t="shared" ca="1" si="221"/>
        <v>20</v>
      </c>
      <c r="Q465" s="304">
        <f t="shared" ca="1" si="222"/>
        <v>74.700000000023536</v>
      </c>
      <c r="R465" s="306">
        <f t="shared" ca="1" si="223"/>
        <v>3.7419639887752688E-2</v>
      </c>
      <c r="S465" s="307">
        <f t="shared" ca="1" si="224"/>
        <v>9.1398534493652335</v>
      </c>
      <c r="T465" s="304">
        <f t="shared" ca="1" si="204"/>
        <v>89.661962338272943</v>
      </c>
      <c r="U465" s="311">
        <f t="shared" ca="1" si="205"/>
        <v>0</v>
      </c>
      <c r="V465" s="306">
        <f t="shared" ca="1" si="206"/>
        <v>1.1334491910402862</v>
      </c>
      <c r="W465" s="304">
        <f t="shared" ca="1" si="207"/>
        <v>223.44176321506134</v>
      </c>
      <c r="Y465" s="314" t="str">
        <f t="shared" ca="1" si="225"/>
        <v/>
      </c>
      <c r="Z465" s="315" t="str">
        <f t="shared" ca="1" si="226"/>
        <v/>
      </c>
      <c r="AA465" s="316" t="str">
        <f t="shared" ca="1" si="227"/>
        <v/>
      </c>
      <c r="AC465" s="310" t="e">
        <f t="shared" ca="1" si="228"/>
        <v>#N/A</v>
      </c>
      <c r="AD465" s="323" t="e">
        <f t="shared" ca="1" si="229"/>
        <v>#N/A</v>
      </c>
      <c r="AE465" s="324">
        <f t="shared" ca="1" si="208"/>
        <v>776.36447973960242</v>
      </c>
      <c r="AG465" s="306">
        <f t="shared" ca="1" si="230"/>
        <v>-26.066833344644461</v>
      </c>
      <c r="AH465" s="304">
        <f t="shared" ca="1" si="231"/>
        <v>-16.327326949806448</v>
      </c>
    </row>
    <row r="466" spans="1:34" x14ac:dyDescent="0.2">
      <c r="A466" s="347">
        <f t="shared" ca="1" si="209"/>
        <v>0.01</v>
      </c>
      <c r="B466" s="304">
        <f t="shared" ca="1" si="210"/>
        <v>4.6199999999999459</v>
      </c>
      <c r="D466" s="306">
        <f t="shared" ca="1" si="211"/>
        <v>-2.0058560682965934</v>
      </c>
      <c r="E466" s="307">
        <f t="shared" ca="1" si="212"/>
        <v>-26.44553733438552</v>
      </c>
      <c r="F466" s="304">
        <f t="shared" ca="1" si="213"/>
        <v>26.521498891863192</v>
      </c>
      <c r="G466" s="306">
        <f t="shared" ca="1" si="214"/>
        <v>32.668992759510509</v>
      </c>
      <c r="H466" s="307">
        <f t="shared" ca="1" si="215"/>
        <v>270.84170336741113</v>
      </c>
      <c r="I466" s="304">
        <f t="shared" ca="1" si="216"/>
        <v>272.8048595074539</v>
      </c>
      <c r="J466" s="306">
        <f t="shared" ca="1" si="217"/>
        <v>87.520703626862385</v>
      </c>
      <c r="K466" s="307">
        <f t="shared" ca="1" si="218"/>
        <v>779.07421905014326</v>
      </c>
      <c r="L466" s="304">
        <f t="shared" ca="1" si="203"/>
        <v>783.97481614649564</v>
      </c>
      <c r="M466" s="306">
        <f t="shared" ca="1" si="219"/>
        <v>1.4507560049314636</v>
      </c>
      <c r="N466" s="304">
        <f t="shared" ca="1" si="220"/>
        <v>83.122196185833317</v>
      </c>
      <c r="P466" s="310">
        <f t="shared" ca="1" si="221"/>
        <v>20</v>
      </c>
      <c r="Q466" s="304">
        <f t="shared" ca="1" si="222"/>
        <v>70.300000000023687</v>
      </c>
      <c r="R466" s="306">
        <f t="shared" ca="1" si="223"/>
        <v>3.5215537939880477E-2</v>
      </c>
      <c r="S466" s="307">
        <f t="shared" ca="1" si="224"/>
        <v>9.139501293985834</v>
      </c>
      <c r="T466" s="304">
        <f t="shared" ca="1" si="204"/>
        <v>89.658507694001031</v>
      </c>
      <c r="U466" s="311">
        <f t="shared" ca="1" si="205"/>
        <v>0</v>
      </c>
      <c r="V466" s="306">
        <f t="shared" ca="1" si="206"/>
        <v>1.1331416324639267</v>
      </c>
      <c r="W466" s="304">
        <f t="shared" ca="1" si="207"/>
        <v>222.94785795844982</v>
      </c>
      <c r="Y466" s="314" t="str">
        <f t="shared" ca="1" si="225"/>
        <v/>
      </c>
      <c r="Z466" s="315" t="str">
        <f t="shared" ca="1" si="226"/>
        <v/>
      </c>
      <c r="AA466" s="316" t="str">
        <f t="shared" ca="1" si="227"/>
        <v/>
      </c>
      <c r="AC466" s="310" t="e">
        <f t="shared" ca="1" si="228"/>
        <v>#N/A</v>
      </c>
      <c r="AD466" s="323" t="e">
        <f t="shared" ca="1" si="229"/>
        <v>#N/A</v>
      </c>
      <c r="AE466" s="324">
        <f t="shared" ca="1" si="208"/>
        <v>779.07421905014326</v>
      </c>
      <c r="AG466" s="306">
        <f t="shared" ca="1" si="230"/>
        <v>-26.495486503483516</v>
      </c>
      <c r="AH466" s="304">
        <f t="shared" ca="1" si="231"/>
        <v>-16.756030585149237</v>
      </c>
    </row>
    <row r="467" spans="1:34" x14ac:dyDescent="0.2">
      <c r="A467" s="347">
        <f t="shared" ca="1" si="209"/>
        <v>0.01</v>
      </c>
      <c r="B467" s="304">
        <f t="shared" ca="1" si="210"/>
        <v>4.6299999999999457</v>
      </c>
      <c r="D467" s="306">
        <f t="shared" ca="1" si="211"/>
        <v>-2.0578269368758382</v>
      </c>
      <c r="E467" s="307">
        <f t="shared" ca="1" si="212"/>
        <v>-26.870377616219621</v>
      </c>
      <c r="F467" s="304">
        <f t="shared" ca="1" si="213"/>
        <v>26.949060186588479</v>
      </c>
      <c r="G467" s="306">
        <f t="shared" ca="1" si="214"/>
        <v>32.648414490141754</v>
      </c>
      <c r="H467" s="307">
        <f t="shared" ca="1" si="215"/>
        <v>270.57299959124896</v>
      </c>
      <c r="I467" s="304">
        <f t="shared" ca="1" si="216"/>
        <v>272.53562533460854</v>
      </c>
      <c r="J467" s="306">
        <f t="shared" ca="1" si="217"/>
        <v>87.847290663110641</v>
      </c>
      <c r="K467" s="307">
        <f t="shared" ca="1" si="218"/>
        <v>781.78129256493651</v>
      </c>
      <c r="L467" s="304">
        <f t="shared" ca="1" si="203"/>
        <v>786.7014274051827</v>
      </c>
      <c r="M467" s="306">
        <f t="shared" ca="1" si="219"/>
        <v>1.4507128997607412</v>
      </c>
      <c r="N467" s="304">
        <f t="shared" ca="1" si="220"/>
        <v>83.119726441475734</v>
      </c>
      <c r="P467" s="310">
        <f t="shared" ca="1" si="221"/>
        <v>20</v>
      </c>
      <c r="Q467" s="304">
        <f t="shared" ca="1" si="222"/>
        <v>65.900000000023837</v>
      </c>
      <c r="R467" s="306">
        <f t="shared" ca="1" si="223"/>
        <v>3.3011435992008266E-2</v>
      </c>
      <c r="S467" s="307">
        <f t="shared" ca="1" si="224"/>
        <v>9.1391711796259134</v>
      </c>
      <c r="T467" s="304">
        <f t="shared" ca="1" si="204"/>
        <v>89.655269272130212</v>
      </c>
      <c r="U467" s="311">
        <f t="shared" ca="1" si="205"/>
        <v>0</v>
      </c>
      <c r="V467" s="306">
        <f t="shared" ca="1" si="206"/>
        <v>1.1328344565453901</v>
      </c>
      <c r="W467" s="304">
        <f t="shared" ca="1" si="207"/>
        <v>222.44769739389466</v>
      </c>
      <c r="Y467" s="314" t="str">
        <f t="shared" ca="1" si="225"/>
        <v/>
      </c>
      <c r="Z467" s="315" t="str">
        <f t="shared" ca="1" si="226"/>
        <v/>
      </c>
      <c r="AA467" s="316" t="str">
        <f t="shared" ca="1" si="227"/>
        <v/>
      </c>
      <c r="AC467" s="310" t="e">
        <f t="shared" ca="1" si="228"/>
        <v>#N/A</v>
      </c>
      <c r="AD467" s="323" t="e">
        <f t="shared" ca="1" si="229"/>
        <v>#N/A</v>
      </c>
      <c r="AE467" s="324">
        <f t="shared" ca="1" si="208"/>
        <v>781.78129256493651</v>
      </c>
      <c r="AG467" s="306">
        <f t="shared" ca="1" si="230"/>
        <v>-26.923442603862103</v>
      </c>
      <c r="AH467" s="304">
        <f t="shared" ca="1" si="231"/>
        <v>-17.184037247112194</v>
      </c>
    </row>
    <row r="468" spans="1:34" x14ac:dyDescent="0.2">
      <c r="A468" s="347">
        <f t="shared" ca="1" si="209"/>
        <v>0.01</v>
      </c>
      <c r="B468" s="304">
        <f t="shared" ca="1" si="210"/>
        <v>4.6399999999999455</v>
      </c>
      <c r="D468" s="306">
        <f t="shared" ca="1" si="211"/>
        <v>-2.1097520172465822</v>
      </c>
      <c r="E468" s="307">
        <f t="shared" ca="1" si="212"/>
        <v>-27.294522314933928</v>
      </c>
      <c r="F468" s="304">
        <f t="shared" ca="1" si="213"/>
        <v>27.375938376148902</v>
      </c>
      <c r="G468" s="306">
        <f t="shared" ca="1" si="214"/>
        <v>32.627316969969286</v>
      </c>
      <c r="H468" s="307">
        <f t="shared" ca="1" si="215"/>
        <v>270.30005436809961</v>
      </c>
      <c r="I468" s="304">
        <f t="shared" ca="1" si="216"/>
        <v>272.26211856234511</v>
      </c>
      <c r="J468" s="306">
        <f t="shared" ca="1" si="217"/>
        <v>88.173669320411193</v>
      </c>
      <c r="K468" s="307">
        <f t="shared" ca="1" si="218"/>
        <v>784.48565783473327</v>
      </c>
      <c r="L468" s="304">
        <f t="shared" ca="1" si="203"/>
        <v>789.42532472034327</v>
      </c>
      <c r="M468" s="306">
        <f t="shared" ca="1" si="219"/>
        <v>1.4506697358681793</v>
      </c>
      <c r="N468" s="304">
        <f t="shared" ca="1" si="220"/>
        <v>83.117253332604577</v>
      </c>
      <c r="P468" s="310">
        <f t="shared" ca="1" si="221"/>
        <v>20</v>
      </c>
      <c r="Q468" s="304">
        <f t="shared" ca="1" si="222"/>
        <v>61.500000000023995</v>
      </c>
      <c r="R468" s="306">
        <f t="shared" ca="1" si="223"/>
        <v>3.0807334044136055E-2</v>
      </c>
      <c r="S468" s="307">
        <f t="shared" ca="1" si="224"/>
        <v>9.1388631062854717</v>
      </c>
      <c r="T468" s="304">
        <f t="shared" ca="1" si="204"/>
        <v>89.652247072660487</v>
      </c>
      <c r="U468" s="311">
        <f t="shared" ca="1" si="205"/>
        <v>0</v>
      </c>
      <c r="V468" s="306">
        <f t="shared" ca="1" si="206"/>
        <v>1.132527667831867</v>
      </c>
      <c r="W468" s="304">
        <f t="shared" ca="1" si="207"/>
        <v>221.9413193557555</v>
      </c>
      <c r="Y468" s="314" t="str">
        <f t="shared" ca="1" si="225"/>
        <v/>
      </c>
      <c r="Z468" s="315" t="str">
        <f t="shared" ca="1" si="226"/>
        <v/>
      </c>
      <c r="AA468" s="316" t="str">
        <f t="shared" ca="1" si="227"/>
        <v/>
      </c>
      <c r="AC468" s="310" t="e">
        <f t="shared" ca="1" si="228"/>
        <v>#N/A</v>
      </c>
      <c r="AD468" s="323" t="e">
        <f t="shared" ca="1" si="229"/>
        <v>#N/A</v>
      </c>
      <c r="AE468" s="324">
        <f t="shared" ca="1" si="208"/>
        <v>784.48565783473327</v>
      </c>
      <c r="AG468" s="306">
        <f t="shared" ca="1" si="230"/>
        <v>-27.350702589214364</v>
      </c>
      <c r="AH468" s="304">
        <f t="shared" ca="1" si="231"/>
        <v>-17.611347880150984</v>
      </c>
    </row>
    <row r="469" spans="1:34" x14ac:dyDescent="0.2">
      <c r="A469" s="347">
        <f t="shared" ca="1" si="209"/>
        <v>0.01</v>
      </c>
      <c r="B469" s="304">
        <f t="shared" ca="1" si="210"/>
        <v>4.6499999999999453</v>
      </c>
      <c r="D469" s="306">
        <f t="shared" ca="1" si="211"/>
        <v>-2.1616314251804516</v>
      </c>
      <c r="E469" s="307">
        <f t="shared" ca="1" si="212"/>
        <v>-27.717972398952021</v>
      </c>
      <c r="F469" s="304">
        <f t="shared" ca="1" si="213"/>
        <v>27.802133808889447</v>
      </c>
      <c r="G469" s="306">
        <f t="shared" ca="1" si="214"/>
        <v>32.605700655717484</v>
      </c>
      <c r="H469" s="307">
        <f t="shared" ca="1" si="215"/>
        <v>270.02287464411006</v>
      </c>
      <c r="I469" s="304">
        <f t="shared" ca="1" si="216"/>
        <v>271.98434614205104</v>
      </c>
      <c r="J469" s="306">
        <f t="shared" ca="1" si="217"/>
        <v>88.499834408539627</v>
      </c>
      <c r="K469" s="307">
        <f t="shared" ca="1" si="218"/>
        <v>787.18727247979427</v>
      </c>
      <c r="L469" s="304">
        <f t="shared" ca="1" si="203"/>
        <v>792.14646539924479</v>
      </c>
      <c r="M469" s="306">
        <f t="shared" ca="1" si="219"/>
        <v>1.4506265124368503</v>
      </c>
      <c r="N469" s="304">
        <f t="shared" ca="1" si="220"/>
        <v>83.114776812413339</v>
      </c>
      <c r="P469" s="310">
        <f t="shared" ca="1" si="221"/>
        <v>20</v>
      </c>
      <c r="Q469" s="304">
        <f t="shared" ca="1" si="222"/>
        <v>57.100000000024153</v>
      </c>
      <c r="R469" s="306">
        <f t="shared" ca="1" si="223"/>
        <v>2.8603232096263843E-2</v>
      </c>
      <c r="S469" s="307">
        <f t="shared" ca="1" si="224"/>
        <v>9.1385770739645089</v>
      </c>
      <c r="T469" s="304">
        <f t="shared" ca="1" si="204"/>
        <v>89.64944109559184</v>
      </c>
      <c r="U469" s="311">
        <f t="shared" ca="1" si="205"/>
        <v>0</v>
      </c>
      <c r="V469" s="306">
        <f t="shared" ca="1" si="206"/>
        <v>1.1322212708580932</v>
      </c>
      <c r="W469" s="304">
        <f t="shared" ca="1" si="207"/>
        <v>221.42876188741229</v>
      </c>
      <c r="Y469" s="314" t="str">
        <f t="shared" ca="1" si="225"/>
        <v/>
      </c>
      <c r="Z469" s="315" t="str">
        <f t="shared" ca="1" si="226"/>
        <v/>
      </c>
      <c r="AA469" s="316" t="str">
        <f t="shared" ca="1" si="227"/>
        <v/>
      </c>
      <c r="AC469" s="310" t="e">
        <f t="shared" ca="1" si="228"/>
        <v>#N/A</v>
      </c>
      <c r="AD469" s="323" t="e">
        <f t="shared" ca="1" si="229"/>
        <v>#N/A</v>
      </c>
      <c r="AE469" s="324">
        <f t="shared" ca="1" si="208"/>
        <v>787.18727247979427</v>
      </c>
      <c r="AG469" s="306">
        <f t="shared" ca="1" si="230"/>
        <v>-27.777267436343884</v>
      </c>
      <c r="AH469" s="304">
        <f t="shared" ca="1" si="231"/>
        <v>-18.037963462097242</v>
      </c>
    </row>
    <row r="470" spans="1:34" x14ac:dyDescent="0.2">
      <c r="A470" s="347">
        <f t="shared" ca="1" si="209"/>
        <v>0.01</v>
      </c>
      <c r="B470" s="304">
        <f t="shared" ca="1" si="210"/>
        <v>4.6599999999999451</v>
      </c>
      <c r="D470" s="306">
        <f t="shared" ca="1" si="211"/>
        <v>-2.2328132379007335</v>
      </c>
      <c r="E470" s="307">
        <f t="shared" ca="1" si="212"/>
        <v>-28.300958234803574</v>
      </c>
      <c r="F470" s="304">
        <f t="shared" ca="1" si="213"/>
        <v>28.388900858670823</v>
      </c>
      <c r="G470" s="306">
        <f t="shared" ca="1" si="214"/>
        <v>32.583372523338475</v>
      </c>
      <c r="H470" s="307">
        <f t="shared" ca="1" si="215"/>
        <v>269.73986506176203</v>
      </c>
      <c r="I470" s="304">
        <f t="shared" ca="1" si="216"/>
        <v>271.70070108215077</v>
      </c>
      <c r="J470" s="306">
        <f t="shared" ca="1" si="217"/>
        <v>88.825779774434906</v>
      </c>
      <c r="K470" s="307">
        <f t="shared" ca="1" si="218"/>
        <v>789.88608617832358</v>
      </c>
      <c r="L470" s="304">
        <f t="shared" ca="1" si="203"/>
        <v>794.86479874922532</v>
      </c>
      <c r="M470" s="306">
        <f t="shared" ca="1" si="219"/>
        <v>1.4505832283882203</v>
      </c>
      <c r="N470" s="304">
        <f t="shared" ca="1" si="220"/>
        <v>83.112296819106604</v>
      </c>
      <c r="P470" s="310">
        <f t="shared" ca="1" si="221"/>
        <v>21</v>
      </c>
      <c r="Q470" s="304">
        <f t="shared" ca="1" si="222"/>
        <v>51.225000000040474</v>
      </c>
      <c r="R470" s="306">
        <f t="shared" ca="1" si="223"/>
        <v>2.5660255063601634E-2</v>
      </c>
      <c r="S470" s="307">
        <f t="shared" ca="1" si="224"/>
        <v>9.1383204714138735</v>
      </c>
      <c r="T470" s="304">
        <f t="shared" ca="1" si="204"/>
        <v>89.646923824570109</v>
      </c>
      <c r="U470" s="311">
        <f t="shared" ca="1" si="205"/>
        <v>0</v>
      </c>
      <c r="V470" s="306">
        <f t="shared" ca="1" si="206"/>
        <v>1.1319152710546365</v>
      </c>
      <c r="W470" s="304">
        <f t="shared" ca="1" si="207"/>
        <v>220.90743897771938</v>
      </c>
      <c r="Y470" s="314" t="str">
        <f t="shared" ca="1" si="225"/>
        <v/>
      </c>
      <c r="Z470" s="315" t="str">
        <f t="shared" ca="1" si="226"/>
        <v/>
      </c>
      <c r="AA470" s="316" t="str">
        <f t="shared" ca="1" si="227"/>
        <v/>
      </c>
      <c r="AC470" s="310" t="e">
        <f t="shared" ca="1" si="228"/>
        <v>#N/A</v>
      </c>
      <c r="AD470" s="323" t="e">
        <f t="shared" ca="1" si="229"/>
        <v>#N/A</v>
      </c>
      <c r="AE470" s="324">
        <f t="shared" ca="1" si="208"/>
        <v>789.88608617832358</v>
      </c>
      <c r="AG470" s="306">
        <f t="shared" ca="1" si="230"/>
        <v>-28.364531441711954</v>
      </c>
      <c r="AH470" s="304">
        <f t="shared" ca="1" si="231"/>
        <v>-18.625278290446957</v>
      </c>
    </row>
    <row r="471" spans="1:34" x14ac:dyDescent="0.2">
      <c r="A471" s="347">
        <f t="shared" ca="1" si="209"/>
        <v>0.01</v>
      </c>
      <c r="B471" s="304">
        <f t="shared" ca="1" si="210"/>
        <v>4.6699999999999449</v>
      </c>
      <c r="D471" s="306">
        <f t="shared" ca="1" si="211"/>
        <v>-2.3232833945105318</v>
      </c>
      <c r="E471" s="307">
        <f t="shared" ca="1" si="212"/>
        <v>-29.043188611357827</v>
      </c>
      <c r="F471" s="304">
        <f t="shared" ca="1" si="213"/>
        <v>29.135964896431926</v>
      </c>
      <c r="G471" s="306">
        <f t="shared" ca="1" si="214"/>
        <v>32.560139689393367</v>
      </c>
      <c r="H471" s="307">
        <f t="shared" ca="1" si="215"/>
        <v>269.44943317564844</v>
      </c>
      <c r="I471" s="304">
        <f t="shared" ca="1" si="216"/>
        <v>271.40957929902004</v>
      </c>
      <c r="J471" s="306">
        <f t="shared" ca="1" si="217"/>
        <v>89.151497335498561</v>
      </c>
      <c r="K471" s="307">
        <f t="shared" ca="1" si="218"/>
        <v>792.58203266951068</v>
      </c>
      <c r="L471" s="304">
        <f t="shared" ca="1" si="203"/>
        <v>797.58025802278655</v>
      </c>
      <c r="M471" s="306">
        <f t="shared" ca="1" si="219"/>
        <v>1.4505398823798707</v>
      </c>
      <c r="N471" s="304">
        <f t="shared" ca="1" si="220"/>
        <v>83.10981327576944</v>
      </c>
      <c r="P471" s="310">
        <f t="shared" ca="1" si="221"/>
        <v>21</v>
      </c>
      <c r="Q471" s="304">
        <f t="shared" ca="1" si="222"/>
        <v>43.875000000040473</v>
      </c>
      <c r="R471" s="306">
        <f t="shared" ca="1" si="223"/>
        <v>2.1978402946133152E-2</v>
      </c>
      <c r="S471" s="307">
        <f t="shared" ca="1" si="224"/>
        <v>9.1381006873844122</v>
      </c>
      <c r="T471" s="304">
        <f t="shared" ca="1" si="204"/>
        <v>89.64476774324109</v>
      </c>
      <c r="U471" s="311">
        <f t="shared" ca="1" si="205"/>
        <v>0</v>
      </c>
      <c r="V471" s="306">
        <f t="shared" ca="1" si="206"/>
        <v>1.1316096756531111</v>
      </c>
      <c r="W471" s="304">
        <f t="shared" ca="1" si="207"/>
        <v>220.37478389591263</v>
      </c>
      <c r="Y471" s="314" t="str">
        <f t="shared" ca="1" si="225"/>
        <v/>
      </c>
      <c r="Z471" s="315" t="str">
        <f t="shared" ca="1" si="226"/>
        <v/>
      </c>
      <c r="AA471" s="316" t="str">
        <f t="shared" ca="1" si="227"/>
        <v/>
      </c>
      <c r="AC471" s="310" t="e">
        <f t="shared" ca="1" si="228"/>
        <v>#N/A</v>
      </c>
      <c r="AD471" s="323" t="e">
        <f t="shared" ca="1" si="229"/>
        <v>#N/A</v>
      </c>
      <c r="AE471" s="324">
        <f t="shared" ca="1" si="208"/>
        <v>792.58203266951068</v>
      </c>
      <c r="AG471" s="306">
        <f t="shared" ca="1" si="230"/>
        <v>-29.112203810324349</v>
      </c>
      <c r="AH471" s="304">
        <f t="shared" ca="1" si="231"/>
        <v>-19.373001571549842</v>
      </c>
    </row>
    <row r="472" spans="1:34" x14ac:dyDescent="0.2">
      <c r="A472" s="347">
        <f t="shared" ca="1" si="209"/>
        <v>0.01</v>
      </c>
      <c r="B472" s="304">
        <f t="shared" ca="1" si="210"/>
        <v>4.6799999999999446</v>
      </c>
      <c r="D472" s="306">
        <f t="shared" ca="1" si="211"/>
        <v>-2.6292761722002274</v>
      </c>
      <c r="E472" s="307">
        <f t="shared" ca="1" si="212"/>
        <v>-31.568413232249554</v>
      </c>
      <c r="F472" s="304">
        <f t="shared" ca="1" si="213"/>
        <v>31.677717834335361</v>
      </c>
      <c r="G472" s="306">
        <f t="shared" ca="1" si="214"/>
        <v>32.533846927671362</v>
      </c>
      <c r="H472" s="307">
        <f t="shared" ca="1" si="215"/>
        <v>269.13374904332596</v>
      </c>
      <c r="I472" s="304">
        <f t="shared" ca="1" si="216"/>
        <v>271.09302106477975</v>
      </c>
      <c r="J472" s="306">
        <f t="shared" ca="1" si="217"/>
        <v>89.476967268583891</v>
      </c>
      <c r="K472" s="307">
        <f t="shared" ca="1" si="218"/>
        <v>795.2749485806055</v>
      </c>
      <c r="L472" s="304">
        <f t="shared" ca="1" si="203"/>
        <v>800.29267865666998</v>
      </c>
      <c r="M472" s="306">
        <f t="shared" ca="1" si="219"/>
        <v>1.4504964701836118</v>
      </c>
      <c r="N472" s="304">
        <f t="shared" ca="1" si="220"/>
        <v>83.107325940144406</v>
      </c>
      <c r="P472" s="310">
        <f t="shared" ca="1" si="221"/>
        <v>22</v>
      </c>
      <c r="Q472" s="304">
        <f t="shared" ca="1" si="222"/>
        <v>20.100000000221371</v>
      </c>
      <c r="R472" s="306">
        <f t="shared" ca="1" si="223"/>
        <v>1.0068738443800211E-2</v>
      </c>
      <c r="S472" s="307">
        <f t="shared" ca="1" si="224"/>
        <v>9.137999999999975</v>
      </c>
      <c r="T472" s="304">
        <f t="shared" ca="1" si="204"/>
        <v>89.643779999999765</v>
      </c>
      <c r="U472" s="311">
        <f t="shared" ca="1" si="205"/>
        <v>0</v>
      </c>
      <c r="V472" s="306">
        <f t="shared" ca="1" si="206"/>
        <v>1.1313045028815321</v>
      </c>
      <c r="W472" s="304">
        <f t="shared" ca="1" si="207"/>
        <v>219.80172379016648</v>
      </c>
      <c r="Y472" s="314" t="str">
        <f t="shared" ca="1" si="225"/>
        <v/>
      </c>
      <c r="Z472" s="315" t="str">
        <f t="shared" ca="1" si="226"/>
        <v/>
      </c>
      <c r="AA472" s="316" t="str">
        <f t="shared" ca="1" si="227"/>
        <v/>
      </c>
      <c r="AC472" s="310" t="e">
        <f t="shared" ca="1" si="228"/>
        <v>#N/A</v>
      </c>
      <c r="AD472" s="323" t="e">
        <f t="shared" ca="1" si="229"/>
        <v>#N/A</v>
      </c>
      <c r="AE472" s="324">
        <f t="shared" ca="1" si="208"/>
        <v>795.2749485806055</v>
      </c>
      <c r="AG472" s="306">
        <f t="shared" ca="1" si="230"/>
        <v>-31.655848969381367</v>
      </c>
      <c r="AH472" s="304">
        <f t="shared" ca="1" si="231"/>
        <v>-21.91669773426262</v>
      </c>
    </row>
    <row r="473" spans="1:34" x14ac:dyDescent="0.2">
      <c r="A473" s="347">
        <f t="shared" ca="1" si="209"/>
        <v>0.01</v>
      </c>
      <c r="B473" s="304">
        <f t="shared" ca="1" si="210"/>
        <v>4.6899999999999444</v>
      </c>
      <c r="D473" s="306">
        <f t="shared" ca="1" si="211"/>
        <v>-2.8866692231701685</v>
      </c>
      <c r="E473" s="307">
        <f t="shared" ca="1" si="212"/>
        <v>-33.68974935785991</v>
      </c>
      <c r="F473" s="304">
        <f t="shared" ca="1" si="213"/>
        <v>33.813193741488249</v>
      </c>
      <c r="G473" s="306">
        <f t="shared" ca="1" si="214"/>
        <v>32.50498023543966</v>
      </c>
      <c r="H473" s="307">
        <f t="shared" ca="1" si="215"/>
        <v>268.79685154974737</v>
      </c>
      <c r="I473" s="304">
        <f t="shared" ca="1" si="216"/>
        <v>270.75509439928044</v>
      </c>
      <c r="J473" s="306">
        <f t="shared" ca="1" si="217"/>
        <v>89.802161404399442</v>
      </c>
      <c r="K473" s="307">
        <f t="shared" ca="1" si="218"/>
        <v>797.96460158357081</v>
      </c>
      <c r="L473" s="304">
        <f t="shared" ca="1" si="203"/>
        <v>803.00182663137741</v>
      </c>
      <c r="M473" s="306">
        <f t="shared" ca="1" si="219"/>
        <v>1.4504529881895636</v>
      </c>
      <c r="N473" s="304">
        <f t="shared" ca="1" si="220"/>
        <v>83.10483460540064</v>
      </c>
      <c r="P473" s="310">
        <f t="shared" ca="1" si="221"/>
        <v>23</v>
      </c>
      <c r="Q473" s="304">
        <f t="shared" ca="1" si="222"/>
        <v>0</v>
      </c>
      <c r="R473" s="306">
        <f t="shared" ca="1" si="223"/>
        <v>0</v>
      </c>
      <c r="S473" s="307">
        <f t="shared" ca="1" si="224"/>
        <v>9.137999999999975</v>
      </c>
      <c r="T473" s="304">
        <f t="shared" ca="1" si="204"/>
        <v>89.643779999999765</v>
      </c>
      <c r="U473" s="311">
        <f t="shared" ca="1" si="205"/>
        <v>0</v>
      </c>
      <c r="V473" s="306">
        <f t="shared" ca="1" si="206"/>
        <v>1.130999778760519</v>
      </c>
      <c r="W473" s="304">
        <f t="shared" ca="1" si="207"/>
        <v>219.1950271949926</v>
      </c>
      <c r="Y473" s="314" t="str">
        <f t="shared" ca="1" si="225"/>
        <v>Fin de propulsion</v>
      </c>
      <c r="Z473" s="315" t="str">
        <f t="shared" ca="1" si="226"/>
        <v/>
      </c>
      <c r="AA473" s="316" t="str">
        <f t="shared" ca="1" si="227"/>
        <v/>
      </c>
      <c r="AC473" s="310" t="e">
        <f t="shared" ca="1" si="228"/>
        <v>#N/A</v>
      </c>
      <c r="AD473" s="323" t="e">
        <f t="shared" ca="1" si="229"/>
        <v>#N/A</v>
      </c>
      <c r="AE473" s="324">
        <f t="shared" ca="1" si="208"/>
        <v>797.96460158357081</v>
      </c>
      <c r="AG473" s="306">
        <f t="shared" ca="1" si="230"/>
        <v>-33.792692145546518</v>
      </c>
      <c r="AH473" s="304">
        <f t="shared" ca="1" si="231"/>
        <v>-24.053592010305</v>
      </c>
    </row>
    <row r="474" spans="1:34" x14ac:dyDescent="0.2">
      <c r="A474" s="347">
        <f t="shared" ca="1" si="209"/>
        <v>0.01</v>
      </c>
      <c r="B474" s="304">
        <f t="shared" ca="1" si="210"/>
        <v>4.6999999999999442</v>
      </c>
      <c r="D474" s="306">
        <f t="shared" ca="1" si="211"/>
        <v>-2.8797369107682425</v>
      </c>
      <c r="E474" s="307">
        <f t="shared" ca="1" si="212"/>
        <v>-33.623711292835985</v>
      </c>
      <c r="F474" s="304">
        <f t="shared" ca="1" si="213"/>
        <v>33.746804971422513</v>
      </c>
      <c r="G474" s="306">
        <f t="shared" ca="1" si="214"/>
        <v>32.476182866331975</v>
      </c>
      <c r="H474" s="307">
        <f t="shared" ca="1" si="215"/>
        <v>268.46061443681901</v>
      </c>
      <c r="I474" s="304">
        <f t="shared" ca="1" si="216"/>
        <v>270.41783217340128</v>
      </c>
      <c r="J474" s="306">
        <f t="shared" ca="1" si="217"/>
        <v>90.127067219908298</v>
      </c>
      <c r="K474" s="307">
        <f t="shared" ca="1" si="218"/>
        <v>800.65088891350365</v>
      </c>
      <c r="L474" s="304">
        <f t="shared" ca="1" si="203"/>
        <v>805.70759842739812</v>
      </c>
      <c r="M474" s="306">
        <f t="shared" ca="1" si="219"/>
        <v>1.4504094363052356</v>
      </c>
      <c r="N474" s="304">
        <f t="shared" ca="1" si="220"/>
        <v>83.102339266238801</v>
      </c>
      <c r="P474" s="310">
        <f t="shared" ca="1" si="221"/>
        <v>23</v>
      </c>
      <c r="Q474" s="304">
        <f t="shared" ca="1" si="222"/>
        <v>0</v>
      </c>
      <c r="R474" s="306">
        <f t="shared" ca="1" si="223"/>
        <v>0</v>
      </c>
      <c r="S474" s="307">
        <f t="shared" ca="1" si="224"/>
        <v>9.137999999999975</v>
      </c>
      <c r="T474" s="304">
        <f t="shared" ca="1" si="204"/>
        <v>89.643779999999765</v>
      </c>
      <c r="U474" s="311">
        <f t="shared" ca="1" si="205"/>
        <v>0</v>
      </c>
      <c r="V474" s="306">
        <f t="shared" ca="1" si="206"/>
        <v>1.130695514610863</v>
      </c>
      <c r="W474" s="304">
        <f t="shared" ca="1" si="207"/>
        <v>218.59047144101004</v>
      </c>
      <c r="Y474" s="314" t="str">
        <f t="shared" ca="1" si="225"/>
        <v/>
      </c>
      <c r="Z474" s="315" t="str">
        <f t="shared" ca="1" si="226"/>
        <v/>
      </c>
      <c r="AA474" s="316" t="str">
        <f t="shared" ca="1" si="227"/>
        <v/>
      </c>
      <c r="AC474" s="310" t="e">
        <f t="shared" ca="1" si="228"/>
        <v>#N/A</v>
      </c>
      <c r="AD474" s="323" t="e">
        <f t="shared" ca="1" si="229"/>
        <v>#N/A</v>
      </c>
      <c r="AE474" s="324">
        <f t="shared" ca="1" si="208"/>
        <v>800.65088891350365</v>
      </c>
      <c r="AG474" s="306">
        <f t="shared" ca="1" si="230"/>
        <v>-33.726248233887539</v>
      </c>
      <c r="AH474" s="304">
        <f t="shared" ca="1" si="231"/>
        <v>-23.987199299080018</v>
      </c>
    </row>
    <row r="475" spans="1:34" x14ac:dyDescent="0.2">
      <c r="A475" s="347">
        <f t="shared" ca="1" si="209"/>
        <v>0.01</v>
      </c>
      <c r="B475" s="304">
        <f t="shared" ca="1" si="210"/>
        <v>4.709999999999944</v>
      </c>
      <c r="D475" s="306">
        <f t="shared" ca="1" si="211"/>
        <v>-2.8728286566757473</v>
      </c>
      <c r="E475" s="307">
        <f t="shared" ca="1" si="212"/>
        <v>-33.557906258478972</v>
      </c>
      <c r="F475" s="304">
        <f t="shared" ca="1" si="213"/>
        <v>33.680650482784323</v>
      </c>
      <c r="G475" s="306">
        <f t="shared" ca="1" si="214"/>
        <v>32.447454579765214</v>
      </c>
      <c r="H475" s="307">
        <f t="shared" ca="1" si="215"/>
        <v>268.12503537423424</v>
      </c>
      <c r="I475" s="304">
        <f t="shared" ca="1" si="216"/>
        <v>270.08123204536133</v>
      </c>
      <c r="J475" s="306">
        <f t="shared" ca="1" si="217"/>
        <v>90.451685407138783</v>
      </c>
      <c r="K475" s="307">
        <f t="shared" ca="1" si="218"/>
        <v>803.33381716255894</v>
      </c>
      <c r="L475" s="304">
        <f t="shared" ca="1" si="203"/>
        <v>808.4100006741379</v>
      </c>
      <c r="M475" s="306">
        <f t="shared" ca="1" si="219"/>
        <v>1.4503658144378959</v>
      </c>
      <c r="N475" s="304">
        <f t="shared" ca="1" si="220"/>
        <v>83.099839917345761</v>
      </c>
      <c r="P475" s="310">
        <f t="shared" ca="1" si="221"/>
        <v>23</v>
      </c>
      <c r="Q475" s="304">
        <f t="shared" ca="1" si="222"/>
        <v>0</v>
      </c>
      <c r="R475" s="306">
        <f t="shared" ca="1" si="223"/>
        <v>0</v>
      </c>
      <c r="S475" s="307">
        <f t="shared" ca="1" si="224"/>
        <v>9.137999999999975</v>
      </c>
      <c r="T475" s="304">
        <f t="shared" ca="1" si="204"/>
        <v>89.643779999999765</v>
      </c>
      <c r="U475" s="311">
        <f t="shared" ca="1" si="205"/>
        <v>0</v>
      </c>
      <c r="V475" s="306">
        <f t="shared" ca="1" si="206"/>
        <v>1.1303917093603264</v>
      </c>
      <c r="W475" s="304">
        <f t="shared" ca="1" si="207"/>
        <v>217.98804643901246</v>
      </c>
      <c r="Y475" s="314" t="str">
        <f t="shared" ca="1" si="225"/>
        <v/>
      </c>
      <c r="Z475" s="315" t="str">
        <f t="shared" ca="1" si="226"/>
        <v/>
      </c>
      <c r="AA475" s="316" t="str">
        <f t="shared" ca="1" si="227"/>
        <v/>
      </c>
      <c r="AC475" s="310" t="e">
        <f t="shared" ca="1" si="228"/>
        <v>#N/A</v>
      </c>
      <c r="AD475" s="323" t="e">
        <f t="shared" ca="1" si="229"/>
        <v>#N/A</v>
      </c>
      <c r="AE475" s="324">
        <f t="shared" ca="1" si="208"/>
        <v>803.33381716255894</v>
      </c>
      <c r="AG475" s="306">
        <f t="shared" ca="1" si="230"/>
        <v>-33.660038500440258</v>
      </c>
      <c r="AH475" s="304">
        <f t="shared" ca="1" si="231"/>
        <v>-23.921040866821038</v>
      </c>
    </row>
    <row r="476" spans="1:34" x14ac:dyDescent="0.2">
      <c r="A476" s="347">
        <f t="shared" ca="1" si="209"/>
        <v>0.01</v>
      </c>
      <c r="B476" s="304">
        <f t="shared" ca="1" si="210"/>
        <v>4.7199999999999438</v>
      </c>
      <c r="D476" s="306">
        <f t="shared" ca="1" si="211"/>
        <v>-2.8659443470776709</v>
      </c>
      <c r="E476" s="307">
        <f t="shared" ca="1" si="212"/>
        <v>-33.492333156573537</v>
      </c>
      <c r="F476" s="304">
        <f t="shared" ca="1" si="213"/>
        <v>33.61472917147276</v>
      </c>
      <c r="G476" s="306">
        <f t="shared" ca="1" si="214"/>
        <v>32.418795136294435</v>
      </c>
      <c r="H476" s="307">
        <f t="shared" ca="1" si="215"/>
        <v>267.79011204266851</v>
      </c>
      <c r="I476" s="304">
        <f t="shared" ca="1" si="216"/>
        <v>269.74529168442211</v>
      </c>
      <c r="J476" s="306">
        <f t="shared" ca="1" si="217"/>
        <v>90.776016655719076</v>
      </c>
      <c r="K476" s="307">
        <f t="shared" ca="1" si="218"/>
        <v>806.01339289964346</v>
      </c>
      <c r="L476" s="304">
        <f t="shared" ca="1" si="203"/>
        <v>811.10903997765581</v>
      </c>
      <c r="M476" s="306">
        <f t="shared" ca="1" si="219"/>
        <v>1.4503221224945702</v>
      </c>
      <c r="N476" s="304">
        <f t="shared" ca="1" si="220"/>
        <v>83.09733655339447</v>
      </c>
      <c r="P476" s="310">
        <f t="shared" ca="1" si="221"/>
        <v>23</v>
      </c>
      <c r="Q476" s="304">
        <f t="shared" ca="1" si="222"/>
        <v>0</v>
      </c>
      <c r="R476" s="306">
        <f t="shared" ca="1" si="223"/>
        <v>0</v>
      </c>
      <c r="S476" s="307">
        <f t="shared" ca="1" si="224"/>
        <v>9.137999999999975</v>
      </c>
      <c r="T476" s="304">
        <f t="shared" ca="1" si="204"/>
        <v>89.643779999999765</v>
      </c>
      <c r="U476" s="311">
        <f t="shared" ca="1" si="205"/>
        <v>0</v>
      </c>
      <c r="V476" s="306">
        <f t="shared" ca="1" si="206"/>
        <v>1.1300883619406863</v>
      </c>
      <c r="W476" s="304">
        <f t="shared" ca="1" si="207"/>
        <v>217.38774215979603</v>
      </c>
      <c r="Y476" s="314" t="str">
        <f t="shared" ca="1" si="225"/>
        <v/>
      </c>
      <c r="Z476" s="315" t="str">
        <f t="shared" ca="1" si="226"/>
        <v/>
      </c>
      <c r="AA476" s="316" t="str">
        <f t="shared" ca="1" si="227"/>
        <v/>
      </c>
      <c r="AC476" s="310" t="e">
        <f t="shared" ca="1" si="228"/>
        <v>#N/A</v>
      </c>
      <c r="AD476" s="323" t="e">
        <f t="shared" ca="1" si="229"/>
        <v>#N/A</v>
      </c>
      <c r="AE476" s="324">
        <f t="shared" ca="1" si="208"/>
        <v>806.01339289964346</v>
      </c>
      <c r="AG476" s="306">
        <f t="shared" ca="1" si="230"/>
        <v>-33.594061840913056</v>
      </c>
      <c r="AH476" s="304">
        <f t="shared" ca="1" si="231"/>
        <v>-23.855115609434566</v>
      </c>
    </row>
    <row r="477" spans="1:34" x14ac:dyDescent="0.2">
      <c r="A477" s="347">
        <f t="shared" ca="1" si="209"/>
        <v>0.01</v>
      </c>
      <c r="B477" s="304">
        <f t="shared" ca="1" si="210"/>
        <v>4.7299999999999436</v>
      </c>
      <c r="D477" s="306">
        <f t="shared" ca="1" si="211"/>
        <v>-2.8590838688355502</v>
      </c>
      <c r="E477" s="307">
        <f t="shared" ca="1" si="212"/>
        <v>-33.426990895435615</v>
      </c>
      <c r="F477" s="304">
        <f t="shared" ca="1" si="213"/>
        <v>33.54903993995314</v>
      </c>
      <c r="G477" s="306">
        <f t="shared" ca="1" si="214"/>
        <v>32.390204297606083</v>
      </c>
      <c r="H477" s="307">
        <f t="shared" ca="1" si="215"/>
        <v>267.45584213371416</v>
      </c>
      <c r="I477" s="304">
        <f t="shared" ca="1" si="216"/>
        <v>269.41000877082291</v>
      </c>
      <c r="J477" s="306">
        <f t="shared" ca="1" si="217"/>
        <v>91.100061652888584</v>
      </c>
      <c r="K477" s="307">
        <f t="shared" ca="1" si="218"/>
        <v>808.68962267052541</v>
      </c>
      <c r="L477" s="304">
        <f t="shared" ca="1" si="203"/>
        <v>813.80472292077354</v>
      </c>
      <c r="M477" s="306">
        <f t="shared" ca="1" si="219"/>
        <v>1.4502783603820411</v>
      </c>
      <c r="N477" s="304">
        <f t="shared" ca="1" si="220"/>
        <v>83.094829169043976</v>
      </c>
      <c r="P477" s="310">
        <f t="shared" ca="1" si="221"/>
        <v>23</v>
      </c>
      <c r="Q477" s="304">
        <f t="shared" ca="1" si="222"/>
        <v>0</v>
      </c>
      <c r="R477" s="306">
        <f t="shared" ca="1" si="223"/>
        <v>0</v>
      </c>
      <c r="S477" s="307">
        <f t="shared" ca="1" si="224"/>
        <v>9.137999999999975</v>
      </c>
      <c r="T477" s="304">
        <f t="shared" ca="1" si="204"/>
        <v>89.643779999999765</v>
      </c>
      <c r="U477" s="311">
        <f t="shared" ca="1" si="205"/>
        <v>0</v>
      </c>
      <c r="V477" s="306">
        <f t="shared" ca="1" si="206"/>
        <v>1.1297854712877153</v>
      </c>
      <c r="W477" s="304">
        <f t="shared" ca="1" si="207"/>
        <v>216.78954863373104</v>
      </c>
      <c r="Y477" s="314" t="str">
        <f t="shared" ca="1" si="225"/>
        <v/>
      </c>
      <c r="Z477" s="315" t="str">
        <f t="shared" ca="1" si="226"/>
        <v/>
      </c>
      <c r="AA477" s="316" t="str">
        <f t="shared" ca="1" si="227"/>
        <v/>
      </c>
      <c r="AC477" s="310" t="e">
        <f t="shared" ca="1" si="228"/>
        <v>#N/A</v>
      </c>
      <c r="AD477" s="323" t="e">
        <f t="shared" ca="1" si="229"/>
        <v>#N/A</v>
      </c>
      <c r="AE477" s="324">
        <f t="shared" ca="1" si="208"/>
        <v>808.68962267052541</v>
      </c>
      <c r="AG477" s="306">
        <f t="shared" ca="1" si="230"/>
        <v>-33.528317157579984</v>
      </c>
      <c r="AH477" s="304">
        <f t="shared" ca="1" si="231"/>
        <v>-23.789422429393372</v>
      </c>
    </row>
    <row r="478" spans="1:34" x14ac:dyDescent="0.2">
      <c r="A478" s="347">
        <f t="shared" ca="1" si="209"/>
        <v>0.01</v>
      </c>
      <c r="B478" s="304">
        <f t="shared" ca="1" si="210"/>
        <v>4.7399999999999434</v>
      </c>
      <c r="D478" s="306">
        <f t="shared" ca="1" si="211"/>
        <v>-2.8522471094826294</v>
      </c>
      <c r="E478" s="307">
        <f t="shared" ca="1" si="212"/>
        <v>-33.361878389865844</v>
      </c>
      <c r="F478" s="304">
        <f t="shared" ca="1" si="213"/>
        <v>33.483581697210198</v>
      </c>
      <c r="G478" s="306">
        <f t="shared" ca="1" si="214"/>
        <v>32.361681826511258</v>
      </c>
      <c r="H478" s="307">
        <f t="shared" ca="1" si="215"/>
        <v>267.1222233498155</v>
      </c>
      <c r="I478" s="304">
        <f t="shared" ca="1" si="216"/>
        <v>269.0753809957148</v>
      </c>
      <c r="J478" s="306">
        <f t="shared" ca="1" si="217"/>
        <v>91.423821083509168</v>
      </c>
      <c r="K478" s="307">
        <f t="shared" ca="1" si="218"/>
        <v>811.3625129979431</v>
      </c>
      <c r="L478" s="304">
        <f t="shared" ca="1" si="203"/>
        <v>816.49705606318446</v>
      </c>
      <c r="M478" s="306">
        <f t="shared" ca="1" si="219"/>
        <v>1.4502345280068478</v>
      </c>
      <c r="N478" s="304">
        <f t="shared" ca="1" si="220"/>
        <v>83.092317758939359</v>
      </c>
      <c r="P478" s="310">
        <f t="shared" ca="1" si="221"/>
        <v>23</v>
      </c>
      <c r="Q478" s="304">
        <f t="shared" ca="1" si="222"/>
        <v>0</v>
      </c>
      <c r="R478" s="306">
        <f t="shared" ca="1" si="223"/>
        <v>0</v>
      </c>
      <c r="S478" s="307">
        <f t="shared" ca="1" si="224"/>
        <v>9.137999999999975</v>
      </c>
      <c r="T478" s="304">
        <f t="shared" ca="1" si="204"/>
        <v>89.643779999999765</v>
      </c>
      <c r="U478" s="311">
        <f t="shared" ca="1" si="205"/>
        <v>0</v>
      </c>
      <c r="V478" s="306">
        <f t="shared" ca="1" si="206"/>
        <v>1.1294830363411603</v>
      </c>
      <c r="W478" s="304">
        <f t="shared" ca="1" si="207"/>
        <v>216.1934559503342</v>
      </c>
      <c r="Y478" s="314" t="str">
        <f t="shared" ca="1" si="225"/>
        <v/>
      </c>
      <c r="Z478" s="315" t="str">
        <f t="shared" ca="1" si="226"/>
        <v/>
      </c>
      <c r="AA478" s="316" t="str">
        <f t="shared" ca="1" si="227"/>
        <v/>
      </c>
      <c r="AC478" s="310" t="e">
        <f t="shared" ca="1" si="228"/>
        <v>#N/A</v>
      </c>
      <c r="AD478" s="323" t="e">
        <f t="shared" ca="1" si="229"/>
        <v>#N/A</v>
      </c>
      <c r="AE478" s="324">
        <f t="shared" ca="1" si="208"/>
        <v>811.3625129979431</v>
      </c>
      <c r="AG478" s="306">
        <f t="shared" ca="1" si="230"/>
        <v>-33.462803359233895</v>
      </c>
      <c r="AH478" s="304">
        <f t="shared" ca="1" si="231"/>
        <v>-23.723960235689606</v>
      </c>
    </row>
    <row r="479" spans="1:34" x14ac:dyDescent="0.2">
      <c r="A479" s="347">
        <f t="shared" ca="1" si="209"/>
        <v>0.01</v>
      </c>
      <c r="B479" s="304">
        <f t="shared" ca="1" si="210"/>
        <v>4.7499999999999432</v>
      </c>
      <c r="D479" s="306">
        <f t="shared" ca="1" si="211"/>
        <v>-2.8454339572190426</v>
      </c>
      <c r="E479" s="307">
        <f t="shared" ca="1" si="212"/>
        <v>-33.296994561102963</v>
      </c>
      <c r="F479" s="304">
        <f t="shared" ca="1" si="213"/>
        <v>33.418353358701196</v>
      </c>
      <c r="G479" s="306">
        <f t="shared" ca="1" si="214"/>
        <v>32.333227486939066</v>
      </c>
      <c r="H479" s="307">
        <f t="shared" ca="1" si="215"/>
        <v>266.78925340420449</v>
      </c>
      <c r="I479" s="304">
        <f t="shared" ca="1" si="216"/>
        <v>268.7414060610962</v>
      </c>
      <c r="J479" s="306">
        <f t="shared" ca="1" si="217"/>
        <v>91.747295630076422</v>
      </c>
      <c r="K479" s="307">
        <f t="shared" ca="1" si="218"/>
        <v>814.0320703817132</v>
      </c>
      <c r="L479" s="304">
        <f t="shared" ca="1" si="203"/>
        <v>819.18604594156204</v>
      </c>
      <c r="M479" s="306">
        <f t="shared" ca="1" si="219"/>
        <v>1.4501906252752854</v>
      </c>
      <c r="N479" s="304">
        <f t="shared" ca="1" si="220"/>
        <v>83.089802317711744</v>
      </c>
      <c r="P479" s="310">
        <f t="shared" ca="1" si="221"/>
        <v>23</v>
      </c>
      <c r="Q479" s="304">
        <f t="shared" ca="1" si="222"/>
        <v>0</v>
      </c>
      <c r="R479" s="306">
        <f t="shared" ca="1" si="223"/>
        <v>0</v>
      </c>
      <c r="S479" s="307">
        <f t="shared" ca="1" si="224"/>
        <v>9.137999999999975</v>
      </c>
      <c r="T479" s="304">
        <f t="shared" ca="1" si="204"/>
        <v>89.643779999999765</v>
      </c>
      <c r="U479" s="311">
        <f t="shared" ca="1" si="205"/>
        <v>0</v>
      </c>
      <c r="V479" s="306">
        <f t="shared" ca="1" si="206"/>
        <v>1.1291810560447255</v>
      </c>
      <c r="W479" s="304">
        <f t="shared" ca="1" si="207"/>
        <v>215.59945425784665</v>
      </c>
      <c r="Y479" s="314" t="str">
        <f t="shared" ca="1" si="225"/>
        <v/>
      </c>
      <c r="Z479" s="315" t="str">
        <f t="shared" ca="1" si="226"/>
        <v/>
      </c>
      <c r="AA479" s="316" t="str">
        <f t="shared" ca="1" si="227"/>
        <v/>
      </c>
      <c r="AC479" s="310" t="e">
        <f t="shared" ca="1" si="228"/>
        <v>#N/A</v>
      </c>
      <c r="AD479" s="323" t="e">
        <f t="shared" ca="1" si="229"/>
        <v>#N/A</v>
      </c>
      <c r="AE479" s="324">
        <f t="shared" ca="1" si="208"/>
        <v>814.0320703817132</v>
      </c>
      <c r="AG479" s="306">
        <f t="shared" ca="1" si="230"/>
        <v>-33.397519361139643</v>
      </c>
      <c r="AH479" s="304">
        <f t="shared" ca="1" si="231"/>
        <v>-23.658727943788005</v>
      </c>
    </row>
    <row r="480" spans="1:34" x14ac:dyDescent="0.2">
      <c r="A480" s="347">
        <f t="shared" ca="1" si="209"/>
        <v>0.01</v>
      </c>
      <c r="B480" s="304">
        <f t="shared" ca="1" si="210"/>
        <v>4.7599999999999429</v>
      </c>
      <c r="D480" s="306">
        <f t="shared" ca="1" si="211"/>
        <v>-2.8386443009070583</v>
      </c>
      <c r="E480" s="307">
        <f t="shared" ca="1" si="212"/>
        <v>-33.232338336777914</v>
      </c>
      <c r="F480" s="304">
        <f t="shared" ca="1" si="213"/>
        <v>33.353353846309837</v>
      </c>
      <c r="G480" s="306">
        <f t="shared" ca="1" si="214"/>
        <v>32.304841043929997</v>
      </c>
      <c r="H480" s="307">
        <f t="shared" ca="1" si="215"/>
        <v>266.45693002083669</v>
      </c>
      <c r="I480" s="304">
        <f t="shared" ca="1" si="216"/>
        <v>268.4080816797487</v>
      </c>
      <c r="J480" s="306">
        <f t="shared" ca="1" si="217"/>
        <v>92.070485972730765</v>
      </c>
      <c r="K480" s="307">
        <f t="shared" ca="1" si="218"/>
        <v>816.69830129883837</v>
      </c>
      <c r="L480" s="304">
        <f t="shared" ca="1" si="203"/>
        <v>821.87169906966801</v>
      </c>
      <c r="M480" s="306">
        <f t="shared" ca="1" si="219"/>
        <v>1.4501466520934041</v>
      </c>
      <c r="N480" s="304">
        <f t="shared" ca="1" si="220"/>
        <v>83.087282839978187</v>
      </c>
      <c r="P480" s="310">
        <f t="shared" ca="1" si="221"/>
        <v>23</v>
      </c>
      <c r="Q480" s="304">
        <f t="shared" ca="1" si="222"/>
        <v>0</v>
      </c>
      <c r="R480" s="306">
        <f t="shared" ca="1" si="223"/>
        <v>0</v>
      </c>
      <c r="S480" s="307">
        <f t="shared" ca="1" si="224"/>
        <v>9.137999999999975</v>
      </c>
      <c r="T480" s="304">
        <f t="shared" ca="1" si="204"/>
        <v>89.643779999999765</v>
      </c>
      <c r="U480" s="311">
        <f t="shared" ca="1" si="205"/>
        <v>0</v>
      </c>
      <c r="V480" s="306">
        <f t="shared" ca="1" si="206"/>
        <v>1.1288795293460487</v>
      </c>
      <c r="W480" s="304">
        <f t="shared" ca="1" si="207"/>
        <v>215.00753376281418</v>
      </c>
      <c r="Y480" s="314" t="str">
        <f t="shared" ca="1" si="225"/>
        <v/>
      </c>
      <c r="Z480" s="315" t="str">
        <f t="shared" ca="1" si="226"/>
        <v/>
      </c>
      <c r="AA480" s="316" t="str">
        <f t="shared" ca="1" si="227"/>
        <v/>
      </c>
      <c r="AC480" s="310" t="e">
        <f t="shared" ca="1" si="228"/>
        <v>#N/A</v>
      </c>
      <c r="AD480" s="323" t="e">
        <f t="shared" ca="1" si="229"/>
        <v>#N/A</v>
      </c>
      <c r="AE480" s="324">
        <f t="shared" ca="1" si="208"/>
        <v>816.69830129883837</v>
      </c>
      <c r="AG480" s="306">
        <f t="shared" ca="1" si="230"/>
        <v>-33.332464084987876</v>
      </c>
      <c r="AH480" s="304">
        <f t="shared" ca="1" si="231"/>
        <v>-23.593724475579695</v>
      </c>
    </row>
    <row r="481" spans="1:34" x14ac:dyDescent="0.2">
      <c r="A481" s="347">
        <f t="shared" ca="1" si="209"/>
        <v>0.01</v>
      </c>
      <c r="B481" s="304">
        <f t="shared" ca="1" si="210"/>
        <v>4.7699999999999427</v>
      </c>
      <c r="D481" s="306">
        <f t="shared" ca="1" si="211"/>
        <v>-2.8318780300663393</v>
      </c>
      <c r="E481" s="307">
        <f t="shared" ca="1" si="212"/>
        <v>-33.167908650868107</v>
      </c>
      <c r="F481" s="304">
        <f t="shared" ca="1" si="213"/>
        <v>33.288582088300245</v>
      </c>
      <c r="G481" s="306">
        <f t="shared" ca="1" si="214"/>
        <v>32.276522263629332</v>
      </c>
      <c r="H481" s="307">
        <f t="shared" ca="1" si="215"/>
        <v>266.12525093432799</v>
      </c>
      <c r="I481" s="304">
        <f t="shared" ca="1" si="216"/>
        <v>268.07540557517319</v>
      </c>
      <c r="J481" s="306">
        <f t="shared" ca="1" si="217"/>
        <v>92.39339278926856</v>
      </c>
      <c r="K481" s="307">
        <f t="shared" ca="1" si="218"/>
        <v>819.36121220361417</v>
      </c>
      <c r="L481" s="304">
        <f t="shared" ca="1" si="203"/>
        <v>824.55402193845862</v>
      </c>
      <c r="M481" s="306">
        <f t="shared" ca="1" si="219"/>
        <v>1.450102608367009</v>
      </c>
      <c r="N481" s="304">
        <f t="shared" ca="1" si="220"/>
        <v>83.084759320341718</v>
      </c>
      <c r="P481" s="310">
        <f t="shared" ca="1" si="221"/>
        <v>23</v>
      </c>
      <c r="Q481" s="304">
        <f t="shared" ca="1" si="222"/>
        <v>0</v>
      </c>
      <c r="R481" s="306">
        <f t="shared" ca="1" si="223"/>
        <v>0</v>
      </c>
      <c r="S481" s="307">
        <f t="shared" ca="1" si="224"/>
        <v>9.137999999999975</v>
      </c>
      <c r="T481" s="304">
        <f t="shared" ca="1" si="204"/>
        <v>89.643779999999765</v>
      </c>
      <c r="U481" s="311">
        <f t="shared" ca="1" si="205"/>
        <v>0</v>
      </c>
      <c r="V481" s="306">
        <f t="shared" ca="1" si="206"/>
        <v>1.1285784551966866</v>
      </c>
      <c r="W481" s="304">
        <f t="shared" ca="1" si="207"/>
        <v>214.41768472967215</v>
      </c>
      <c r="Y481" s="314" t="str">
        <f t="shared" ca="1" si="225"/>
        <v/>
      </c>
      <c r="Z481" s="315" t="str">
        <f t="shared" ca="1" si="226"/>
        <v/>
      </c>
      <c r="AA481" s="316" t="str">
        <f t="shared" ca="1" si="227"/>
        <v/>
      </c>
      <c r="AC481" s="310" t="e">
        <f t="shared" ca="1" si="228"/>
        <v>#N/A</v>
      </c>
      <c r="AD481" s="323" t="e">
        <f t="shared" ca="1" si="229"/>
        <v>#N/A</v>
      </c>
      <c r="AE481" s="324">
        <f t="shared" ca="1" si="208"/>
        <v>819.36121220361417</v>
      </c>
      <c r="AG481" s="306">
        <f t="shared" ca="1" si="230"/>
        <v>-33.267636458849111</v>
      </c>
      <c r="AH481" s="304">
        <f t="shared" ca="1" si="231"/>
        <v>-23.528948759336263</v>
      </c>
    </row>
    <row r="482" spans="1:34" x14ac:dyDescent="0.2">
      <c r="A482" s="347">
        <f t="shared" ca="1" si="209"/>
        <v>0.01</v>
      </c>
      <c r="B482" s="304">
        <f t="shared" ca="1" si="210"/>
        <v>4.7799999999999425</v>
      </c>
      <c r="D482" s="306">
        <f t="shared" ca="1" si="211"/>
        <v>-2.8251350348692656</v>
      </c>
      <c r="E482" s="307">
        <f t="shared" ca="1" si="212"/>
        <v>-33.103704443652283</v>
      </c>
      <c r="F482" s="304">
        <f t="shared" ca="1" si="213"/>
        <v>33.224037019271606</v>
      </c>
      <c r="G482" s="306">
        <f t="shared" ca="1" si="214"/>
        <v>32.248270913280642</v>
      </c>
      <c r="H482" s="307">
        <f t="shared" ca="1" si="215"/>
        <v>265.79421388989147</v>
      </c>
      <c r="I482" s="304">
        <f t="shared" ca="1" si="216"/>
        <v>267.74337548152658</v>
      </c>
      <c r="J482" s="306">
        <f t="shared" ca="1" si="217"/>
        <v>92.716016755153106</v>
      </c>
      <c r="K482" s="307">
        <f t="shared" ca="1" si="218"/>
        <v>822.02080952773531</v>
      </c>
      <c r="L482" s="304">
        <f t="shared" ca="1" si="203"/>
        <v>827.23302101619174</v>
      </c>
      <c r="M482" s="306">
        <f t="shared" ca="1" si="219"/>
        <v>1.4500584940016594</v>
      </c>
      <c r="N482" s="304">
        <f t="shared" ca="1" si="220"/>
        <v>83.082231753391284</v>
      </c>
      <c r="P482" s="310">
        <f t="shared" ca="1" si="221"/>
        <v>23</v>
      </c>
      <c r="Q482" s="304">
        <f t="shared" ca="1" si="222"/>
        <v>0</v>
      </c>
      <c r="R482" s="306">
        <f t="shared" ca="1" si="223"/>
        <v>0</v>
      </c>
      <c r="S482" s="307">
        <f t="shared" ca="1" si="224"/>
        <v>9.137999999999975</v>
      </c>
      <c r="T482" s="304">
        <f t="shared" ca="1" si="204"/>
        <v>89.643779999999765</v>
      </c>
      <c r="U482" s="311">
        <f t="shared" ca="1" si="205"/>
        <v>0</v>
      </c>
      <c r="V482" s="306">
        <f t="shared" ca="1" si="206"/>
        <v>1.1282778325520928</v>
      </c>
      <c r="W482" s="304">
        <f t="shared" ca="1" si="207"/>
        <v>213.82989748033282</v>
      </c>
      <c r="Y482" s="314" t="str">
        <f t="shared" ca="1" si="225"/>
        <v/>
      </c>
      <c r="Z482" s="315" t="str">
        <f t="shared" ca="1" si="226"/>
        <v/>
      </c>
      <c r="AA482" s="316" t="str">
        <f t="shared" ca="1" si="227"/>
        <v/>
      </c>
      <c r="AC482" s="310" t="e">
        <f t="shared" ca="1" si="228"/>
        <v>#N/A</v>
      </c>
      <c r="AD482" s="323" t="e">
        <f t="shared" ca="1" si="229"/>
        <v>#N/A</v>
      </c>
      <c r="AE482" s="324">
        <f t="shared" ca="1" si="208"/>
        <v>822.02080952773531</v>
      </c>
      <c r="AG482" s="306">
        <f t="shared" ca="1" si="230"/>
        <v>-33.203035417128305</v>
      </c>
      <c r="AH482" s="304">
        <f t="shared" ca="1" si="231"/>
        <v>-23.46439972966434</v>
      </c>
    </row>
    <row r="483" spans="1:34" x14ac:dyDescent="0.2">
      <c r="A483" s="347">
        <f t="shared" ca="1" si="209"/>
        <v>0.01</v>
      </c>
      <c r="B483" s="304">
        <f t="shared" ca="1" si="210"/>
        <v>4.7899999999999423</v>
      </c>
      <c r="D483" s="306">
        <f t="shared" ca="1" si="211"/>
        <v>-2.8184152061362773</v>
      </c>
      <c r="E483" s="307">
        <f t="shared" ca="1" si="212"/>
        <v>-33.039724661665574</v>
      </c>
      <c r="F483" s="304">
        <f t="shared" ca="1" si="213"/>
        <v>33.159717580112961</v>
      </c>
      <c r="G483" s="306">
        <f t="shared" ca="1" si="214"/>
        <v>32.220086761219278</v>
      </c>
      <c r="H483" s="307">
        <f t="shared" ca="1" si="215"/>
        <v>265.46381664327481</v>
      </c>
      <c r="I483" s="304">
        <f t="shared" ca="1" si="216"/>
        <v>267.41198914355869</v>
      </c>
      <c r="J483" s="306">
        <f t="shared" ca="1" si="217"/>
        <v>93.038358543525604</v>
      </c>
      <c r="K483" s="307">
        <f t="shared" ca="1" si="218"/>
        <v>824.67709968040117</v>
      </c>
      <c r="L483" s="304">
        <f t="shared" ca="1" si="203"/>
        <v>829.90870274853239</v>
      </c>
      <c r="M483" s="306">
        <f t="shared" ca="1" si="219"/>
        <v>1.4500143089026682</v>
      </c>
      <c r="N483" s="304">
        <f t="shared" ca="1" si="220"/>
        <v>83.079700133701721</v>
      </c>
      <c r="P483" s="310">
        <f t="shared" ca="1" si="221"/>
        <v>23</v>
      </c>
      <c r="Q483" s="304">
        <f t="shared" ca="1" si="222"/>
        <v>0</v>
      </c>
      <c r="R483" s="306">
        <f t="shared" ca="1" si="223"/>
        <v>0</v>
      </c>
      <c r="S483" s="307">
        <f t="shared" ca="1" si="224"/>
        <v>9.137999999999975</v>
      </c>
      <c r="T483" s="304">
        <f t="shared" ca="1" si="204"/>
        <v>89.643779999999765</v>
      </c>
      <c r="U483" s="311">
        <f t="shared" ca="1" si="205"/>
        <v>0</v>
      </c>
      <c r="V483" s="306">
        <f t="shared" ca="1" si="206"/>
        <v>1.1279776603715987</v>
      </c>
      <c r="W483" s="304">
        <f t="shared" ca="1" si="207"/>
        <v>213.24416239377641</v>
      </c>
      <c r="Y483" s="314" t="str">
        <f t="shared" ca="1" si="225"/>
        <v/>
      </c>
      <c r="Z483" s="315" t="str">
        <f t="shared" ca="1" si="226"/>
        <v/>
      </c>
      <c r="AA483" s="316" t="str">
        <f t="shared" ca="1" si="227"/>
        <v/>
      </c>
      <c r="AC483" s="310" t="e">
        <f t="shared" ca="1" si="228"/>
        <v>#N/A</v>
      </c>
      <c r="AD483" s="323" t="e">
        <f t="shared" ca="1" si="229"/>
        <v>#N/A</v>
      </c>
      <c r="AE483" s="324">
        <f t="shared" ca="1" si="208"/>
        <v>824.67709968040117</v>
      </c>
      <c r="AG483" s="306">
        <f t="shared" ca="1" si="230"/>
        <v>-33.138659900519698</v>
      </c>
      <c r="AH483" s="304">
        <f t="shared" ca="1" si="231"/>
        <v>-23.400076327460429</v>
      </c>
    </row>
    <row r="484" spans="1:34" x14ac:dyDescent="0.2">
      <c r="A484" s="347">
        <f t="shared" ca="1" si="209"/>
        <v>0.01</v>
      </c>
      <c r="B484" s="304">
        <f t="shared" ca="1" si="210"/>
        <v>4.7999999999999421</v>
      </c>
      <c r="D484" s="306">
        <f t="shared" ca="1" si="211"/>
        <v>-2.8117184353312665</v>
      </c>
      <c r="E484" s="307">
        <f t="shared" ca="1" si="212"/>
        <v>-32.975968257654976</v>
      </c>
      <c r="F484" s="304">
        <f t="shared" ca="1" si="213"/>
        <v>33.095622717958491</v>
      </c>
      <c r="G484" s="306">
        <f t="shared" ca="1" si="214"/>
        <v>32.191969576865965</v>
      </c>
      <c r="H484" s="307">
        <f t="shared" ca="1" si="215"/>
        <v>265.13405696069827</v>
      </c>
      <c r="I484" s="304">
        <f t="shared" ca="1" si="216"/>
        <v>267.08124431654994</v>
      </c>
      <c r="J484" s="306">
        <f t="shared" ca="1" si="217"/>
        <v>93.36041882521603</v>
      </c>
      <c r="K484" s="307">
        <f t="shared" ca="1" si="218"/>
        <v>827.33008904842109</v>
      </c>
      <c r="L484" s="304">
        <f t="shared" ca="1" si="203"/>
        <v>832.58107355865832</v>
      </c>
      <c r="M484" s="306">
        <f t="shared" ca="1" si="219"/>
        <v>1.449970052975101</v>
      </c>
      <c r="N484" s="304">
        <f t="shared" ca="1" si="220"/>
        <v>83.077164455833682</v>
      </c>
      <c r="P484" s="310">
        <f t="shared" ca="1" si="221"/>
        <v>23</v>
      </c>
      <c r="Q484" s="304">
        <f t="shared" ca="1" si="222"/>
        <v>0</v>
      </c>
      <c r="R484" s="306">
        <f t="shared" ca="1" si="223"/>
        <v>0</v>
      </c>
      <c r="S484" s="307">
        <f t="shared" ca="1" si="224"/>
        <v>9.137999999999975</v>
      </c>
      <c r="T484" s="304">
        <f t="shared" ca="1" si="204"/>
        <v>89.643779999999765</v>
      </c>
      <c r="U484" s="311">
        <f t="shared" ca="1" si="205"/>
        <v>0</v>
      </c>
      <c r="V484" s="306">
        <f t="shared" ca="1" si="206"/>
        <v>1.1276779376183959</v>
      </c>
      <c r="W484" s="304">
        <f t="shared" ca="1" si="207"/>
        <v>212.66046990564578</v>
      </c>
      <c r="Y484" s="314" t="str">
        <f t="shared" ca="1" si="225"/>
        <v/>
      </c>
      <c r="Z484" s="315" t="str">
        <f t="shared" ca="1" si="226"/>
        <v/>
      </c>
      <c r="AA484" s="316" t="str">
        <f t="shared" ca="1" si="227"/>
        <v/>
      </c>
      <c r="AC484" s="310" t="e">
        <f t="shared" ca="1" si="228"/>
        <v>#N/A</v>
      </c>
      <c r="AD484" s="323" t="e">
        <f t="shared" ca="1" si="229"/>
        <v>#N/A</v>
      </c>
      <c r="AE484" s="324">
        <f t="shared" ca="1" si="208"/>
        <v>827.33008904842109</v>
      </c>
      <c r="AG484" s="306">
        <f t="shared" ca="1" si="230"/>
        <v>-33.07450885596208</v>
      </c>
      <c r="AH484" s="304">
        <f t="shared" ca="1" si="231"/>
        <v>-23.335977499866161</v>
      </c>
    </row>
    <row r="485" spans="1:34" x14ac:dyDescent="0.2">
      <c r="A485" s="347">
        <f t="shared" ca="1" si="209"/>
        <v>0.01</v>
      </c>
      <c r="B485" s="304">
        <f t="shared" ca="1" si="210"/>
        <v>4.8099999999999419</v>
      </c>
      <c r="D485" s="306">
        <f t="shared" ca="1" si="211"/>
        <v>-2.8050446145570147</v>
      </c>
      <c r="E485" s="307">
        <f t="shared" ca="1" si="212"/>
        <v>-32.912434190535265</v>
      </c>
      <c r="F485" s="304">
        <f t="shared" ca="1" si="213"/>
        <v>33.031751386143149</v>
      </c>
      <c r="G485" s="306">
        <f t="shared" ca="1" si="214"/>
        <v>32.163919130720394</v>
      </c>
      <c r="H485" s="307">
        <f t="shared" ca="1" si="215"/>
        <v>264.80493261879292</v>
      </c>
      <c r="I485" s="304">
        <f t="shared" ca="1" si="216"/>
        <v>266.75113876624965</v>
      </c>
      <c r="J485" s="306">
        <f t="shared" ca="1" si="217"/>
        <v>93.682198268753964</v>
      </c>
      <c r="K485" s="307">
        <f t="shared" ca="1" si="218"/>
        <v>829.97978399631859</v>
      </c>
      <c r="L485" s="304">
        <f t="shared" ca="1" si="203"/>
        <v>835.25013984736438</v>
      </c>
      <c r="M485" s="306">
        <f t="shared" ca="1" si="219"/>
        <v>1.4499257261237761</v>
      </c>
      <c r="N485" s="304">
        <f t="shared" ca="1" si="220"/>
        <v>83.074624714333666</v>
      </c>
      <c r="P485" s="310">
        <f t="shared" ca="1" si="221"/>
        <v>23</v>
      </c>
      <c r="Q485" s="304">
        <f t="shared" ca="1" si="222"/>
        <v>0</v>
      </c>
      <c r="R485" s="306">
        <f t="shared" ca="1" si="223"/>
        <v>0</v>
      </c>
      <c r="S485" s="307">
        <f t="shared" ca="1" si="224"/>
        <v>9.137999999999975</v>
      </c>
      <c r="T485" s="304">
        <f t="shared" ca="1" si="204"/>
        <v>89.643779999999765</v>
      </c>
      <c r="U485" s="311">
        <f t="shared" ca="1" si="205"/>
        <v>0</v>
      </c>
      <c r="V485" s="306">
        <f t="shared" ca="1" si="206"/>
        <v>1.1273786632595162</v>
      </c>
      <c r="W485" s="304">
        <f t="shared" ca="1" si="207"/>
        <v>212.07881050784502</v>
      </c>
      <c r="Y485" s="314" t="str">
        <f t="shared" ca="1" si="225"/>
        <v/>
      </c>
      <c r="Z485" s="315" t="str">
        <f t="shared" ca="1" si="226"/>
        <v/>
      </c>
      <c r="AA485" s="316" t="str">
        <f t="shared" ca="1" si="227"/>
        <v/>
      </c>
      <c r="AC485" s="310" t="e">
        <f t="shared" ca="1" si="228"/>
        <v>#N/A</v>
      </c>
      <c r="AD485" s="323" t="e">
        <f t="shared" ca="1" si="229"/>
        <v>#N/A</v>
      </c>
      <c r="AE485" s="324">
        <f t="shared" ca="1" si="208"/>
        <v>829.97978399631859</v>
      </c>
      <c r="AG485" s="306">
        <f t="shared" ca="1" si="230"/>
        <v>-33.010581236594369</v>
      </c>
      <c r="AH485" s="304">
        <f t="shared" ca="1" si="231"/>
        <v>-23.272102200223941</v>
      </c>
    </row>
    <row r="486" spans="1:34" x14ac:dyDescent="0.2">
      <c r="A486" s="347">
        <f t="shared" ca="1" si="209"/>
        <v>0.01</v>
      </c>
      <c r="B486" s="304">
        <f t="shared" ca="1" si="210"/>
        <v>4.8199999999999417</v>
      </c>
      <c r="D486" s="306">
        <f t="shared" ca="1" si="211"/>
        <v>-2.7983936365506423</v>
      </c>
      <c r="E486" s="307">
        <f t="shared" ca="1" si="212"/>
        <v>-32.849121425345253</v>
      </c>
      <c r="F486" s="304">
        <f t="shared" ca="1" si="213"/>
        <v>32.968102544158704</v>
      </c>
      <c r="G486" s="306">
        <f t="shared" ca="1" si="214"/>
        <v>32.135935194354886</v>
      </c>
      <c r="H486" s="307">
        <f t="shared" ca="1" si="215"/>
        <v>264.47644140453946</v>
      </c>
      <c r="I486" s="304">
        <f t="shared" ca="1" si="216"/>
        <v>266.42167026881384</v>
      </c>
      <c r="J486" s="306">
        <f t="shared" ca="1" si="217"/>
        <v>94.003697540379335</v>
      </c>
      <c r="K486" s="307">
        <f t="shared" ca="1" si="218"/>
        <v>832.62619086643519</v>
      </c>
      <c r="L486" s="304">
        <f t="shared" ca="1" si="203"/>
        <v>837.91590799316646</v>
      </c>
      <c r="M486" s="306">
        <f t="shared" ca="1" si="219"/>
        <v>1.4498813282532634</v>
      </c>
      <c r="N486" s="304">
        <f t="shared" ca="1" si="220"/>
        <v>83.072080903733919</v>
      </c>
      <c r="P486" s="310">
        <f t="shared" ca="1" si="221"/>
        <v>23</v>
      </c>
      <c r="Q486" s="304">
        <f t="shared" ca="1" si="222"/>
        <v>0</v>
      </c>
      <c r="R486" s="306">
        <f t="shared" ca="1" si="223"/>
        <v>0</v>
      </c>
      <c r="S486" s="307">
        <f t="shared" ca="1" si="224"/>
        <v>9.137999999999975</v>
      </c>
      <c r="T486" s="304">
        <f t="shared" ca="1" si="204"/>
        <v>89.643779999999765</v>
      </c>
      <c r="U486" s="311">
        <f t="shared" ca="1" si="205"/>
        <v>0</v>
      </c>
      <c r="V486" s="306">
        <f t="shared" ca="1" si="206"/>
        <v>1.1270798362658125</v>
      </c>
      <c r="W486" s="304">
        <f t="shared" ca="1" si="207"/>
        <v>211.49917474813938</v>
      </c>
      <c r="Y486" s="314" t="str">
        <f t="shared" ca="1" si="225"/>
        <v/>
      </c>
      <c r="Z486" s="315" t="str">
        <f t="shared" ca="1" si="226"/>
        <v/>
      </c>
      <c r="AA486" s="316" t="str">
        <f t="shared" ca="1" si="227"/>
        <v/>
      </c>
      <c r="AC486" s="310" t="e">
        <f t="shared" ca="1" si="228"/>
        <v>#N/A</v>
      </c>
      <c r="AD486" s="323" t="e">
        <f t="shared" ca="1" si="229"/>
        <v>#N/A</v>
      </c>
      <c r="AE486" s="324">
        <f t="shared" ca="1" si="208"/>
        <v>832.62619086643519</v>
      </c>
      <c r="AG486" s="306">
        <f t="shared" ca="1" si="230"/>
        <v>-32.946876001711757</v>
      </c>
      <c r="AH486" s="304">
        <f t="shared" ca="1" si="231"/>
        <v>-23.208449388033006</v>
      </c>
    </row>
    <row r="487" spans="1:34" x14ac:dyDescent="0.2">
      <c r="A487" s="347">
        <f t="shared" ca="1" si="209"/>
        <v>0.01</v>
      </c>
      <c r="B487" s="304">
        <f t="shared" ca="1" si="210"/>
        <v>4.8299999999999415</v>
      </c>
      <c r="D487" s="306">
        <f t="shared" ca="1" si="211"/>
        <v>-2.791765394679127</v>
      </c>
      <c r="E487" s="307">
        <f t="shared" ca="1" si="212"/>
        <v>-32.786028933204285</v>
      </c>
      <c r="F487" s="304">
        <f t="shared" ca="1" si="213"/>
        <v>32.904675157610001</v>
      </c>
      <c r="G487" s="306">
        <f t="shared" ca="1" si="214"/>
        <v>32.108017540408092</v>
      </c>
      <c r="H487" s="307">
        <f t="shared" ca="1" si="215"/>
        <v>264.14858111520743</v>
      </c>
      <c r="I487" s="304">
        <f t="shared" ca="1" si="216"/>
        <v>266.09283661074471</v>
      </c>
      <c r="J487" s="306">
        <f t="shared" ca="1" si="217"/>
        <v>94.324917304053145</v>
      </c>
      <c r="K487" s="307">
        <f t="shared" ca="1" si="218"/>
        <v>835.26931597903388</v>
      </c>
      <c r="L487" s="304">
        <f t="shared" ca="1" si="203"/>
        <v>840.57838435240501</v>
      </c>
      <c r="M487" s="306">
        <f t="shared" ca="1" si="219"/>
        <v>1.4498368592678841</v>
      </c>
      <c r="N487" s="304">
        <f t="shared" ca="1" si="220"/>
        <v>83.069533018552448</v>
      </c>
      <c r="P487" s="310">
        <f t="shared" ca="1" si="221"/>
        <v>23</v>
      </c>
      <c r="Q487" s="304">
        <f t="shared" ca="1" si="222"/>
        <v>0</v>
      </c>
      <c r="R487" s="306">
        <f t="shared" ca="1" si="223"/>
        <v>0</v>
      </c>
      <c r="S487" s="307">
        <f t="shared" ca="1" si="224"/>
        <v>9.137999999999975</v>
      </c>
      <c r="T487" s="304">
        <f t="shared" ca="1" si="204"/>
        <v>89.643779999999765</v>
      </c>
      <c r="U487" s="311">
        <f t="shared" ca="1" si="205"/>
        <v>0</v>
      </c>
      <c r="V487" s="306">
        <f t="shared" ca="1" si="206"/>
        <v>1.126781455611942</v>
      </c>
      <c r="W487" s="304">
        <f t="shared" ca="1" si="207"/>
        <v>210.9215532297612</v>
      </c>
      <c r="Y487" s="314" t="str">
        <f t="shared" ca="1" si="225"/>
        <v/>
      </c>
      <c r="Z487" s="315" t="str">
        <f t="shared" ca="1" si="226"/>
        <v/>
      </c>
      <c r="AA487" s="316" t="str">
        <f t="shared" ca="1" si="227"/>
        <v/>
      </c>
      <c r="AC487" s="310" t="e">
        <f t="shared" ca="1" si="228"/>
        <v>#N/A</v>
      </c>
      <c r="AD487" s="323" t="e">
        <f t="shared" ca="1" si="229"/>
        <v>#N/A</v>
      </c>
      <c r="AE487" s="324">
        <f t="shared" ca="1" si="208"/>
        <v>835.26931597903388</v>
      </c>
      <c r="AG487" s="306">
        <f t="shared" ca="1" si="230"/>
        <v>-32.883392116721879</v>
      </c>
      <c r="AH487" s="304">
        <f t="shared" ca="1" si="231"/>
        <v>-23.145018028905664</v>
      </c>
    </row>
    <row r="488" spans="1:34" x14ac:dyDescent="0.2">
      <c r="A488" s="347">
        <f t="shared" ca="1" si="209"/>
        <v>0.01</v>
      </c>
      <c r="B488" s="304">
        <f t="shared" ca="1" si="210"/>
        <v>4.8399999999999412</v>
      </c>
      <c r="D488" s="306">
        <f t="shared" ca="1" si="211"/>
        <v>-2.7851597829348407</v>
      </c>
      <c r="E488" s="307">
        <f t="shared" ca="1" si="212"/>
        <v>-32.723155691269334</v>
      </c>
      <c r="F488" s="304">
        <f t="shared" ca="1" si="213"/>
        <v>32.841468198171803</v>
      </c>
      <c r="G488" s="306">
        <f t="shared" ca="1" si="214"/>
        <v>32.080165942578745</v>
      </c>
      <c r="H488" s="307">
        <f t="shared" ca="1" si="215"/>
        <v>263.82134955829474</v>
      </c>
      <c r="I488" s="304">
        <f t="shared" ca="1" si="216"/>
        <v>265.76463558882949</v>
      </c>
      <c r="J488" s="306">
        <f t="shared" ca="1" si="217"/>
        <v>94.645858221468075</v>
      </c>
      <c r="K488" s="307">
        <f t="shared" ca="1" si="218"/>
        <v>837.90916563240137</v>
      </c>
      <c r="L488" s="304">
        <f t="shared" ca="1" si="203"/>
        <v>843.23757525934843</v>
      </c>
      <c r="M488" s="306">
        <f t="shared" ca="1" si="219"/>
        <v>1.4497923190717101</v>
      </c>
      <c r="N488" s="304">
        <f t="shared" ca="1" si="220"/>
        <v>83.066981053293006</v>
      </c>
      <c r="P488" s="310">
        <f t="shared" ca="1" si="221"/>
        <v>23</v>
      </c>
      <c r="Q488" s="304">
        <f t="shared" ca="1" si="222"/>
        <v>0</v>
      </c>
      <c r="R488" s="306">
        <f t="shared" ca="1" si="223"/>
        <v>0</v>
      </c>
      <c r="S488" s="307">
        <f t="shared" ca="1" si="224"/>
        <v>9.137999999999975</v>
      </c>
      <c r="T488" s="304">
        <f t="shared" ca="1" si="204"/>
        <v>89.643779999999765</v>
      </c>
      <c r="U488" s="311">
        <f t="shared" ca="1" si="205"/>
        <v>0</v>
      </c>
      <c r="V488" s="306">
        <f t="shared" ca="1" si="206"/>
        <v>1.1264835202763452</v>
      </c>
      <c r="W488" s="304">
        <f t="shared" ca="1" si="207"/>
        <v>210.34593661101681</v>
      </c>
      <c r="Y488" s="314" t="str">
        <f t="shared" ca="1" si="225"/>
        <v/>
      </c>
      <c r="Z488" s="315" t="str">
        <f t="shared" ca="1" si="226"/>
        <v/>
      </c>
      <c r="AA488" s="316" t="str">
        <f t="shared" ca="1" si="227"/>
        <v/>
      </c>
      <c r="AC488" s="310" t="e">
        <f t="shared" ca="1" si="228"/>
        <v>#N/A</v>
      </c>
      <c r="AD488" s="323" t="e">
        <f t="shared" ca="1" si="229"/>
        <v>#N/A</v>
      </c>
      <c r="AE488" s="324">
        <f t="shared" ca="1" si="208"/>
        <v>837.90916563240137</v>
      </c>
      <c r="AG488" s="306">
        <f t="shared" ca="1" si="230"/>
        <v>-32.820128553101711</v>
      </c>
      <c r="AH488" s="304">
        <f t="shared" ca="1" si="231"/>
        <v>-23.081807094524159</v>
      </c>
    </row>
    <row r="489" spans="1:34" x14ac:dyDescent="0.2">
      <c r="A489" s="347">
        <f t="shared" ca="1" si="209"/>
        <v>0.01</v>
      </c>
      <c r="B489" s="304">
        <f t="shared" ca="1" si="210"/>
        <v>4.849999999999941</v>
      </c>
      <c r="D489" s="306">
        <f t="shared" ca="1" si="211"/>
        <v>-2.778576695931116</v>
      </c>
      <c r="E489" s="307">
        <f t="shared" ca="1" si="212"/>
        <v>-32.660500682692195</v>
      </c>
      <c r="F489" s="304">
        <f t="shared" ca="1" si="213"/>
        <v>32.778480643545834</v>
      </c>
      <c r="G489" s="306">
        <f t="shared" ca="1" si="214"/>
        <v>32.052380175619433</v>
      </c>
      <c r="H489" s="307">
        <f t="shared" ca="1" si="215"/>
        <v>263.49474455146782</v>
      </c>
      <c r="I489" s="304">
        <f t="shared" ca="1" si="216"/>
        <v>265.43706501008052</v>
      </c>
      <c r="J489" s="306">
        <f t="shared" ca="1" si="217"/>
        <v>94.966520952059071</v>
      </c>
      <c r="K489" s="307">
        <f t="shared" ca="1" si="218"/>
        <v>840.54574610295015</v>
      </c>
      <c r="L489" s="304">
        <f t="shared" ca="1" si="203"/>
        <v>845.893487026294</v>
      </c>
      <c r="M489" s="306">
        <f t="shared" ca="1" si="219"/>
        <v>1.4497477075685634</v>
      </c>
      <c r="N489" s="304">
        <f t="shared" ca="1" si="220"/>
        <v>83.064425002444963</v>
      </c>
      <c r="P489" s="310">
        <f t="shared" ca="1" si="221"/>
        <v>23</v>
      </c>
      <c r="Q489" s="304">
        <f t="shared" ca="1" si="222"/>
        <v>0</v>
      </c>
      <c r="R489" s="306">
        <f t="shared" ca="1" si="223"/>
        <v>0</v>
      </c>
      <c r="S489" s="307">
        <f t="shared" ca="1" si="224"/>
        <v>9.137999999999975</v>
      </c>
      <c r="T489" s="304">
        <f t="shared" ca="1" si="204"/>
        <v>89.643779999999765</v>
      </c>
      <c r="U489" s="311">
        <f t="shared" ca="1" si="205"/>
        <v>0</v>
      </c>
      <c r="V489" s="306">
        <f t="shared" ca="1" si="206"/>
        <v>1.12618602924123</v>
      </c>
      <c r="W489" s="304">
        <f t="shared" ca="1" si="207"/>
        <v>209.77231560489841</v>
      </c>
      <c r="Y489" s="314" t="str">
        <f t="shared" ca="1" si="225"/>
        <v/>
      </c>
      <c r="Z489" s="315" t="str">
        <f t="shared" ca="1" si="226"/>
        <v/>
      </c>
      <c r="AA489" s="316" t="str">
        <f t="shared" ca="1" si="227"/>
        <v/>
      </c>
      <c r="AC489" s="310" t="e">
        <f t="shared" ca="1" si="228"/>
        <v>#N/A</v>
      </c>
      <c r="AD489" s="323" t="e">
        <f t="shared" ca="1" si="229"/>
        <v>#N/A</v>
      </c>
      <c r="AE489" s="324">
        <f t="shared" ca="1" si="208"/>
        <v>840.54574610295015</v>
      </c>
      <c r="AG489" s="306">
        <f t="shared" ca="1" si="230"/>
        <v>-32.757084288354534</v>
      </c>
      <c r="AH489" s="304">
        <f t="shared" ca="1" si="231"/>
        <v>-23.018815562597656</v>
      </c>
    </row>
    <row r="490" spans="1:34" x14ac:dyDescent="0.2">
      <c r="A490" s="347">
        <f t="shared" ca="1" si="209"/>
        <v>0.01</v>
      </c>
      <c r="B490" s="304">
        <f t="shared" ca="1" si="210"/>
        <v>4.8599999999999408</v>
      </c>
      <c r="D490" s="306">
        <f t="shared" ca="1" si="211"/>
        <v>-2.7720160288978803</v>
      </c>
      <c r="E490" s="307">
        <f t="shared" ca="1" si="212"/>
        <v>-32.598062896577268</v>
      </c>
      <c r="F490" s="304">
        <f t="shared" ca="1" si="213"/>
        <v>32.715711477418225</v>
      </c>
      <c r="G490" s="306">
        <f t="shared" ca="1" si="214"/>
        <v>32.024660015330454</v>
      </c>
      <c r="H490" s="307">
        <f t="shared" ca="1" si="215"/>
        <v>263.16876392250202</v>
      </c>
      <c r="I490" s="304">
        <f t="shared" ca="1" si="216"/>
        <v>265.11012269167526</v>
      </c>
      <c r="J490" s="306">
        <f t="shared" ca="1" si="217"/>
        <v>95.286906153013817</v>
      </c>
      <c r="K490" s="307">
        <f t="shared" ca="1" si="218"/>
        <v>843.17906364531996</v>
      </c>
      <c r="L490" s="304">
        <f t="shared" ca="1" si="203"/>
        <v>848.54612594367063</v>
      </c>
      <c r="M490" s="306">
        <f t="shared" ca="1" si="219"/>
        <v>1.4497030246620148</v>
      </c>
      <c r="N490" s="304">
        <f t="shared" ca="1" si="220"/>
        <v>83.061864860483354</v>
      </c>
      <c r="P490" s="310">
        <f t="shared" ca="1" si="221"/>
        <v>23</v>
      </c>
      <c r="Q490" s="304">
        <f t="shared" ca="1" si="222"/>
        <v>0</v>
      </c>
      <c r="R490" s="306">
        <f t="shared" ca="1" si="223"/>
        <v>0</v>
      </c>
      <c r="S490" s="307">
        <f t="shared" ca="1" si="224"/>
        <v>9.137999999999975</v>
      </c>
      <c r="T490" s="304">
        <f t="shared" ca="1" si="204"/>
        <v>89.643779999999765</v>
      </c>
      <c r="U490" s="311">
        <f t="shared" ca="1" si="205"/>
        <v>0</v>
      </c>
      <c r="V490" s="306">
        <f t="shared" ca="1" si="206"/>
        <v>1.1258889814925508</v>
      </c>
      <c r="W490" s="304">
        <f t="shared" ca="1" si="207"/>
        <v>209.20068097869779</v>
      </c>
      <c r="Y490" s="314" t="str">
        <f t="shared" ca="1" si="225"/>
        <v/>
      </c>
      <c r="Z490" s="315" t="str">
        <f t="shared" ca="1" si="226"/>
        <v/>
      </c>
      <c r="AA490" s="316" t="str">
        <f t="shared" ca="1" si="227"/>
        <v/>
      </c>
      <c r="AC490" s="310" t="e">
        <f t="shared" ca="1" si="228"/>
        <v>#N/A</v>
      </c>
      <c r="AD490" s="323" t="e">
        <f t="shared" ca="1" si="229"/>
        <v>#N/A</v>
      </c>
      <c r="AE490" s="324">
        <f t="shared" ca="1" si="208"/>
        <v>843.17906364531996</v>
      </c>
      <c r="AG490" s="306">
        <f t="shared" ca="1" si="230"/>
        <v>-32.694258305967473</v>
      </c>
      <c r="AH490" s="304">
        <f t="shared" ca="1" si="231"/>
        <v>-22.956042416819763</v>
      </c>
    </row>
    <row r="491" spans="1:34" x14ac:dyDescent="0.2">
      <c r="A491" s="347">
        <f t="shared" ca="1" si="209"/>
        <v>0.01</v>
      </c>
      <c r="B491" s="304">
        <f t="shared" ca="1" si="210"/>
        <v>4.8699999999999406</v>
      </c>
      <c r="D491" s="306">
        <f t="shared" ca="1" si="211"/>
        <v>-2.7654776776773033</v>
      </c>
      <c r="E491" s="307">
        <f t="shared" ca="1" si="212"/>
        <v>-32.535841327939451</v>
      </c>
      <c r="F491" s="304">
        <f t="shared" ca="1" si="213"/>
        <v>32.653159689417258</v>
      </c>
      <c r="G491" s="306">
        <f t="shared" ca="1" si="214"/>
        <v>31.99700523855368</v>
      </c>
      <c r="H491" s="307">
        <f t="shared" ca="1" si="215"/>
        <v>262.84340550922263</v>
      </c>
      <c r="I491" s="304">
        <f t="shared" ca="1" si="216"/>
        <v>264.78380646089687</v>
      </c>
      <c r="J491" s="306">
        <f t="shared" ca="1" si="217"/>
        <v>95.607014479283237</v>
      </c>
      <c r="K491" s="307">
        <f t="shared" ca="1" si="218"/>
        <v>845.80912449247853</v>
      </c>
      <c r="L491" s="304">
        <f t="shared" ca="1" si="203"/>
        <v>851.19549828013942</v>
      </c>
      <c r="M491" s="306">
        <f t="shared" ca="1" si="219"/>
        <v>1.4496582702553851</v>
      </c>
      <c r="N491" s="304">
        <f t="shared" ca="1" si="220"/>
        <v>83.059300621868843</v>
      </c>
      <c r="P491" s="310">
        <f t="shared" ca="1" si="221"/>
        <v>23</v>
      </c>
      <c r="Q491" s="304">
        <f t="shared" ca="1" si="222"/>
        <v>0</v>
      </c>
      <c r="R491" s="306">
        <f t="shared" ca="1" si="223"/>
        <v>0</v>
      </c>
      <c r="S491" s="307">
        <f t="shared" ca="1" si="224"/>
        <v>9.137999999999975</v>
      </c>
      <c r="T491" s="304">
        <f t="shared" ca="1" si="204"/>
        <v>89.643779999999765</v>
      </c>
      <c r="U491" s="311">
        <f t="shared" ca="1" si="205"/>
        <v>0</v>
      </c>
      <c r="V491" s="306">
        <f t="shared" ca="1" si="206"/>
        <v>1.1255923760199917</v>
      </c>
      <c r="W491" s="304">
        <f t="shared" ca="1" si="207"/>
        <v>208.63102355362395</v>
      </c>
      <c r="Y491" s="314" t="str">
        <f t="shared" ca="1" si="225"/>
        <v/>
      </c>
      <c r="Z491" s="315" t="str">
        <f t="shared" ca="1" si="226"/>
        <v/>
      </c>
      <c r="AA491" s="316" t="str">
        <f t="shared" ca="1" si="227"/>
        <v/>
      </c>
      <c r="AC491" s="310" t="e">
        <f t="shared" ca="1" si="228"/>
        <v>#N/A</v>
      </c>
      <c r="AD491" s="323" t="e">
        <f t="shared" ca="1" si="229"/>
        <v>#N/A</v>
      </c>
      <c r="AE491" s="324">
        <f t="shared" ca="1" si="208"/>
        <v>845.80912449247853</v>
      </c>
      <c r="AG491" s="306">
        <f t="shared" ca="1" si="230"/>
        <v>-32.631649595369197</v>
      </c>
      <c r="AH491" s="304">
        <f t="shared" ca="1" si="231"/>
        <v>-22.893486646826261</v>
      </c>
    </row>
    <row r="492" spans="1:34" x14ac:dyDescent="0.2">
      <c r="A492" s="347">
        <f t="shared" ca="1" si="209"/>
        <v>0.01</v>
      </c>
      <c r="B492" s="304">
        <f t="shared" ca="1" si="210"/>
        <v>4.8799999999999404</v>
      </c>
      <c r="D492" s="306">
        <f t="shared" ca="1" si="211"/>
        <v>-2.7589615387194542</v>
      </c>
      <c r="E492" s="307">
        <f t="shared" ca="1" si="212"/>
        <v>-32.473834977662612</v>
      </c>
      <c r="F492" s="304">
        <f t="shared" ca="1" si="213"/>
        <v>32.590824275071611</v>
      </c>
      <c r="G492" s="306">
        <f t="shared" ca="1" si="214"/>
        <v>31.969415623166483</v>
      </c>
      <c r="H492" s="307">
        <f t="shared" ca="1" si="215"/>
        <v>262.51866715944601</v>
      </c>
      <c r="I492" s="304">
        <f t="shared" ca="1" si="216"/>
        <v>264.45811415507518</v>
      </c>
      <c r="J492" s="306">
        <f t="shared" ca="1" si="217"/>
        <v>95.926846583591839</v>
      </c>
      <c r="K492" s="307">
        <f t="shared" ca="1" si="218"/>
        <v>848.43593485582187</v>
      </c>
      <c r="L492" s="304">
        <f t="shared" ca="1" si="203"/>
        <v>853.84161028269421</v>
      </c>
      <c r="M492" s="306">
        <f t="shared" ca="1" si="219"/>
        <v>1.4496134442517419</v>
      </c>
      <c r="N492" s="304">
        <f t="shared" ca="1" si="220"/>
        <v>83.056732281047658</v>
      </c>
      <c r="P492" s="310">
        <f t="shared" ca="1" si="221"/>
        <v>23</v>
      </c>
      <c r="Q492" s="304">
        <f t="shared" ca="1" si="222"/>
        <v>0</v>
      </c>
      <c r="R492" s="306">
        <f t="shared" ca="1" si="223"/>
        <v>0</v>
      </c>
      <c r="S492" s="307">
        <f t="shared" ca="1" si="224"/>
        <v>9.137999999999975</v>
      </c>
      <c r="T492" s="304">
        <f t="shared" ca="1" si="204"/>
        <v>89.643779999999765</v>
      </c>
      <c r="U492" s="311">
        <f t="shared" ca="1" si="205"/>
        <v>0</v>
      </c>
      <c r="V492" s="306">
        <f t="shared" ca="1" si="206"/>
        <v>1.1252962118169498</v>
      </c>
      <c r="W492" s="304">
        <f t="shared" ca="1" si="207"/>
        <v>208.06333420442422</v>
      </c>
      <c r="Y492" s="314" t="str">
        <f t="shared" ca="1" si="225"/>
        <v/>
      </c>
      <c r="Z492" s="315" t="str">
        <f t="shared" ca="1" si="226"/>
        <v/>
      </c>
      <c r="AA492" s="316" t="str">
        <f t="shared" ca="1" si="227"/>
        <v/>
      </c>
      <c r="AC492" s="310" t="e">
        <f t="shared" ca="1" si="228"/>
        <v>#N/A</v>
      </c>
      <c r="AD492" s="323" t="e">
        <f t="shared" ca="1" si="229"/>
        <v>#N/A</v>
      </c>
      <c r="AE492" s="324">
        <f t="shared" ca="1" si="208"/>
        <v>848.43593485582187</v>
      </c>
      <c r="AG492" s="306">
        <f t="shared" ca="1" si="230"/>
        <v>-32.569257151888124</v>
      </c>
      <c r="AH492" s="304">
        <f t="shared" ca="1" si="231"/>
        <v>-22.831147248153265</v>
      </c>
    </row>
    <row r="493" spans="1:34" x14ac:dyDescent="0.2">
      <c r="A493" s="347">
        <f t="shared" ca="1" si="209"/>
        <v>0.01</v>
      </c>
      <c r="B493" s="304">
        <f t="shared" ca="1" si="210"/>
        <v>4.8899999999999402</v>
      </c>
      <c r="D493" s="306">
        <f t="shared" ca="1" si="211"/>
        <v>-2.7524675090780786</v>
      </c>
      <c r="E493" s="307">
        <f t="shared" ca="1" si="212"/>
        <v>-32.412042852458249</v>
      </c>
      <c r="F493" s="304">
        <f t="shared" ca="1" si="213"/>
        <v>32.528704235768757</v>
      </c>
      <c r="G493" s="306">
        <f t="shared" ca="1" si="214"/>
        <v>31.941890948075702</v>
      </c>
      <c r="H493" s="307">
        <f t="shared" ca="1" si="215"/>
        <v>262.19454673092145</v>
      </c>
      <c r="I493" s="304">
        <f t="shared" ca="1" si="216"/>
        <v>264.1330436215282</v>
      </c>
      <c r="J493" s="306">
        <f t="shared" ca="1" si="217"/>
        <v>96.24640311644805</v>
      </c>
      <c r="K493" s="307">
        <f t="shared" ca="1" si="218"/>
        <v>851.05950092527371</v>
      </c>
      <c r="L493" s="304">
        <f t="shared" ca="1" si="203"/>
        <v>856.48446817676142</v>
      </c>
      <c r="M493" s="306">
        <f t="shared" ca="1" si="219"/>
        <v>1.4495685465539017</v>
      </c>
      <c r="N493" s="304">
        <f t="shared" ca="1" si="220"/>
        <v>83.05415983245156</v>
      </c>
      <c r="P493" s="310">
        <f t="shared" ca="1" si="221"/>
        <v>23</v>
      </c>
      <c r="Q493" s="304">
        <f t="shared" ca="1" si="222"/>
        <v>0</v>
      </c>
      <c r="R493" s="306">
        <f t="shared" ca="1" si="223"/>
        <v>0</v>
      </c>
      <c r="S493" s="307">
        <f t="shared" ca="1" si="224"/>
        <v>9.137999999999975</v>
      </c>
      <c r="T493" s="304">
        <f t="shared" ca="1" si="204"/>
        <v>89.643779999999765</v>
      </c>
      <c r="U493" s="311">
        <f t="shared" ca="1" si="205"/>
        <v>0</v>
      </c>
      <c r="V493" s="306">
        <f t="shared" ca="1" si="206"/>
        <v>1.1250004878805133</v>
      </c>
      <c r="W493" s="304">
        <f t="shared" ca="1" si="207"/>
        <v>207.49760385900717</v>
      </c>
      <c r="Y493" s="314" t="str">
        <f t="shared" ca="1" si="225"/>
        <v/>
      </c>
      <c r="Z493" s="315" t="str">
        <f t="shared" ca="1" si="226"/>
        <v/>
      </c>
      <c r="AA493" s="316" t="str">
        <f t="shared" ca="1" si="227"/>
        <v/>
      </c>
      <c r="AC493" s="310" t="e">
        <f t="shared" ca="1" si="228"/>
        <v>#N/A</v>
      </c>
      <c r="AD493" s="323" t="e">
        <f t="shared" ca="1" si="229"/>
        <v>#N/A</v>
      </c>
      <c r="AE493" s="324">
        <f t="shared" ca="1" si="208"/>
        <v>851.05950092527371</v>
      </c>
      <c r="AG493" s="306">
        <f t="shared" ca="1" si="230"/>
        <v>-32.507079976710891</v>
      </c>
      <c r="AH493" s="304">
        <f t="shared" ca="1" si="231"/>
        <v>-22.769023222195752</v>
      </c>
    </row>
    <row r="494" spans="1:34" x14ac:dyDescent="0.2">
      <c r="A494" s="347">
        <f t="shared" ca="1" si="209"/>
        <v>0.01</v>
      </c>
      <c r="B494" s="304">
        <f t="shared" ca="1" si="210"/>
        <v>4.89999999999994</v>
      </c>
      <c r="D494" s="306">
        <f t="shared" ca="1" si="211"/>
        <v>-2.7459954864062963</v>
      </c>
      <c r="E494" s="307">
        <f t="shared" ca="1" si="212"/>
        <v>-32.35046396482452</v>
      </c>
      <c r="F494" s="304">
        <f t="shared" ca="1" si="213"/>
        <v>32.466798578713821</v>
      </c>
      <c r="G494" s="306">
        <f t="shared" ca="1" si="214"/>
        <v>31.914430993211639</v>
      </c>
      <c r="H494" s="307">
        <f t="shared" ca="1" si="215"/>
        <v>261.87104209127318</v>
      </c>
      <c r="I494" s="304">
        <f t="shared" ca="1" si="216"/>
        <v>263.80859271750387</v>
      </c>
      <c r="J494" s="306">
        <f t="shared" ca="1" si="217"/>
        <v>96.565684726154487</v>
      </c>
      <c r="K494" s="307">
        <f t="shared" ca="1" si="218"/>
        <v>853.67982886938466</v>
      </c>
      <c r="L494" s="304">
        <f t="shared" ca="1" si="203"/>
        <v>859.12407816629889</v>
      </c>
      <c r="M494" s="306">
        <f t="shared" ca="1" si="219"/>
        <v>1.449523577064427</v>
      </c>
      <c r="N494" s="304">
        <f t="shared" ca="1" si="220"/>
        <v>83.051583270497801</v>
      </c>
      <c r="P494" s="310">
        <f t="shared" ca="1" si="221"/>
        <v>23</v>
      </c>
      <c r="Q494" s="304">
        <f t="shared" ca="1" si="222"/>
        <v>0</v>
      </c>
      <c r="R494" s="306">
        <f t="shared" ca="1" si="223"/>
        <v>0</v>
      </c>
      <c r="S494" s="307">
        <f t="shared" ca="1" si="224"/>
        <v>9.137999999999975</v>
      </c>
      <c r="T494" s="304">
        <f t="shared" ca="1" si="204"/>
        <v>89.643779999999765</v>
      </c>
      <c r="U494" s="311">
        <f t="shared" ca="1" si="205"/>
        <v>0</v>
      </c>
      <c r="V494" s="306">
        <f t="shared" ca="1" si="206"/>
        <v>1.1247052032114473</v>
      </c>
      <c r="W494" s="304">
        <f t="shared" ca="1" si="207"/>
        <v>206.93382349807021</v>
      </c>
      <c r="Y494" s="314" t="str">
        <f t="shared" ca="1" si="225"/>
        <v/>
      </c>
      <c r="Z494" s="315" t="str">
        <f t="shared" ca="1" si="226"/>
        <v/>
      </c>
      <c r="AA494" s="316" t="str">
        <f t="shared" ca="1" si="227"/>
        <v/>
      </c>
      <c r="AC494" s="310" t="e">
        <f t="shared" ca="1" si="228"/>
        <v>#N/A</v>
      </c>
      <c r="AD494" s="323" t="e">
        <f t="shared" ca="1" si="229"/>
        <v>#N/A</v>
      </c>
      <c r="AE494" s="324">
        <f t="shared" ca="1" si="208"/>
        <v>853.67982886938466</v>
      </c>
      <c r="AG494" s="306">
        <f t="shared" ca="1" si="230"/>
        <v>-32.445117076841143</v>
      </c>
      <c r="AH494" s="304">
        <f t="shared" ca="1" si="231"/>
        <v>-22.707113576166311</v>
      </c>
    </row>
    <row r="495" spans="1:34" x14ac:dyDescent="0.2">
      <c r="A495" s="347">
        <f t="shared" ca="1" si="209"/>
        <v>0.01</v>
      </c>
      <c r="B495" s="304">
        <f t="shared" ca="1" si="210"/>
        <v>4.9099999999999397</v>
      </c>
      <c r="D495" s="306">
        <f t="shared" ca="1" si="211"/>
        <v>-2.7395453689524412</v>
      </c>
      <c r="E495" s="307">
        <f t="shared" ca="1" si="212"/>
        <v>-32.289097333005657</v>
      </c>
      <c r="F495" s="304">
        <f t="shared" ca="1" si="213"/>
        <v>32.405106316888727</v>
      </c>
      <c r="G495" s="306">
        <f t="shared" ca="1" si="214"/>
        <v>31.887035539522113</v>
      </c>
      <c r="H495" s="307">
        <f t="shared" ca="1" si="215"/>
        <v>261.54815111794312</v>
      </c>
      <c r="I495" s="304">
        <f t="shared" ca="1" si="216"/>
        <v>263.48475931012246</v>
      </c>
      <c r="J495" s="306">
        <f t="shared" ca="1" si="217"/>
        <v>96.88469205881816</v>
      </c>
      <c r="K495" s="307">
        <f t="shared" ca="1" si="218"/>
        <v>856.29692483543079</v>
      </c>
      <c r="L495" s="304">
        <f t="shared" ca="1" si="203"/>
        <v>861.76044643389582</v>
      </c>
      <c r="M495" s="306">
        <f t="shared" ca="1" si="219"/>
        <v>1.4494785356856277</v>
      </c>
      <c r="N495" s="304">
        <f t="shared" ca="1" si="220"/>
        <v>83.049002589589151</v>
      </c>
      <c r="P495" s="310">
        <f t="shared" ca="1" si="221"/>
        <v>23</v>
      </c>
      <c r="Q495" s="304">
        <f t="shared" ca="1" si="222"/>
        <v>0</v>
      </c>
      <c r="R495" s="306">
        <f t="shared" ca="1" si="223"/>
        <v>0</v>
      </c>
      <c r="S495" s="307">
        <f t="shared" ca="1" si="224"/>
        <v>9.137999999999975</v>
      </c>
      <c r="T495" s="304">
        <f t="shared" ca="1" si="204"/>
        <v>89.643779999999765</v>
      </c>
      <c r="U495" s="311">
        <f t="shared" ca="1" si="205"/>
        <v>0</v>
      </c>
      <c r="V495" s="306">
        <f t="shared" ca="1" si="206"/>
        <v>1.1244103568141754</v>
      </c>
      <c r="W495" s="304">
        <f t="shared" ca="1" si="207"/>
        <v>206.37198415472963</v>
      </c>
      <c r="Y495" s="314" t="str">
        <f t="shared" ca="1" si="225"/>
        <v/>
      </c>
      <c r="Z495" s="315" t="str">
        <f t="shared" ca="1" si="226"/>
        <v/>
      </c>
      <c r="AA495" s="316" t="str">
        <f t="shared" ca="1" si="227"/>
        <v/>
      </c>
      <c r="AC495" s="310" t="e">
        <f t="shared" ca="1" si="228"/>
        <v>#N/A</v>
      </c>
      <c r="AD495" s="323" t="e">
        <f t="shared" ca="1" si="229"/>
        <v>#N/A</v>
      </c>
      <c r="AE495" s="324">
        <f t="shared" ca="1" si="208"/>
        <v>856.29692483543079</v>
      </c>
      <c r="AG495" s="306">
        <f t="shared" ca="1" si="230"/>
        <v>-32.383367465058733</v>
      </c>
      <c r="AH495" s="304">
        <f t="shared" ca="1" si="231"/>
        <v>-22.645417323054364</v>
      </c>
    </row>
    <row r="496" spans="1:34" x14ac:dyDescent="0.2">
      <c r="A496" s="347">
        <f t="shared" ca="1" si="209"/>
        <v>0.01</v>
      </c>
      <c r="B496" s="304">
        <f t="shared" ca="1" si="210"/>
        <v>4.9199999999999395</v>
      </c>
      <c r="D496" s="306">
        <f t="shared" ca="1" si="211"/>
        <v>-2.7331170555558599</v>
      </c>
      <c r="E496" s="307">
        <f t="shared" ca="1" si="212"/>
        <v>-32.227941980951719</v>
      </c>
      <c r="F496" s="304">
        <f t="shared" ca="1" si="213"/>
        <v>32.343626469011795</v>
      </c>
      <c r="G496" s="306">
        <f t="shared" ca="1" si="214"/>
        <v>31.859704368966554</v>
      </c>
      <c r="H496" s="307">
        <f t="shared" ca="1" si="215"/>
        <v>261.22587169813363</v>
      </c>
      <c r="I496" s="304">
        <f t="shared" ca="1" si="216"/>
        <v>263.16154127631893</v>
      </c>
      <c r="J496" s="306">
        <f t="shared" ca="1" si="217"/>
        <v>97.203425758360609</v>
      </c>
      <c r="K496" s="307">
        <f t="shared" ca="1" si="218"/>
        <v>858.91079494951111</v>
      </c>
      <c r="L496" s="304">
        <f t="shared" ca="1" si="203"/>
        <v>864.39357914086929</v>
      </c>
      <c r="M496" s="306">
        <f t="shared" ca="1" si="219"/>
        <v>1.4494334223195582</v>
      </c>
      <c r="N496" s="304">
        <f t="shared" ca="1" si="220"/>
        <v>83.046417784113743</v>
      </c>
      <c r="P496" s="310">
        <f t="shared" ca="1" si="221"/>
        <v>23</v>
      </c>
      <c r="Q496" s="304">
        <f t="shared" ca="1" si="222"/>
        <v>0</v>
      </c>
      <c r="R496" s="306">
        <f t="shared" ca="1" si="223"/>
        <v>0</v>
      </c>
      <c r="S496" s="307">
        <f t="shared" ca="1" si="224"/>
        <v>9.137999999999975</v>
      </c>
      <c r="T496" s="304">
        <f t="shared" ca="1" si="204"/>
        <v>89.643779999999765</v>
      </c>
      <c r="U496" s="311">
        <f t="shared" ca="1" si="205"/>
        <v>0</v>
      </c>
      <c r="V496" s="306">
        <f t="shared" ca="1" si="206"/>
        <v>1.1241159476967599</v>
      </c>
      <c r="W496" s="304">
        <f t="shared" ca="1" si="207"/>
        <v>205.8120769141527</v>
      </c>
      <c r="Y496" s="314" t="str">
        <f t="shared" ca="1" si="225"/>
        <v/>
      </c>
      <c r="Z496" s="315" t="str">
        <f t="shared" ca="1" si="226"/>
        <v/>
      </c>
      <c r="AA496" s="316" t="str">
        <f t="shared" ca="1" si="227"/>
        <v/>
      </c>
      <c r="AC496" s="310" t="e">
        <f t="shared" ca="1" si="228"/>
        <v>#N/A</v>
      </c>
      <c r="AD496" s="323" t="e">
        <f t="shared" ca="1" si="229"/>
        <v>#N/A</v>
      </c>
      <c r="AE496" s="324">
        <f t="shared" ca="1" si="208"/>
        <v>858.91079494951111</v>
      </c>
      <c r="AG496" s="306">
        <f t="shared" ca="1" si="230"/>
        <v>-32.321830159879276</v>
      </c>
      <c r="AH496" s="304">
        <f t="shared" ca="1" si="231"/>
        <v>-22.583933481585706</v>
      </c>
    </row>
    <row r="497" spans="1:34" x14ac:dyDescent="0.2">
      <c r="A497" s="347">
        <f t="shared" ca="1" si="209"/>
        <v>0.01</v>
      </c>
      <c r="B497" s="304">
        <f t="shared" ca="1" si="210"/>
        <v>4.9299999999999393</v>
      </c>
      <c r="D497" s="306">
        <f t="shared" ca="1" si="211"/>
        <v>-2.7267104456427953</v>
      </c>
      <c r="E497" s="307">
        <f t="shared" ca="1" si="212"/>
        <v>-32.166996938278558</v>
      </c>
      <c r="F497" s="304">
        <f t="shared" ca="1" si="213"/>
        <v>32.28235805949744</v>
      </c>
      <c r="G497" s="306">
        <f t="shared" ca="1" si="214"/>
        <v>31.832437264510126</v>
      </c>
      <c r="H497" s="307">
        <f t="shared" ca="1" si="215"/>
        <v>260.90420172875082</v>
      </c>
      <c r="I497" s="304">
        <f t="shared" ca="1" si="216"/>
        <v>262.83893650278623</v>
      </c>
      <c r="J497" s="306">
        <f t="shared" ca="1" si="217"/>
        <v>97.521886466527988</v>
      </c>
      <c r="K497" s="307">
        <f t="shared" ca="1" si="218"/>
        <v>861.52144531664555</v>
      </c>
      <c r="L497" s="304">
        <f t="shared" ca="1" si="203"/>
        <v>867.02348242736321</v>
      </c>
      <c r="M497" s="306">
        <f t="shared" ca="1" si="219"/>
        <v>1.4493882368680193</v>
      </c>
      <c r="N497" s="304">
        <f t="shared" ca="1" si="220"/>
        <v>83.043828848445173</v>
      </c>
      <c r="P497" s="310">
        <f t="shared" ca="1" si="221"/>
        <v>23</v>
      </c>
      <c r="Q497" s="304">
        <f t="shared" ca="1" si="222"/>
        <v>0</v>
      </c>
      <c r="R497" s="306">
        <f t="shared" ca="1" si="223"/>
        <v>0</v>
      </c>
      <c r="S497" s="307">
        <f t="shared" ca="1" si="224"/>
        <v>9.137999999999975</v>
      </c>
      <c r="T497" s="304">
        <f t="shared" ca="1" si="204"/>
        <v>89.643779999999765</v>
      </c>
      <c r="U497" s="311">
        <f t="shared" ca="1" si="205"/>
        <v>0</v>
      </c>
      <c r="V497" s="306">
        <f t="shared" ca="1" si="206"/>
        <v>1.1238219748708869</v>
      </c>
      <c r="W497" s="304">
        <f t="shared" ca="1" si="207"/>
        <v>205.25409291319451</v>
      </c>
      <c r="Y497" s="314" t="str">
        <f t="shared" ca="1" si="225"/>
        <v/>
      </c>
      <c r="Z497" s="315" t="str">
        <f t="shared" ca="1" si="226"/>
        <v/>
      </c>
      <c r="AA497" s="316" t="str">
        <f t="shared" ca="1" si="227"/>
        <v/>
      </c>
      <c r="AC497" s="310" t="e">
        <f t="shared" ca="1" si="228"/>
        <v>#N/A</v>
      </c>
      <c r="AD497" s="323" t="e">
        <f t="shared" ca="1" si="229"/>
        <v>#N/A</v>
      </c>
      <c r="AE497" s="324">
        <f t="shared" ca="1" si="208"/>
        <v>861.52144531664555</v>
      </c>
      <c r="AG497" s="306">
        <f t="shared" ca="1" si="230"/>
        <v>-32.260504185513852</v>
      </c>
      <c r="AH497" s="304">
        <f t="shared" ca="1" si="231"/>
        <v>-22.522661076182235</v>
      </c>
    </row>
    <row r="498" spans="1:34" x14ac:dyDescent="0.2">
      <c r="A498" s="347">
        <f t="shared" ca="1" si="209"/>
        <v>0.01</v>
      </c>
      <c r="B498" s="304">
        <f t="shared" ca="1" si="210"/>
        <v>4.9399999999999391</v>
      </c>
      <c r="D498" s="306">
        <f t="shared" ca="1" si="211"/>
        <v>-2.72032543922225</v>
      </c>
      <c r="E498" s="307">
        <f t="shared" ca="1" si="212"/>
        <v>-32.106261240228243</v>
      </c>
      <c r="F498" s="304">
        <f t="shared" ca="1" si="213"/>
        <v>32.221300118416423</v>
      </c>
      <c r="G498" s="306">
        <f t="shared" ca="1" si="214"/>
        <v>31.805234010117903</v>
      </c>
      <c r="H498" s="307">
        <f t="shared" ca="1" si="215"/>
        <v>260.58313911634855</v>
      </c>
      <c r="I498" s="304">
        <f t="shared" ca="1" si="216"/>
        <v>262.51694288591858</v>
      </c>
      <c r="J498" s="306">
        <f t="shared" ca="1" si="217"/>
        <v>97.84007482290113</v>
      </c>
      <c r="K498" s="307">
        <f t="shared" ca="1" si="218"/>
        <v>864.12888202087106</v>
      </c>
      <c r="L498" s="304">
        <f t="shared" ca="1" si="203"/>
        <v>869.65016241244473</v>
      </c>
      <c r="M498" s="306">
        <f t="shared" ca="1" si="219"/>
        <v>1.4493429792325558</v>
      </c>
      <c r="N498" s="304">
        <f t="shared" ca="1" si="220"/>
        <v>83.041235776942372</v>
      </c>
      <c r="P498" s="310">
        <f t="shared" ca="1" si="221"/>
        <v>23</v>
      </c>
      <c r="Q498" s="304">
        <f t="shared" ca="1" si="222"/>
        <v>0</v>
      </c>
      <c r="R498" s="306">
        <f t="shared" ca="1" si="223"/>
        <v>0</v>
      </c>
      <c r="S498" s="307">
        <f t="shared" ca="1" si="224"/>
        <v>9.137999999999975</v>
      </c>
      <c r="T498" s="304">
        <f t="shared" ca="1" si="204"/>
        <v>89.643779999999765</v>
      </c>
      <c r="U498" s="311">
        <f t="shared" ca="1" si="205"/>
        <v>0</v>
      </c>
      <c r="V498" s="306">
        <f t="shared" ca="1" si="206"/>
        <v>1.1235284373518462</v>
      </c>
      <c r="W498" s="304">
        <f t="shared" ca="1" si="207"/>
        <v>204.69802334003629</v>
      </c>
      <c r="Y498" s="314" t="str">
        <f t="shared" ca="1" si="225"/>
        <v/>
      </c>
      <c r="Z498" s="315" t="str">
        <f t="shared" ca="1" si="226"/>
        <v/>
      </c>
      <c r="AA498" s="316" t="str">
        <f t="shared" ca="1" si="227"/>
        <v/>
      </c>
      <c r="AC498" s="310" t="e">
        <f t="shared" ca="1" si="228"/>
        <v>#N/A</v>
      </c>
      <c r="AD498" s="323" t="e">
        <f t="shared" ca="1" si="229"/>
        <v>#N/A</v>
      </c>
      <c r="AE498" s="324">
        <f t="shared" ca="1" si="208"/>
        <v>864.12888202087106</v>
      </c>
      <c r="AG498" s="306">
        <f t="shared" ca="1" si="230"/>
        <v>-32.199388571829289</v>
      </c>
      <c r="AH498" s="304">
        <f t="shared" ca="1" si="231"/>
        <v>-22.461599136922199</v>
      </c>
    </row>
    <row r="499" spans="1:34" x14ac:dyDescent="0.2">
      <c r="A499" s="347">
        <f t="shared" ca="1" si="209"/>
        <v>0.01</v>
      </c>
      <c r="B499" s="304">
        <f t="shared" ca="1" si="210"/>
        <v>4.9499999999999389</v>
      </c>
      <c r="D499" s="306">
        <f t="shared" ca="1" si="211"/>
        <v>-2.7139619368819421</v>
      </c>
      <c r="E499" s="307">
        <f t="shared" ca="1" si="212"/>
        <v>-32.045733927629755</v>
      </c>
      <c r="F499" s="304">
        <f t="shared" ca="1" si="213"/>
        <v>32.160451681456287</v>
      </c>
      <c r="G499" s="306">
        <f t="shared" ca="1" si="214"/>
        <v>31.778094390749082</v>
      </c>
      <c r="H499" s="307">
        <f t="shared" ca="1" si="215"/>
        <v>260.26268177707226</v>
      </c>
      <c r="I499" s="304">
        <f t="shared" ca="1" si="216"/>
        <v>262.19555833175536</v>
      </c>
      <c r="J499" s="306">
        <f t="shared" ca="1" si="217"/>
        <v>98.157991464905464</v>
      </c>
      <c r="K499" s="307">
        <f t="shared" ca="1" si="218"/>
        <v>866.73311112533816</v>
      </c>
      <c r="L499" s="304">
        <f t="shared" ca="1" si="203"/>
        <v>872.27362519420035</v>
      </c>
      <c r="M499" s="306">
        <f t="shared" ca="1" si="219"/>
        <v>1.4492976493144563</v>
      </c>
      <c r="N499" s="304">
        <f t="shared" ca="1" si="220"/>
        <v>83.03863856394959</v>
      </c>
      <c r="P499" s="310">
        <f t="shared" ca="1" si="221"/>
        <v>23</v>
      </c>
      <c r="Q499" s="304">
        <f t="shared" ca="1" si="222"/>
        <v>0</v>
      </c>
      <c r="R499" s="306">
        <f t="shared" ca="1" si="223"/>
        <v>0</v>
      </c>
      <c r="S499" s="307">
        <f t="shared" ca="1" si="224"/>
        <v>9.137999999999975</v>
      </c>
      <c r="T499" s="304">
        <f t="shared" ca="1" si="204"/>
        <v>89.643779999999765</v>
      </c>
      <c r="U499" s="311">
        <f t="shared" ca="1" si="205"/>
        <v>0</v>
      </c>
      <c r="V499" s="306">
        <f t="shared" ca="1" si="206"/>
        <v>1.1232353341585173</v>
      </c>
      <c r="W499" s="304">
        <f t="shared" ca="1" si="207"/>
        <v>204.14385943382794</v>
      </c>
      <c r="Y499" s="314" t="str">
        <f t="shared" ca="1" si="225"/>
        <v/>
      </c>
      <c r="Z499" s="315" t="str">
        <f t="shared" ca="1" si="226"/>
        <v/>
      </c>
      <c r="AA499" s="316" t="str">
        <f t="shared" ca="1" si="227"/>
        <v/>
      </c>
      <c r="AC499" s="310" t="e">
        <f t="shared" ca="1" si="228"/>
        <v>#N/A</v>
      </c>
      <c r="AD499" s="323" t="e">
        <f t="shared" ca="1" si="229"/>
        <v>#N/A</v>
      </c>
      <c r="AE499" s="324">
        <f t="shared" ca="1" si="208"/>
        <v>866.73311112533816</v>
      </c>
      <c r="AG499" s="306">
        <f t="shared" ca="1" si="230"/>
        <v>-32.13848235430855</v>
      </c>
      <c r="AH499" s="304">
        <f t="shared" ca="1" si="231"/>
        <v>-22.40074669950064</v>
      </c>
    </row>
    <row r="500" spans="1:34" x14ac:dyDescent="0.2">
      <c r="A500" s="347">
        <f t="shared" ca="1" si="209"/>
        <v>0.01</v>
      </c>
      <c r="B500" s="304">
        <f t="shared" ca="1" si="210"/>
        <v>4.9599999999999387</v>
      </c>
      <c r="D500" s="306">
        <f t="shared" ca="1" si="211"/>
        <v>-2.7076198397842672</v>
      </c>
      <c r="E500" s="307">
        <f t="shared" ca="1" si="212"/>
        <v>-31.985414046860001</v>
      </c>
      <c r="F500" s="304">
        <f t="shared" ca="1" si="213"/>
        <v>32.099811789882239</v>
      </c>
      <c r="G500" s="306">
        <f t="shared" ca="1" si="214"/>
        <v>31.751018192351239</v>
      </c>
      <c r="H500" s="307">
        <f t="shared" ca="1" si="215"/>
        <v>259.94282763660368</v>
      </c>
      <c r="I500" s="304">
        <f t="shared" ca="1" si="216"/>
        <v>261.87478075592554</v>
      </c>
      <c r="J500" s="306">
        <f t="shared" ca="1" si="217"/>
        <v>98.475637027820966</v>
      </c>
      <c r="K500" s="307">
        <f t="shared" ca="1" si="218"/>
        <v>869.33413867240654</v>
      </c>
      <c r="L500" s="304">
        <f t="shared" ca="1" si="203"/>
        <v>874.89387684983262</v>
      </c>
      <c r="M500" s="306">
        <f t="shared" ca="1" si="219"/>
        <v>1.4492522470147529</v>
      </c>
      <c r="N500" s="304">
        <f t="shared" ca="1" si="220"/>
        <v>83.036037203796397</v>
      </c>
      <c r="P500" s="310">
        <f t="shared" ca="1" si="221"/>
        <v>23</v>
      </c>
      <c r="Q500" s="304">
        <f t="shared" ca="1" si="222"/>
        <v>0</v>
      </c>
      <c r="R500" s="306">
        <f t="shared" ca="1" si="223"/>
        <v>0</v>
      </c>
      <c r="S500" s="307">
        <f t="shared" ca="1" si="224"/>
        <v>9.137999999999975</v>
      </c>
      <c r="T500" s="304">
        <f t="shared" ca="1" si="204"/>
        <v>89.643779999999765</v>
      </c>
      <c r="U500" s="311">
        <f t="shared" ca="1" si="205"/>
        <v>0</v>
      </c>
      <c r="V500" s="306">
        <f t="shared" ca="1" si="206"/>
        <v>1.122942664313348</v>
      </c>
      <c r="W500" s="304">
        <f t="shared" ca="1" si="207"/>
        <v>203.59159248433232</v>
      </c>
      <c r="Y500" s="314" t="str">
        <f t="shared" ca="1" si="225"/>
        <v/>
      </c>
      <c r="Z500" s="315" t="str">
        <f t="shared" ca="1" si="226"/>
        <v/>
      </c>
      <c r="AA500" s="316" t="str">
        <f t="shared" ca="1" si="227"/>
        <v/>
      </c>
      <c r="AC500" s="310" t="e">
        <f t="shared" ca="1" si="228"/>
        <v>#N/A</v>
      </c>
      <c r="AD500" s="323" t="e">
        <f t="shared" ca="1" si="229"/>
        <v>#N/A</v>
      </c>
      <c r="AE500" s="324">
        <f t="shared" ca="1" si="208"/>
        <v>869.33413867240654</v>
      </c>
      <c r="AG500" s="306">
        <f t="shared" ca="1" si="230"/>
        <v>-32.077784574011638</v>
      </c>
      <c r="AH500" s="304">
        <f t="shared" ca="1" si="231"/>
        <v>-22.340102805190249</v>
      </c>
    </row>
    <row r="501" spans="1:34" x14ac:dyDescent="0.2">
      <c r="A501" s="347">
        <f t="shared" ca="1" si="209"/>
        <v>0.01</v>
      </c>
      <c r="B501" s="304">
        <f t="shared" ca="1" si="210"/>
        <v>4.9699999999999385</v>
      </c>
      <c r="D501" s="306">
        <f t="shared" ca="1" si="211"/>
        <v>-2.7012990496622717</v>
      </c>
      <c r="E501" s="307">
        <f t="shared" ca="1" si="212"/>
        <v>-31.925300649805173</v>
      </c>
      <c r="F501" s="304">
        <f t="shared" ca="1" si="213"/>
        <v>32.039379490498206</v>
      </c>
      <c r="G501" s="306">
        <f t="shared" ca="1" si="214"/>
        <v>31.724005201854617</v>
      </c>
      <c r="H501" s="307">
        <f t="shared" ca="1" si="215"/>
        <v>259.62357463010562</v>
      </c>
      <c r="I501" s="304">
        <f t="shared" ca="1" si="216"/>
        <v>261.55460808359186</v>
      </c>
      <c r="J501" s="306">
        <f t="shared" ca="1" si="217"/>
        <v>98.793012144792002</v>
      </c>
      <c r="K501" s="307">
        <f t="shared" ca="1" si="218"/>
        <v>871.93197068374013</v>
      </c>
      <c r="L501" s="304">
        <f t="shared" ca="1" si="203"/>
        <v>877.5109234357551</v>
      </c>
      <c r="M501" s="306">
        <f t="shared" ca="1" si="219"/>
        <v>1.4492067722342203</v>
      </c>
      <c r="N501" s="304">
        <f t="shared" ca="1" si="220"/>
        <v>83.033431690797599</v>
      </c>
      <c r="P501" s="310">
        <f t="shared" ca="1" si="221"/>
        <v>23</v>
      </c>
      <c r="Q501" s="304">
        <f t="shared" ca="1" si="222"/>
        <v>0</v>
      </c>
      <c r="R501" s="306">
        <f t="shared" ca="1" si="223"/>
        <v>0</v>
      </c>
      <c r="S501" s="307">
        <f t="shared" ca="1" si="224"/>
        <v>9.137999999999975</v>
      </c>
      <c r="T501" s="304">
        <f t="shared" ca="1" si="204"/>
        <v>89.643779999999765</v>
      </c>
      <c r="U501" s="311">
        <f t="shared" ca="1" si="205"/>
        <v>0</v>
      </c>
      <c r="V501" s="306">
        <f t="shared" ca="1" si="206"/>
        <v>1.1226504268423416</v>
      </c>
      <c r="W501" s="304">
        <f t="shared" ca="1" si="207"/>
        <v>203.04121383157317</v>
      </c>
      <c r="Y501" s="314" t="str">
        <f t="shared" ca="1" si="225"/>
        <v/>
      </c>
      <c r="Z501" s="315" t="str">
        <f t="shared" ca="1" si="226"/>
        <v/>
      </c>
      <c r="AA501" s="316" t="str">
        <f t="shared" ca="1" si="227"/>
        <v/>
      </c>
      <c r="AC501" s="310" t="e">
        <f t="shared" ca="1" si="228"/>
        <v>#N/A</v>
      </c>
      <c r="AD501" s="323" t="e">
        <f t="shared" ca="1" si="229"/>
        <v>#N/A</v>
      </c>
      <c r="AE501" s="324">
        <f t="shared" ca="1" si="208"/>
        <v>871.93197068374013</v>
      </c>
      <c r="AG501" s="306">
        <f t="shared" ca="1" si="230"/>
        <v>-32.017294277536671</v>
      </c>
      <c r="AH501" s="304">
        <f t="shared" ca="1" si="231"/>
        <v>-22.27966650080246</v>
      </c>
    </row>
    <row r="502" spans="1:34" x14ac:dyDescent="0.2">
      <c r="A502" s="347">
        <f t="shared" ca="1" si="209"/>
        <v>0.01</v>
      </c>
      <c r="B502" s="304">
        <f t="shared" ca="1" si="210"/>
        <v>4.9799999999999383</v>
      </c>
      <c r="D502" s="306">
        <f t="shared" ca="1" si="211"/>
        <v>-2.6949994688156997</v>
      </c>
      <c r="E502" s="307">
        <f t="shared" ca="1" si="212"/>
        <v>-31.865392793822366</v>
      </c>
      <c r="F502" s="304">
        <f t="shared" ca="1" si="213"/>
        <v>31.979153835608333</v>
      </c>
      <c r="G502" s="306">
        <f t="shared" ca="1" si="214"/>
        <v>31.697055207166461</v>
      </c>
      <c r="H502" s="307">
        <f t="shared" ca="1" si="215"/>
        <v>259.30492070216741</v>
      </c>
      <c r="I502" s="304">
        <f t="shared" ca="1" si="216"/>
        <v>261.23503824939621</v>
      </c>
      <c r="J502" s="306">
        <f t="shared" ca="1" si="217"/>
        <v>99.110117446837108</v>
      </c>
      <c r="K502" s="307">
        <f t="shared" ca="1" si="218"/>
        <v>874.52661316040155</v>
      </c>
      <c r="L502" s="304">
        <f t="shared" ca="1" si="203"/>
        <v>880.12477098768704</v>
      </c>
      <c r="M502" s="306">
        <f t="shared" ca="1" si="219"/>
        <v>1.4491612248733756</v>
      </c>
      <c r="N502" s="304">
        <f t="shared" ca="1" si="220"/>
        <v>83.030822019253236</v>
      </c>
      <c r="P502" s="310">
        <f t="shared" ca="1" si="221"/>
        <v>23</v>
      </c>
      <c r="Q502" s="304">
        <f t="shared" ca="1" si="222"/>
        <v>0</v>
      </c>
      <c r="R502" s="306">
        <f t="shared" ca="1" si="223"/>
        <v>0</v>
      </c>
      <c r="S502" s="307">
        <f t="shared" ca="1" si="224"/>
        <v>9.137999999999975</v>
      </c>
      <c r="T502" s="304">
        <f t="shared" ca="1" si="204"/>
        <v>89.643779999999765</v>
      </c>
      <c r="U502" s="311">
        <f t="shared" ca="1" si="205"/>
        <v>0</v>
      </c>
      <c r="V502" s="306">
        <f t="shared" ca="1" si="206"/>
        <v>1.1223586207750369</v>
      </c>
      <c r="W502" s="304">
        <f t="shared" ca="1" si="207"/>
        <v>202.49271486548594</v>
      </c>
      <c r="Y502" s="314" t="str">
        <f t="shared" ca="1" si="225"/>
        <v/>
      </c>
      <c r="Z502" s="315" t="str">
        <f t="shared" ca="1" si="226"/>
        <v/>
      </c>
      <c r="AA502" s="316" t="str">
        <f t="shared" ca="1" si="227"/>
        <v/>
      </c>
      <c r="AC502" s="310" t="e">
        <f t="shared" ca="1" si="228"/>
        <v>#N/A</v>
      </c>
      <c r="AD502" s="323" t="e">
        <f t="shared" ca="1" si="229"/>
        <v>#N/A</v>
      </c>
      <c r="AE502" s="324">
        <f t="shared" ca="1" si="208"/>
        <v>874.52661316040155</v>
      </c>
      <c r="AG502" s="306">
        <f t="shared" ca="1" si="230"/>
        <v>-31.957010516981335</v>
      </c>
      <c r="AH502" s="304">
        <f t="shared" ca="1" si="231"/>
        <v>-22.21943683864891</v>
      </c>
    </row>
    <row r="503" spans="1:34" x14ac:dyDescent="0.2">
      <c r="A503" s="347">
        <f t="shared" ca="1" si="209"/>
        <v>0.01</v>
      </c>
      <c r="B503" s="304">
        <f t="shared" ca="1" si="210"/>
        <v>4.989999999999938</v>
      </c>
      <c r="D503" s="306">
        <f t="shared" ca="1" si="211"/>
        <v>-2.6887210001070443</v>
      </c>
      <c r="E503" s="307">
        <f t="shared" ca="1" si="212"/>
        <v>-31.805689541701582</v>
      </c>
      <c r="F503" s="304">
        <f t="shared" ca="1" si="213"/>
        <v>31.919133882978748</v>
      </c>
      <c r="G503" s="306">
        <f t="shared" ca="1" si="214"/>
        <v>31.67016799716539</v>
      </c>
      <c r="H503" s="307">
        <f t="shared" ca="1" si="215"/>
        <v>258.98686380675036</v>
      </c>
      <c r="I503" s="304">
        <f t="shared" ca="1" si="216"/>
        <v>260.91606919740485</v>
      </c>
      <c r="J503" s="306">
        <f t="shared" ca="1" si="217"/>
        <v>99.42695356285877</v>
      </c>
      <c r="K503" s="307">
        <f t="shared" ca="1" si="218"/>
        <v>877.11807208294613</v>
      </c>
      <c r="L503" s="304">
        <f t="shared" ca="1" si="203"/>
        <v>882.73542552074753</v>
      </c>
      <c r="M503" s="306">
        <f t="shared" ca="1" si="219"/>
        <v>1.4491156048324769</v>
      </c>
      <c r="N503" s="304">
        <f t="shared" ca="1" si="220"/>
        <v>83.028208183448527</v>
      </c>
      <c r="P503" s="310">
        <f t="shared" ca="1" si="221"/>
        <v>23</v>
      </c>
      <c r="Q503" s="304">
        <f t="shared" ca="1" si="222"/>
        <v>0</v>
      </c>
      <c r="R503" s="306">
        <f t="shared" ca="1" si="223"/>
        <v>0</v>
      </c>
      <c r="S503" s="307">
        <f t="shared" ca="1" si="224"/>
        <v>9.137999999999975</v>
      </c>
      <c r="T503" s="304">
        <f t="shared" ca="1" si="204"/>
        <v>89.643779999999765</v>
      </c>
      <c r="U503" s="311">
        <f t="shared" ca="1" si="205"/>
        <v>0</v>
      </c>
      <c r="V503" s="306">
        <f t="shared" ca="1" si="206"/>
        <v>1.1220672451444915</v>
      </c>
      <c r="W503" s="304">
        <f t="shared" ca="1" si="207"/>
        <v>201.94608702557051</v>
      </c>
      <c r="Y503" s="314" t="str">
        <f t="shared" ca="1" si="225"/>
        <v/>
      </c>
      <c r="Z503" s="315" t="str">
        <f t="shared" ca="1" si="226"/>
        <v/>
      </c>
      <c r="AA503" s="316" t="str">
        <f t="shared" ca="1" si="227"/>
        <v/>
      </c>
      <c r="AC503" s="310" t="e">
        <f t="shared" ca="1" si="228"/>
        <v>#N/A</v>
      </c>
      <c r="AD503" s="323" t="e">
        <f t="shared" ca="1" si="229"/>
        <v>#N/A</v>
      </c>
      <c r="AE503" s="324">
        <f t="shared" ca="1" si="208"/>
        <v>877.11807208294613</v>
      </c>
      <c r="AG503" s="306">
        <f t="shared" ca="1" si="230"/>
        <v>-31.89693234990466</v>
      </c>
      <c r="AH503" s="304">
        <f t="shared" ca="1" si="231"/>
        <v>-22.159412876503229</v>
      </c>
    </row>
    <row r="504" spans="1:34" x14ac:dyDescent="0.2">
      <c r="A504" s="347">
        <f t="shared" ca="1" si="209"/>
        <v>0.01</v>
      </c>
      <c r="B504" s="304">
        <f t="shared" ca="1" si="210"/>
        <v>4.9999999999999378</v>
      </c>
      <c r="D504" s="306">
        <f t="shared" ca="1" si="211"/>
        <v>-2.6824635469576399</v>
      </c>
      <c r="E504" s="307">
        <f t="shared" ca="1" si="212"/>
        <v>-31.746189961627969</v>
      </c>
      <c r="F504" s="304">
        <f t="shared" ca="1" si="213"/>
        <v>31.859318695799587</v>
      </c>
      <c r="G504" s="306">
        <f t="shared" ca="1" si="214"/>
        <v>31.643343361695813</v>
      </c>
      <c r="H504" s="307">
        <f t="shared" ca="1" si="215"/>
        <v>258.6694019071341</v>
      </c>
      <c r="I504" s="304">
        <f t="shared" ca="1" si="216"/>
        <v>260.59769888105433</v>
      </c>
      <c r="J504" s="306">
        <f t="shared" ca="1" si="217"/>
        <v>99.743521119653082</v>
      </c>
      <c r="K504" s="307">
        <f t="shared" ca="1" si="218"/>
        <v>879.70635341151558</v>
      </c>
      <c r="L504" s="304">
        <f t="shared" ca="1" si="203"/>
        <v>885.34289302954983</v>
      </c>
      <c r="M504" s="306">
        <f t="shared" ca="1" si="219"/>
        <v>1.4490699120115231</v>
      </c>
      <c r="N504" s="304">
        <f t="shared" ca="1" si="220"/>
        <v>83.025590177653825</v>
      </c>
      <c r="P504" s="310">
        <f t="shared" ca="1" si="221"/>
        <v>23</v>
      </c>
      <c r="Q504" s="304">
        <f t="shared" ca="1" si="222"/>
        <v>0</v>
      </c>
      <c r="R504" s="306">
        <f t="shared" ca="1" si="223"/>
        <v>0</v>
      </c>
      <c r="S504" s="307">
        <f t="shared" ca="1" si="224"/>
        <v>9.137999999999975</v>
      </c>
      <c r="T504" s="304">
        <f t="shared" ca="1" si="204"/>
        <v>89.643779999999765</v>
      </c>
      <c r="U504" s="311">
        <f t="shared" ca="1" si="205"/>
        <v>0</v>
      </c>
      <c r="V504" s="306">
        <f t="shared" ca="1" si="206"/>
        <v>1.1217762989872671</v>
      </c>
      <c r="W504" s="304">
        <f t="shared" ca="1" si="207"/>
        <v>201.40132180054857</v>
      </c>
      <c r="Y504" s="314" t="str">
        <f t="shared" ca="1" si="225"/>
        <v/>
      </c>
      <c r="Z504" s="315" t="str">
        <f t="shared" ca="1" si="226"/>
        <v/>
      </c>
      <c r="AA504" s="316" t="str">
        <f t="shared" ca="1" si="227"/>
        <v/>
      </c>
      <c r="AC504" s="310">
        <f t="shared" ca="1" si="228"/>
        <v>4.9999999999999378</v>
      </c>
      <c r="AD504" s="323">
        <f t="shared" ca="1" si="229"/>
        <v>99.743521119653082</v>
      </c>
      <c r="AE504" s="324">
        <f t="shared" ca="1" si="208"/>
        <v>879.70635341151558</v>
      </c>
      <c r="AG504" s="306">
        <f t="shared" ca="1" si="230"/>
        <v>-31.837058839289043</v>
      </c>
      <c r="AH504" s="304">
        <f t="shared" ca="1" si="231"/>
        <v>-22.099593677563039</v>
      </c>
    </row>
    <row r="505" spans="1:34" x14ac:dyDescent="0.2">
      <c r="A505" s="347">
        <f t="shared" ca="1" si="209"/>
        <v>0.1</v>
      </c>
      <c r="B505" s="304">
        <f t="shared" ca="1" si="210"/>
        <v>5.0999999999999375</v>
      </c>
      <c r="D505" s="306">
        <f t="shared" ca="1" si="211"/>
        <v>-2.6762270133437993</v>
      </c>
      <c r="E505" s="307">
        <f t="shared" ca="1" si="212"/>
        <v>-31.686893127144472</v>
      </c>
      <c r="F505" s="304">
        <f t="shared" ca="1" si="213"/>
        <v>31.799707342647459</v>
      </c>
      <c r="G505" s="306">
        <f t="shared" ca="1" si="214"/>
        <v>31.375720660361434</v>
      </c>
      <c r="H505" s="307">
        <f t="shared" ca="1" si="215"/>
        <v>255.50071259441967</v>
      </c>
      <c r="I505" s="304">
        <f t="shared" ca="1" si="216"/>
        <v>257.41998753634743</v>
      </c>
      <c r="J505" s="306">
        <f t="shared" ca="1" si="217"/>
        <v>102.89447432075595</v>
      </c>
      <c r="K505" s="307">
        <f t="shared" ca="1" si="218"/>
        <v>905.41485913659324</v>
      </c>
      <c r="L505" s="304">
        <f t="shared" ca="1" si="203"/>
        <v>911.24274482219153</v>
      </c>
      <c r="M505" s="306">
        <f t="shared" ca="1" si="219"/>
        <v>1.4486071704101044</v>
      </c>
      <c r="N505" s="304">
        <f t="shared" ca="1" si="220"/>
        <v>82.999077036887414</v>
      </c>
      <c r="P505" s="310">
        <f t="shared" ca="1" si="221"/>
        <v>23</v>
      </c>
      <c r="Q505" s="304">
        <f t="shared" ca="1" si="222"/>
        <v>0</v>
      </c>
      <c r="R505" s="306">
        <f t="shared" ca="1" si="223"/>
        <v>0</v>
      </c>
      <c r="S505" s="307">
        <f t="shared" ca="1" si="224"/>
        <v>9.137999999999975</v>
      </c>
      <c r="T505" s="304">
        <f t="shared" ca="1" si="204"/>
        <v>89.643779999999765</v>
      </c>
      <c r="U505" s="311">
        <f t="shared" ca="1" si="205"/>
        <v>0</v>
      </c>
      <c r="V505" s="306">
        <f t="shared" ca="1" si="206"/>
        <v>1.1188903427733141</v>
      </c>
      <c r="W505" s="304">
        <f t="shared" ca="1" si="207"/>
        <v>196.01394024038797</v>
      </c>
      <c r="Y505" s="314" t="str">
        <f t="shared" ca="1" si="225"/>
        <v/>
      </c>
      <c r="Z505" s="315" t="str">
        <f t="shared" ca="1" si="226"/>
        <v/>
      </c>
      <c r="AA505" s="316" t="str">
        <f t="shared" ca="1" si="227"/>
        <v/>
      </c>
      <c r="AC505" s="310" t="e">
        <f t="shared" ca="1" si="228"/>
        <v>#N/A</v>
      </c>
      <c r="AD505" s="323" t="e">
        <f t="shared" ca="1" si="229"/>
        <v>#N/A</v>
      </c>
      <c r="AE505" s="324">
        <f t="shared" ca="1" si="208"/>
        <v>905.41485913659324</v>
      </c>
      <c r="AG505" s="306">
        <f t="shared" ca="1" si="230"/>
        <v>-31.777389053502755</v>
      </c>
      <c r="AH505" s="304">
        <f t="shared" ca="1" si="231"/>
        <v>-22.039978310412469</v>
      </c>
    </row>
    <row r="506" spans="1:34" x14ac:dyDescent="0.2">
      <c r="A506" s="347">
        <f t="shared" ca="1" si="209"/>
        <v>0.1</v>
      </c>
      <c r="B506" s="304">
        <f t="shared" ca="1" si="210"/>
        <v>5.1999999999999371</v>
      </c>
      <c r="D506" s="306">
        <f t="shared" ca="1" si="211"/>
        <v>-2.6144915949940093</v>
      </c>
      <c r="E506" s="307">
        <f t="shared" ca="1" si="212"/>
        <v>-31.100489956363454</v>
      </c>
      <c r="F506" s="304">
        <f t="shared" ca="1" si="213"/>
        <v>31.210191313514219</v>
      </c>
      <c r="G506" s="306">
        <f t="shared" ca="1" si="214"/>
        <v>31.114271500862035</v>
      </c>
      <c r="H506" s="307">
        <f t="shared" ca="1" si="215"/>
        <v>252.39066359878333</v>
      </c>
      <c r="I506" s="304">
        <f t="shared" ca="1" si="216"/>
        <v>254.30128777271963</v>
      </c>
      <c r="J506" s="306">
        <f t="shared" ca="1" si="217"/>
        <v>106.01897392881712</v>
      </c>
      <c r="K506" s="307">
        <f t="shared" ca="1" si="218"/>
        <v>930.80942794625344</v>
      </c>
      <c r="L506" s="304">
        <f t="shared" ca="1" si="203"/>
        <v>936.82773976145188</v>
      </c>
      <c r="M506" s="306">
        <f t="shared" ca="1" si="219"/>
        <v>1.4481369820119012</v>
      </c>
      <c r="N506" s="304">
        <f t="shared" ca="1" si="220"/>
        <v>82.972137226094361</v>
      </c>
      <c r="P506" s="310">
        <f t="shared" ca="1" si="221"/>
        <v>23</v>
      </c>
      <c r="Q506" s="304">
        <f t="shared" ca="1" si="222"/>
        <v>0</v>
      </c>
      <c r="R506" s="306">
        <f t="shared" ca="1" si="223"/>
        <v>0</v>
      </c>
      <c r="S506" s="307">
        <f t="shared" ca="1" si="224"/>
        <v>9.137999999999975</v>
      </c>
      <c r="T506" s="304">
        <f t="shared" ca="1" si="204"/>
        <v>89.643779999999765</v>
      </c>
      <c r="U506" s="311">
        <f t="shared" ca="1" si="205"/>
        <v>0</v>
      </c>
      <c r="V506" s="306">
        <f t="shared" ca="1" si="206"/>
        <v>1.1160465882211188</v>
      </c>
      <c r="W506" s="304">
        <f t="shared" ca="1" si="207"/>
        <v>190.80701900825113</v>
      </c>
      <c r="Y506" s="314" t="str">
        <f t="shared" ca="1" si="225"/>
        <v/>
      </c>
      <c r="Z506" s="315" t="str">
        <f t="shared" ca="1" si="226"/>
        <v/>
      </c>
      <c r="AA506" s="316" t="str">
        <f t="shared" ca="1" si="227"/>
        <v/>
      </c>
      <c r="AC506" s="310" t="e">
        <f t="shared" ca="1" si="228"/>
        <v>#N/A</v>
      </c>
      <c r="AD506" s="323" t="e">
        <f t="shared" ca="1" si="229"/>
        <v>#N/A</v>
      </c>
      <c r="AE506" s="324">
        <f t="shared" ca="1" si="208"/>
        <v>930.80942794625344</v>
      </c>
      <c r="AG506" s="306">
        <f t="shared" ca="1" si="230"/>
        <v>-31.187278737266944</v>
      </c>
      <c r="AH506" s="304">
        <f t="shared" ca="1" si="231"/>
        <v>-21.450420249550067</v>
      </c>
    </row>
    <row r="507" spans="1:34" x14ac:dyDescent="0.2">
      <c r="A507" s="347">
        <f t="shared" ca="1" si="209"/>
        <v>0.1</v>
      </c>
      <c r="B507" s="304">
        <f t="shared" ca="1" si="210"/>
        <v>5.2999999999999368</v>
      </c>
      <c r="D507" s="306">
        <f t="shared" ca="1" si="211"/>
        <v>-2.5547844872265721</v>
      </c>
      <c r="E507" s="307">
        <f t="shared" ca="1" si="212"/>
        <v>-30.533729689931121</v>
      </c>
      <c r="F507" s="304">
        <f t="shared" ca="1" si="213"/>
        <v>30.640423831173663</v>
      </c>
      <c r="G507" s="306">
        <f t="shared" ca="1" si="214"/>
        <v>30.858793052139379</v>
      </c>
      <c r="H507" s="307">
        <f t="shared" ca="1" si="215"/>
        <v>249.33729062979023</v>
      </c>
      <c r="I507" s="304">
        <f t="shared" ca="1" si="216"/>
        <v>251.23962586988392</v>
      </c>
      <c r="J507" s="306">
        <f t="shared" ca="1" si="217"/>
        <v>109.11762715646719</v>
      </c>
      <c r="K507" s="307">
        <f t="shared" ca="1" si="218"/>
        <v>955.89582565768217</v>
      </c>
      <c r="L507" s="304">
        <f t="shared" ca="1" si="203"/>
        <v>962.10367739970707</v>
      </c>
      <c r="M507" s="306">
        <f t="shared" ca="1" si="219"/>
        <v>1.4476592416178091</v>
      </c>
      <c r="N507" s="304">
        <f t="shared" ca="1" si="220"/>
        <v>82.94476471780996</v>
      </c>
      <c r="P507" s="310">
        <f t="shared" ca="1" si="221"/>
        <v>23</v>
      </c>
      <c r="Q507" s="304">
        <f t="shared" ca="1" si="222"/>
        <v>0</v>
      </c>
      <c r="R507" s="306">
        <f t="shared" ca="1" si="223"/>
        <v>0</v>
      </c>
      <c r="S507" s="307">
        <f t="shared" ca="1" si="224"/>
        <v>9.137999999999975</v>
      </c>
      <c r="T507" s="304">
        <f t="shared" ca="1" si="204"/>
        <v>89.643779999999765</v>
      </c>
      <c r="U507" s="311">
        <f t="shared" ca="1" si="205"/>
        <v>0</v>
      </c>
      <c r="V507" s="306">
        <f t="shared" ca="1" si="206"/>
        <v>1.1132441107578936</v>
      </c>
      <c r="W507" s="304">
        <f t="shared" ca="1" si="207"/>
        <v>185.77256857507936</v>
      </c>
      <c r="Y507" s="314" t="str">
        <f t="shared" ca="1" si="225"/>
        <v/>
      </c>
      <c r="Z507" s="315" t="str">
        <f t="shared" ca="1" si="226"/>
        <v/>
      </c>
      <c r="AA507" s="316" t="str">
        <f t="shared" ca="1" si="227"/>
        <v/>
      </c>
      <c r="AC507" s="310" t="e">
        <f t="shared" ca="1" si="228"/>
        <v>#N/A</v>
      </c>
      <c r="AD507" s="323" t="e">
        <f t="shared" ca="1" si="229"/>
        <v>#N/A</v>
      </c>
      <c r="AE507" s="324">
        <f t="shared" ca="1" si="208"/>
        <v>955.89582565768217</v>
      </c>
      <c r="AG507" s="306">
        <f t="shared" ca="1" si="230"/>
        <v>-30.616905737842622</v>
      </c>
      <c r="AH507" s="304">
        <f t="shared" ca="1" si="231"/>
        <v>-20.88061052837072</v>
      </c>
    </row>
    <row r="508" spans="1:34" x14ac:dyDescent="0.2">
      <c r="A508" s="347">
        <f t="shared" ca="1" si="209"/>
        <v>0.1</v>
      </c>
      <c r="B508" s="304">
        <f t="shared" ca="1" si="210"/>
        <v>5.3999999999999364</v>
      </c>
      <c r="D508" s="306">
        <f t="shared" ca="1" si="211"/>
        <v>-2.4970154534806071</v>
      </c>
      <c r="E508" s="307">
        <f t="shared" ca="1" si="212"/>
        <v>-29.985742673396885</v>
      </c>
      <c r="F508" s="304">
        <f t="shared" ca="1" si="213"/>
        <v>30.089530568789137</v>
      </c>
      <c r="G508" s="306">
        <f t="shared" ca="1" si="214"/>
        <v>30.609091506791319</v>
      </c>
      <c r="H508" s="307">
        <f t="shared" ca="1" si="215"/>
        <v>246.33871636245055</v>
      </c>
      <c r="I508" s="304">
        <f t="shared" ca="1" si="216"/>
        <v>248.23311556271253</v>
      </c>
      <c r="J508" s="306">
        <f t="shared" ca="1" si="217"/>
        <v>112.19102138441373</v>
      </c>
      <c r="K508" s="307">
        <f t="shared" ca="1" si="218"/>
        <v>980.67962600729425</v>
      </c>
      <c r="L508" s="304">
        <f t="shared" ca="1" si="203"/>
        <v>987.07616430804592</v>
      </c>
      <c r="M508" s="306">
        <f t="shared" ca="1" si="219"/>
        <v>1.4471738412464548</v>
      </c>
      <c r="N508" s="304">
        <f t="shared" ca="1" si="220"/>
        <v>82.916953325157266</v>
      </c>
      <c r="P508" s="310">
        <f t="shared" ca="1" si="221"/>
        <v>23</v>
      </c>
      <c r="Q508" s="304">
        <f t="shared" ca="1" si="222"/>
        <v>0</v>
      </c>
      <c r="R508" s="306">
        <f t="shared" ca="1" si="223"/>
        <v>0</v>
      </c>
      <c r="S508" s="307">
        <f t="shared" ca="1" si="224"/>
        <v>9.137999999999975</v>
      </c>
      <c r="T508" s="304">
        <f t="shared" ca="1" si="204"/>
        <v>89.643779999999765</v>
      </c>
      <c r="U508" s="311">
        <f t="shared" ca="1" si="205"/>
        <v>0</v>
      </c>
      <c r="V508" s="306">
        <f t="shared" ca="1" si="206"/>
        <v>1.1104820183832573</v>
      </c>
      <c r="W508" s="304">
        <f t="shared" ca="1" si="207"/>
        <v>180.90304221497541</v>
      </c>
      <c r="Y508" s="314" t="str">
        <f t="shared" ca="1" si="225"/>
        <v/>
      </c>
      <c r="Z508" s="315" t="str">
        <f t="shared" ca="1" si="226"/>
        <v/>
      </c>
      <c r="AA508" s="316" t="str">
        <f t="shared" ca="1" si="227"/>
        <v/>
      </c>
      <c r="AC508" s="310" t="e">
        <f t="shared" ca="1" si="228"/>
        <v>#N/A</v>
      </c>
      <c r="AD508" s="323" t="e">
        <f t="shared" ca="1" si="229"/>
        <v>#N/A</v>
      </c>
      <c r="AE508" s="324">
        <f t="shared" ca="1" si="208"/>
        <v>980.67962600729425</v>
      </c>
      <c r="AG508" s="306">
        <f t="shared" ca="1" si="230"/>
        <v>-30.065395507099691</v>
      </c>
      <c r="AH508" s="304">
        <f t="shared" ca="1" si="231"/>
        <v>-20.329674827651552</v>
      </c>
    </row>
    <row r="509" spans="1:34" x14ac:dyDescent="0.2">
      <c r="A509" s="347">
        <f t="shared" ca="1" si="209"/>
        <v>0.1</v>
      </c>
      <c r="B509" s="304">
        <f t="shared" ca="1" si="210"/>
        <v>5.4999999999999361</v>
      </c>
      <c r="D509" s="306">
        <f t="shared" ca="1" si="211"/>
        <v>-2.4410992553873134</v>
      </c>
      <c r="E509" s="307">
        <f t="shared" ca="1" si="212"/>
        <v>-29.455707451069692</v>
      </c>
      <c r="F509" s="304">
        <f t="shared" ca="1" si="213"/>
        <v>29.556685656846831</v>
      </c>
      <c r="G509" s="306">
        <f t="shared" ca="1" si="214"/>
        <v>30.364981581252589</v>
      </c>
      <c r="H509" s="307">
        <f t="shared" ca="1" si="215"/>
        <v>243.39314561734358</v>
      </c>
      <c r="I509" s="304">
        <f t="shared" ca="1" si="216"/>
        <v>245.27995319621053</v>
      </c>
      <c r="J509" s="306">
        <f t="shared" ca="1" si="217"/>
        <v>115.23972503881592</v>
      </c>
      <c r="K509" s="307">
        <f t="shared" ca="1" si="218"/>
        <v>1005.166219106284</v>
      </c>
      <c r="L509" s="304">
        <f t="shared" ca="1" si="203"/>
        <v>1011.7506225643965</v>
      </c>
      <c r="M509" s="306">
        <f t="shared" ca="1" si="219"/>
        <v>1.4466806700634778</v>
      </c>
      <c r="N509" s="304">
        <f t="shared" ca="1" si="220"/>
        <v>82.888696697795211</v>
      </c>
      <c r="P509" s="310">
        <f t="shared" ca="1" si="221"/>
        <v>23</v>
      </c>
      <c r="Q509" s="304">
        <f t="shared" ca="1" si="222"/>
        <v>0</v>
      </c>
      <c r="R509" s="306">
        <f t="shared" ca="1" si="223"/>
        <v>0</v>
      </c>
      <c r="S509" s="307">
        <f t="shared" ca="1" si="224"/>
        <v>9.137999999999975</v>
      </c>
      <c r="T509" s="304">
        <f t="shared" ca="1" si="204"/>
        <v>89.643779999999765</v>
      </c>
      <c r="U509" s="311">
        <f t="shared" ca="1" si="205"/>
        <v>0</v>
      </c>
      <c r="V509" s="306">
        <f t="shared" ca="1" si="206"/>
        <v>1.107759450169437</v>
      </c>
      <c r="W509" s="304">
        <f t="shared" ca="1" si="207"/>
        <v>176.19130670114649</v>
      </c>
      <c r="Y509" s="314" t="str">
        <f t="shared" ca="1" si="225"/>
        <v/>
      </c>
      <c r="Z509" s="315" t="str">
        <f t="shared" ca="1" si="226"/>
        <v/>
      </c>
      <c r="AA509" s="316" t="str">
        <f t="shared" ca="1" si="227"/>
        <v/>
      </c>
      <c r="AC509" s="310" t="e">
        <f t="shared" ca="1" si="228"/>
        <v>#N/A</v>
      </c>
      <c r="AD509" s="323" t="e">
        <f t="shared" ca="1" si="229"/>
        <v>#N/A</v>
      </c>
      <c r="AE509" s="324">
        <f t="shared" ca="1" si="208"/>
        <v>1005.166219106284</v>
      </c>
      <c r="AG509" s="306">
        <f t="shared" ca="1" si="230"/>
        <v>-29.531921947286147</v>
      </c>
      <c r="AH509" s="304">
        <f t="shared" ca="1" si="231"/>
        <v>-19.796787285508415</v>
      </c>
    </row>
    <row r="510" spans="1:34" x14ac:dyDescent="0.2">
      <c r="A510" s="347">
        <f t="shared" ca="1" si="209"/>
        <v>0.1</v>
      </c>
      <c r="B510" s="304">
        <f t="shared" ca="1" si="210"/>
        <v>5.5999999999999357</v>
      </c>
      <c r="D510" s="306">
        <f t="shared" ca="1" si="211"/>
        <v>-2.3869553219238848</v>
      </c>
      <c r="E510" s="307">
        <f t="shared" ca="1" si="212"/>
        <v>-28.942847576295094</v>
      </c>
      <c r="F510" s="304">
        <f t="shared" ca="1" si="213"/>
        <v>29.041108476322172</v>
      </c>
      <c r="G510" s="306">
        <f t="shared" ca="1" si="214"/>
        <v>30.126286049060202</v>
      </c>
      <c r="H510" s="307">
        <f t="shared" ca="1" si="215"/>
        <v>240.49886085971406</v>
      </c>
      <c r="I510" s="304">
        <f t="shared" ca="1" si="216"/>
        <v>242.37841320119639</v>
      </c>
      <c r="J510" s="306">
        <f t="shared" ca="1" si="217"/>
        <v>118.26428842033155</v>
      </c>
      <c r="K510" s="307">
        <f t="shared" ca="1" si="218"/>
        <v>1029.3608194301369</v>
      </c>
      <c r="L510" s="304">
        <f t="shared" ca="1" si="203"/>
        <v>1036.1322977754578</v>
      </c>
      <c r="M510" s="306">
        <f t="shared" ca="1" si="219"/>
        <v>1.4461796143080976</v>
      </c>
      <c r="N510" s="304">
        <f t="shared" ca="1" si="220"/>
        <v>82.859988317711199</v>
      </c>
      <c r="P510" s="310">
        <f t="shared" ca="1" si="221"/>
        <v>23</v>
      </c>
      <c r="Q510" s="304">
        <f t="shared" ca="1" si="222"/>
        <v>0</v>
      </c>
      <c r="R510" s="306">
        <f t="shared" ca="1" si="223"/>
        <v>0</v>
      </c>
      <c r="S510" s="307">
        <f t="shared" ca="1" si="224"/>
        <v>9.137999999999975</v>
      </c>
      <c r="T510" s="304">
        <f t="shared" ca="1" si="204"/>
        <v>89.643779999999765</v>
      </c>
      <c r="U510" s="311">
        <f t="shared" ca="1" si="205"/>
        <v>0</v>
      </c>
      <c r="V510" s="306">
        <f t="shared" ca="1" si="206"/>
        <v>1.105075574847064</v>
      </c>
      <c r="W510" s="304">
        <f t="shared" ca="1" si="207"/>
        <v>171.63061525058279</v>
      </c>
      <c r="Y510" s="314" t="str">
        <f t="shared" ca="1" si="225"/>
        <v/>
      </c>
      <c r="Z510" s="315" t="str">
        <f t="shared" ca="1" si="226"/>
        <v/>
      </c>
      <c r="AA510" s="316" t="str">
        <f t="shared" ca="1" si="227"/>
        <v/>
      </c>
      <c r="AC510" s="310" t="e">
        <f t="shared" ca="1" si="228"/>
        <v>#N/A</v>
      </c>
      <c r="AD510" s="323" t="e">
        <f t="shared" ca="1" si="229"/>
        <v>#N/A</v>
      </c>
      <c r="AE510" s="324">
        <f t="shared" ca="1" si="208"/>
        <v>1029.3608194301369</v>
      </c>
      <c r="AG510" s="306">
        <f t="shared" ca="1" si="230"/>
        <v>-29.01570420396353</v>
      </c>
      <c r="AH510" s="304">
        <f t="shared" ca="1" si="231"/>
        <v>-19.281167290561061</v>
      </c>
    </row>
    <row r="511" spans="1:34" x14ac:dyDescent="0.2">
      <c r="A511" s="347">
        <f t="shared" ca="1" si="209"/>
        <v>0.1</v>
      </c>
      <c r="B511" s="304">
        <f t="shared" ca="1" si="210"/>
        <v>5.6999999999999353</v>
      </c>
      <c r="D511" s="306">
        <f t="shared" ca="1" si="211"/>
        <v>-2.3345074439564244</v>
      </c>
      <c r="E511" s="307">
        <f t="shared" ca="1" si="212"/>
        <v>-28.446428666505263</v>
      </c>
      <c r="F511" s="304">
        <f t="shared" ca="1" si="213"/>
        <v>28.542060697932452</v>
      </c>
      <c r="G511" s="306">
        <f t="shared" ca="1" si="214"/>
        <v>29.892835304664558</v>
      </c>
      <c r="H511" s="307">
        <f t="shared" ca="1" si="215"/>
        <v>237.65421799306353</v>
      </c>
      <c r="I511" s="304">
        <f t="shared" ca="1" si="216"/>
        <v>239.52684386608186</v>
      </c>
      <c r="J511" s="306">
        <f t="shared" ca="1" si="217"/>
        <v>121.26524448801779</v>
      </c>
      <c r="K511" s="307">
        <f t="shared" ca="1" si="218"/>
        <v>1053.2684733727758</v>
      </c>
      <c r="L511" s="304">
        <f t="shared" ca="1" si="203"/>
        <v>1060.2262666628083</v>
      </c>
      <c r="M511" s="306">
        <f t="shared" ca="1" si="219"/>
        <v>1.445670557216874</v>
      </c>
      <c r="N511" s="304">
        <f t="shared" ca="1" si="220"/>
        <v>82.83082149485287</v>
      </c>
      <c r="P511" s="310">
        <f t="shared" ca="1" si="221"/>
        <v>23</v>
      </c>
      <c r="Q511" s="304">
        <f t="shared" ca="1" si="222"/>
        <v>0</v>
      </c>
      <c r="R511" s="306">
        <f t="shared" ca="1" si="223"/>
        <v>0</v>
      </c>
      <c r="S511" s="307">
        <f t="shared" ca="1" si="224"/>
        <v>9.137999999999975</v>
      </c>
      <c r="T511" s="304">
        <f t="shared" ca="1" si="204"/>
        <v>89.643779999999765</v>
      </c>
      <c r="U511" s="311">
        <f t="shared" ca="1" si="205"/>
        <v>0</v>
      </c>
      <c r="V511" s="306">
        <f t="shared" ca="1" si="206"/>
        <v>1.1024295894707745</v>
      </c>
      <c r="W511" s="304">
        <f t="shared" ca="1" si="207"/>
        <v>167.21458252169256</v>
      </c>
      <c r="Y511" s="314" t="str">
        <f t="shared" ca="1" si="225"/>
        <v/>
      </c>
      <c r="Z511" s="315" t="str">
        <f t="shared" ca="1" si="226"/>
        <v/>
      </c>
      <c r="AA511" s="316" t="str">
        <f t="shared" ca="1" si="227"/>
        <v/>
      </c>
      <c r="AC511" s="310" t="e">
        <f t="shared" ca="1" si="228"/>
        <v>#N/A</v>
      </c>
      <c r="AD511" s="323" t="e">
        <f t="shared" ca="1" si="229"/>
        <v>#N/A</v>
      </c>
      <c r="AE511" s="324">
        <f t="shared" ca="1" si="208"/>
        <v>1053.2684733727758</v>
      </c>
      <c r="AG511" s="306">
        <f t="shared" ca="1" si="230"/>
        <v>-28.516003705018917</v>
      </c>
      <c r="AH511" s="304">
        <f t="shared" ca="1" si="231"/>
        <v>-18.782076521184422</v>
      </c>
    </row>
    <row r="512" spans="1:34" x14ac:dyDescent="0.2">
      <c r="A512" s="347">
        <f t="shared" ca="1" si="209"/>
        <v>0.1</v>
      </c>
      <c r="B512" s="304">
        <f t="shared" ca="1" si="210"/>
        <v>5.799999999999935</v>
      </c>
      <c r="D512" s="306">
        <f t="shared" ca="1" si="211"/>
        <v>-2.2836834919612903</v>
      </c>
      <c r="E512" s="307">
        <f t="shared" ca="1" si="212"/>
        <v>-27.965755681731565</v>
      </c>
      <c r="F512" s="304">
        <f t="shared" ca="1" si="213"/>
        <v>28.058843546050824</v>
      </c>
      <c r="G512" s="306">
        <f t="shared" ca="1" si="214"/>
        <v>29.664466955468431</v>
      </c>
      <c r="H512" s="307">
        <f t="shared" ca="1" si="215"/>
        <v>234.85764242489037</v>
      </c>
      <c r="I512" s="304">
        <f t="shared" ca="1" si="216"/>
        <v>236.72366338228576</v>
      </c>
      <c r="J512" s="306">
        <f t="shared" ca="1" si="217"/>
        <v>124.24310960102443</v>
      </c>
      <c r="K512" s="307">
        <f t="shared" ca="1" si="218"/>
        <v>1076.8940663936735</v>
      </c>
      <c r="L512" s="304">
        <f t="shared" ca="1" si="203"/>
        <v>1084.0374442413113</v>
      </c>
      <c r="M512" s="306">
        <f t="shared" ca="1" si="219"/>
        <v>1.445153378944553</v>
      </c>
      <c r="N512" s="304">
        <f t="shared" ca="1" si="220"/>
        <v>82.801189362593007</v>
      </c>
      <c r="P512" s="310">
        <f t="shared" ca="1" si="221"/>
        <v>23</v>
      </c>
      <c r="Q512" s="304">
        <f t="shared" ca="1" si="222"/>
        <v>0</v>
      </c>
      <c r="R512" s="306">
        <f t="shared" ca="1" si="223"/>
        <v>0</v>
      </c>
      <c r="S512" s="307">
        <f t="shared" ca="1" si="224"/>
        <v>9.137999999999975</v>
      </c>
      <c r="T512" s="304">
        <f t="shared" ca="1" si="204"/>
        <v>89.643779999999765</v>
      </c>
      <c r="U512" s="311">
        <f t="shared" ca="1" si="205"/>
        <v>0</v>
      </c>
      <c r="V512" s="306">
        <f t="shared" ca="1" si="206"/>
        <v>1.0998207181592607</v>
      </c>
      <c r="W512" s="304">
        <f t="shared" ca="1" si="207"/>
        <v>162.93716148813661</v>
      </c>
      <c r="Y512" s="314" t="str">
        <f t="shared" ca="1" si="225"/>
        <v/>
      </c>
      <c r="Z512" s="315" t="str">
        <f t="shared" ca="1" si="226"/>
        <v/>
      </c>
      <c r="AA512" s="316" t="str">
        <f t="shared" ca="1" si="227"/>
        <v/>
      </c>
      <c r="AC512" s="310" t="e">
        <f t="shared" ca="1" si="228"/>
        <v>#N/A</v>
      </c>
      <c r="AD512" s="323" t="e">
        <f t="shared" ca="1" si="229"/>
        <v>#N/A</v>
      </c>
      <c r="AE512" s="324">
        <f t="shared" ca="1" si="208"/>
        <v>1076.8940663936735</v>
      </c>
      <c r="AG512" s="306">
        <f t="shared" ca="1" si="230"/>
        <v>-28.032121424328444</v>
      </c>
      <c r="AH512" s="304">
        <f t="shared" ca="1" si="231"/>
        <v>-18.298816209421428</v>
      </c>
    </row>
    <row r="513" spans="1:34" x14ac:dyDescent="0.2">
      <c r="A513" s="347">
        <f t="shared" ca="1" si="209"/>
        <v>0.1</v>
      </c>
      <c r="B513" s="304">
        <f t="shared" ca="1" si="210"/>
        <v>5.8999999999999346</v>
      </c>
      <c r="D513" s="306">
        <f t="shared" ca="1" si="211"/>
        <v>-2.2344151549292741</v>
      </c>
      <c r="E513" s="307">
        <f t="shared" ca="1" si="212"/>
        <v>-27.500170407339766</v>
      </c>
      <c r="F513" s="304">
        <f t="shared" ca="1" si="213"/>
        <v>27.590795267938606</v>
      </c>
      <c r="G513" s="306">
        <f t="shared" ca="1" si="214"/>
        <v>29.441025439975505</v>
      </c>
      <c r="H513" s="307">
        <f t="shared" ca="1" si="215"/>
        <v>232.10762538415639</v>
      </c>
      <c r="I513" s="304">
        <f t="shared" ca="1" si="216"/>
        <v>233.96735614275161</v>
      </c>
      <c r="J513" s="306">
        <f t="shared" ca="1" si="217"/>
        <v>127.19838422079663</v>
      </c>
      <c r="K513" s="307">
        <f t="shared" ca="1" si="218"/>
        <v>1100.2423297841258</v>
      </c>
      <c r="L513" s="304">
        <f t="shared" ca="1" si="203"/>
        <v>1107.570590615868</v>
      </c>
      <c r="M513" s="306">
        <f t="shared" ca="1" si="219"/>
        <v>1.4446279564818953</v>
      </c>
      <c r="N513" s="304">
        <f t="shared" ca="1" si="220"/>
        <v>82.771084873021366</v>
      </c>
      <c r="P513" s="310">
        <f t="shared" ca="1" si="221"/>
        <v>23</v>
      </c>
      <c r="Q513" s="304">
        <f t="shared" ca="1" si="222"/>
        <v>0</v>
      </c>
      <c r="R513" s="306">
        <f t="shared" ca="1" si="223"/>
        <v>0</v>
      </c>
      <c r="S513" s="307">
        <f t="shared" ca="1" si="224"/>
        <v>9.137999999999975</v>
      </c>
      <c r="T513" s="304">
        <f t="shared" ca="1" si="204"/>
        <v>89.643779999999765</v>
      </c>
      <c r="U513" s="311">
        <f t="shared" ca="1" si="205"/>
        <v>0</v>
      </c>
      <c r="V513" s="306">
        <f t="shared" ca="1" si="206"/>
        <v>1.0972482109048514</v>
      </c>
      <c r="W513" s="304">
        <f t="shared" ca="1" si="207"/>
        <v>158.79262202909479</v>
      </c>
      <c r="Y513" s="314" t="str">
        <f t="shared" ca="1" si="225"/>
        <v/>
      </c>
      <c r="Z513" s="315" t="str">
        <f t="shared" ca="1" si="226"/>
        <v/>
      </c>
      <c r="AA513" s="316" t="str">
        <f t="shared" ca="1" si="227"/>
        <v/>
      </c>
      <c r="AC513" s="310" t="e">
        <f t="shared" ca="1" si="228"/>
        <v>#N/A</v>
      </c>
      <c r="AD513" s="323" t="e">
        <f t="shared" ca="1" si="229"/>
        <v>#N/A</v>
      </c>
      <c r="AE513" s="324">
        <f t="shared" ca="1" si="208"/>
        <v>1100.2423297841258</v>
      </c>
      <c r="AG513" s="306">
        <f t="shared" ca="1" si="230"/>
        <v>-27.563395350728658</v>
      </c>
      <c r="AH513" s="304">
        <f t="shared" ca="1" si="231"/>
        <v>-17.830724610214165</v>
      </c>
    </row>
    <row r="514" spans="1:34" x14ac:dyDescent="0.2">
      <c r="A514" s="347">
        <f t="shared" ca="1" si="209"/>
        <v>0.1</v>
      </c>
      <c r="B514" s="304">
        <f t="shared" ca="1" si="210"/>
        <v>5.9999999999999343</v>
      </c>
      <c r="D514" s="306">
        <f t="shared" ca="1" si="211"/>
        <v>-2.1866376986486737</v>
      </c>
      <c r="E514" s="307">
        <f t="shared" ca="1" si="212"/>
        <v>-27.04904912359747</v>
      </c>
      <c r="F514" s="304">
        <f t="shared" ca="1" si="213"/>
        <v>27.137288790812185</v>
      </c>
      <c r="G514" s="306">
        <f t="shared" ca="1" si="214"/>
        <v>29.222361670110637</v>
      </c>
      <c r="H514" s="307">
        <f t="shared" ca="1" si="215"/>
        <v>229.40272047179664</v>
      </c>
      <c r="I514" s="304">
        <f t="shared" ca="1" si="216"/>
        <v>231.25646927478596</v>
      </c>
      <c r="J514" s="306">
        <f t="shared" ca="1" si="217"/>
        <v>130.13155357630094</v>
      </c>
      <c r="K514" s="307">
        <f t="shared" ca="1" si="218"/>
        <v>1123.3178470769235</v>
      </c>
      <c r="L514" s="304">
        <f t="shared" ca="1" si="203"/>
        <v>1130.8303174206624</v>
      </c>
      <c r="M514" s="306">
        <f t="shared" ca="1" si="219"/>
        <v>1.4440941635703732</v>
      </c>
      <c r="N514" s="304">
        <f t="shared" ca="1" si="220"/>
        <v>82.740500792057148</v>
      </c>
      <c r="P514" s="310">
        <f t="shared" ca="1" si="221"/>
        <v>23</v>
      </c>
      <c r="Q514" s="304">
        <f t="shared" ca="1" si="222"/>
        <v>0</v>
      </c>
      <c r="R514" s="306">
        <f t="shared" ca="1" si="223"/>
        <v>0</v>
      </c>
      <c r="S514" s="307">
        <f t="shared" ca="1" si="224"/>
        <v>9.137999999999975</v>
      </c>
      <c r="T514" s="304">
        <f t="shared" ca="1" si="204"/>
        <v>89.643779999999765</v>
      </c>
      <c r="U514" s="311">
        <f t="shared" ca="1" si="205"/>
        <v>0</v>
      </c>
      <c r="V514" s="306">
        <f t="shared" ca="1" si="206"/>
        <v>1.0947113424480661</v>
      </c>
      <c r="W514" s="304">
        <f t="shared" ca="1" si="207"/>
        <v>154.77553109138296</v>
      </c>
      <c r="Y514" s="314" t="str">
        <f t="shared" ca="1" si="225"/>
        <v/>
      </c>
      <c r="Z514" s="315" t="str">
        <f t="shared" ca="1" si="226"/>
        <v/>
      </c>
      <c r="AA514" s="316" t="str">
        <f t="shared" ca="1" si="227"/>
        <v/>
      </c>
      <c r="AC514" s="310">
        <f t="shared" ca="1" si="228"/>
        <v>5.9999999999999343</v>
      </c>
      <c r="AD514" s="323">
        <f t="shared" ca="1" si="229"/>
        <v>130.13155357630094</v>
      </c>
      <c r="AE514" s="324">
        <f t="shared" ca="1" si="208"/>
        <v>1123.3178470769235</v>
      </c>
      <c r="AG514" s="306">
        <f t="shared" ca="1" si="230"/>
        <v>-27.109198144811486</v>
      </c>
      <c r="AH514" s="304">
        <f t="shared" ca="1" si="231"/>
        <v>-17.377174658469603</v>
      </c>
    </row>
    <row r="515" spans="1:34" x14ac:dyDescent="0.2">
      <c r="A515" s="347">
        <f t="shared" ca="1" si="209"/>
        <v>0.1</v>
      </c>
      <c r="B515" s="304">
        <f t="shared" ca="1" si="210"/>
        <v>6.0999999999999339</v>
      </c>
      <c r="D515" s="306">
        <f t="shared" ca="1" si="211"/>
        <v>-2.140289741734871</v>
      </c>
      <c r="E515" s="307">
        <f t="shared" ca="1" si="212"/>
        <v>-26.611800446336041</v>
      </c>
      <c r="F515" s="304">
        <f t="shared" ca="1" si="213"/>
        <v>26.69772955092224</v>
      </c>
      <c r="G515" s="306">
        <f t="shared" ca="1" si="214"/>
        <v>29.008332695937149</v>
      </c>
      <c r="H515" s="307">
        <f t="shared" ca="1" si="215"/>
        <v>226.74154042716305</v>
      </c>
      <c r="I515" s="304">
        <f t="shared" ca="1" si="216"/>
        <v>228.58960939001798</v>
      </c>
      <c r="J515" s="306">
        <f t="shared" ca="1" si="217"/>
        <v>133.04308829460334</v>
      </c>
      <c r="K515" s="307">
        <f t="shared" ca="1" si="218"/>
        <v>1146.1250601218715</v>
      </c>
      <c r="L515" s="304">
        <f t="shared" ca="1" si="203"/>
        <v>1153.8210939232863</v>
      </c>
      <c r="M515" s="306">
        <f t="shared" ca="1" si="219"/>
        <v>1.4435518706136163</v>
      </c>
      <c r="N515" s="304">
        <f t="shared" ca="1" si="220"/>
        <v>82.709429694375302</v>
      </c>
      <c r="P515" s="310">
        <f t="shared" ca="1" si="221"/>
        <v>23</v>
      </c>
      <c r="Q515" s="304">
        <f t="shared" ca="1" si="222"/>
        <v>0</v>
      </c>
      <c r="R515" s="306">
        <f t="shared" ca="1" si="223"/>
        <v>0</v>
      </c>
      <c r="S515" s="307">
        <f t="shared" ca="1" si="224"/>
        <v>9.137999999999975</v>
      </c>
      <c r="T515" s="304">
        <f t="shared" ca="1" si="204"/>
        <v>89.643779999999765</v>
      </c>
      <c r="U515" s="311">
        <f t="shared" ca="1" si="205"/>
        <v>0</v>
      </c>
      <c r="V515" s="306">
        <f t="shared" ca="1" si="206"/>
        <v>1.0922094112129308</v>
      </c>
      <c r="W515" s="304">
        <f t="shared" ca="1" si="207"/>
        <v>150.88073429243613</v>
      </c>
      <c r="Y515" s="314" t="str">
        <f t="shared" ca="1" si="225"/>
        <v/>
      </c>
      <c r="Z515" s="315" t="str">
        <f t="shared" ca="1" si="226"/>
        <v/>
      </c>
      <c r="AA515" s="316" t="str">
        <f t="shared" ca="1" si="227"/>
        <v/>
      </c>
      <c r="AC515" s="310" t="e">
        <f t="shared" ca="1" si="228"/>
        <v>#N/A</v>
      </c>
      <c r="AD515" s="323" t="e">
        <f t="shared" ca="1" si="229"/>
        <v>#N/A</v>
      </c>
      <c r="AE515" s="324">
        <f t="shared" ca="1" si="208"/>
        <v>1146.1250601218715</v>
      </c>
      <c r="AG515" s="306">
        <f t="shared" ca="1" si="230"/>
        <v>-26.668934967720258</v>
      </c>
      <c r="AH515" s="304">
        <f t="shared" ca="1" si="231"/>
        <v>-16.937571798137817</v>
      </c>
    </row>
    <row r="516" spans="1:34" x14ac:dyDescent="0.2">
      <c r="A516" s="347">
        <f t="shared" ca="1" si="209"/>
        <v>0.1</v>
      </c>
      <c r="B516" s="304">
        <f t="shared" ca="1" si="210"/>
        <v>6.1999999999999336</v>
      </c>
      <c r="D516" s="306">
        <f t="shared" ca="1" si="211"/>
        <v>-2.0953130479275335</v>
      </c>
      <c r="E516" s="307">
        <f t="shared" ca="1" si="212"/>
        <v>-26.187863324449658</v>
      </c>
      <c r="F516" s="304">
        <f t="shared" ca="1" si="213"/>
        <v>26.271553480311567</v>
      </c>
      <c r="G516" s="306">
        <f t="shared" ca="1" si="214"/>
        <v>28.798801391144394</v>
      </c>
      <c r="H516" s="307">
        <f t="shared" ca="1" si="215"/>
        <v>224.12275409471809</v>
      </c>
      <c r="I516" s="304">
        <f t="shared" ca="1" si="216"/>
        <v>225.96543953571319</v>
      </c>
      <c r="J516" s="306">
        <f t="shared" ca="1" si="217"/>
        <v>135.93344499895741</v>
      </c>
      <c r="K516" s="307">
        <f t="shared" ca="1" si="218"/>
        <v>1168.6682748479654</v>
      </c>
      <c r="L516" s="304">
        <f t="shared" ref="L516:L579" ca="1" si="232">SQRT(pos_x^2+pos_z^2)</f>
        <v>1176.5472528145244</v>
      </c>
      <c r="M516" s="306">
        <f t="shared" ca="1" si="219"/>
        <v>1.4430009445854826</v>
      </c>
      <c r="N516" s="304">
        <f t="shared" ca="1" si="220"/>
        <v>82.677863958139326</v>
      </c>
      <c r="P516" s="310">
        <f t="shared" ca="1" si="221"/>
        <v>23</v>
      </c>
      <c r="Q516" s="304">
        <f t="shared" ca="1" si="222"/>
        <v>0</v>
      </c>
      <c r="R516" s="306">
        <f t="shared" ca="1" si="223"/>
        <v>0</v>
      </c>
      <c r="S516" s="307">
        <f t="shared" ca="1" si="224"/>
        <v>9.137999999999975</v>
      </c>
      <c r="T516" s="304">
        <f t="shared" ref="T516:T579" ca="1" si="233">m*g</f>
        <v>89.643779999999765</v>
      </c>
      <c r="U516" s="311">
        <f t="shared" ref="U516:U579" ca="1" si="234">IF(pos_xz&lt;L_rampe,Poids*COS(Beta),0)</f>
        <v>0</v>
      </c>
      <c r="V516" s="306">
        <f t="shared" ref="V516:V579" ca="1" si="235">Rho_moyen*(20000-Alt_rampe-pos_z)/(20000+Alt_rampe+pos_z)</f>
        <v>1.0897417382991668</v>
      </c>
      <c r="W516" s="304">
        <f t="shared" ref="W516:W579" ca="1" si="236">1/2*Rho*Sref*Cx*vit_xz^2</f>
        <v>147.10333884536192</v>
      </c>
      <c r="Y516" s="314" t="str">
        <f t="shared" ca="1" si="225"/>
        <v/>
      </c>
      <c r="Z516" s="315" t="str">
        <f t="shared" ca="1" si="226"/>
        <v/>
      </c>
      <c r="AA516" s="316" t="str">
        <f t="shared" ca="1" si="227"/>
        <v/>
      </c>
      <c r="AC516" s="310" t="e">
        <f t="shared" ca="1" si="228"/>
        <v>#N/A</v>
      </c>
      <c r="AD516" s="323" t="e">
        <f t="shared" ca="1" si="229"/>
        <v>#N/A</v>
      </c>
      <c r="AE516" s="324">
        <f t="shared" ref="AE516:AE579" ca="1" si="237">IF(t&lt;T_para, pos_z, NA())</f>
        <v>1168.6682748479654</v>
      </c>
      <c r="AG516" s="306">
        <f t="shared" ca="1" si="230"/>
        <v>-26.242041467612271</v>
      </c>
      <c r="AH516" s="304">
        <f t="shared" ca="1" si="231"/>
        <v>-16.511351968968761</v>
      </c>
    </row>
    <row r="517" spans="1:34" x14ac:dyDescent="0.2">
      <c r="A517" s="347">
        <f t="shared" ref="A517:A580" ca="1" si="238">IF(B516+0.01&lt;=T_ini+ROUNDUP(Temps_fin_propu,0), 0.01, IF(K516&gt;0, 0.1, 0.0001))</f>
        <v>0.1</v>
      </c>
      <c r="B517" s="304">
        <f t="shared" ref="B517:B580" ca="1" si="239">B516+pas</f>
        <v>6.2999999999999332</v>
      </c>
      <c r="D517" s="306">
        <f t="shared" ref="D517:D580" ca="1" si="240">IF(AND(L516&lt;L_rampe,Poussee&lt;Poids*SIN(M516)),0,(-W516+Poussee)/m*COS(M516)-U516/m*SIN(M516))</f>
        <v>-2.051652333314181</v>
      </c>
      <c r="E517" s="307">
        <f t="shared" ref="E517:E580" ca="1" si="241">IF(AND(L516&lt;L_rampe,Poussee&lt;Poids*SIN(M516)),0,(-W516+Poussee)/m*SIN(M516)+U516/m*COS(M516)-Poids/m)</f>
        <v>-25.776705181300489</v>
      </c>
      <c r="F517" s="304">
        <f t="shared" ref="F517:F580" ca="1" si="242">SQRT(acc_x^2+acc_z^2)</f>
        <v>25.858225138251019</v>
      </c>
      <c r="G517" s="306">
        <f t="shared" ref="G517:G580" ca="1" si="243">G516+acc_x*pas</f>
        <v>28.593636157812977</v>
      </c>
      <c r="H517" s="307">
        <f t="shared" ref="H517:H580" ca="1" si="244">H516+acc_z*pas</f>
        <v>221.54508357658804</v>
      </c>
      <c r="I517" s="304">
        <f t="shared" ref="I517:I580" ca="1" si="245">SQRT(vit_x^2+vit_z^2)</f>
        <v>223.38267633297522</v>
      </c>
      <c r="J517" s="306">
        <f t="shared" ref="J517:J580" ca="1" si="246">J516+0.5*(vit_x+G516)*pas*(K516&gt;=0)</f>
        <v>138.80306687640527</v>
      </c>
      <c r="K517" s="307">
        <f t="shared" ref="K517:K580" ca="1" si="247">K516+0.5*(vit_z+H516)*pas</f>
        <v>1190.9516667315308</v>
      </c>
      <c r="L517" s="304">
        <f t="shared" ca="1" si="232"/>
        <v>1199.0129957030938</v>
      </c>
      <c r="M517" s="306">
        <f t="shared" ref="M517:M580" ca="1" si="248">IF(AND(L516&gt;L_rampe,G517&gt;0),ATAN2(G517,H517),$M$4)</f>
        <v>1.442441248934623</v>
      </c>
      <c r="N517" s="304">
        <f t="shared" ref="N517:N580" ca="1" si="249">DEGREES(Beta)</f>
        <v>82.645795759533257</v>
      </c>
      <c r="P517" s="310">
        <f t="shared" ref="P517:P580" ca="1" si="250">MATCH(t-pas/2-T_ini,CdP_t)</f>
        <v>23</v>
      </c>
      <c r="Q517" s="304">
        <f t="shared" ref="Q517:Q580" ca="1" si="251">(INDEX(CdP,2,i_P+1)-INDEX(CdP,2,i_P+0))/(INDEX(CdP,1,i_P+1)-INDEX(CdP,1,i_P+0))*(t-pas/2-T_ini-INDEX(CdP,1,i_P+0))+INDEX(CdP,2,i_P+0)</f>
        <v>0</v>
      </c>
      <c r="R517" s="306">
        <f t="shared" ref="R517:R580" ca="1" si="252">Poussee/(g*ISP)</f>
        <v>0</v>
      </c>
      <c r="S517" s="307">
        <f t="shared" ref="S517:S580" ca="1" si="253">S516-Débit*pas</f>
        <v>9.137999999999975</v>
      </c>
      <c r="T517" s="304">
        <f t="shared" ca="1" si="233"/>
        <v>89.643779999999765</v>
      </c>
      <c r="U517" s="311">
        <f t="shared" ca="1" si="234"/>
        <v>0</v>
      </c>
      <c r="V517" s="306">
        <f t="shared" ca="1" si="235"/>
        <v>1.0873076665276407</v>
      </c>
      <c r="W517" s="304">
        <f t="shared" ca="1" si="236"/>
        <v>143.43869769820472</v>
      </c>
      <c r="Y517" s="314" t="str">
        <f t="shared" ref="Y517:Y580" ca="1" si="254">IF(AND(pos_z&lt;=0,K516&gt;0),"Impact balistique","") &amp; IF(AND(H518&lt;0,vit_z&gt;=0),"Apogée","") &amp; IF(AND(Poussee=0,Q516&gt;0),"Fin de propulsion","") &amp; IF(AND(L518&gt;L_rampe,pos_xz&lt;=L_rampe),"Sortie de rampe","")</f>
        <v/>
      </c>
      <c r="Z517" s="315" t="str">
        <f t="shared" ref="Z517:Z580" ca="1" si="255">IF(ABS(t-T_para)&lt;pas/2,"Para","")</f>
        <v/>
      </c>
      <c r="AA517" s="316" t="str">
        <f t="shared" ref="AA517:AA580" ca="1" si="256">IF(ABS(t-T_satellite)&lt;pas/2,"Satellite","")</f>
        <v/>
      </c>
      <c r="AC517" s="310" t="e">
        <f t="shared" ref="AC517:AC580" ca="1" si="257">IF(ABS(t-ROUND(t,0))&lt;0.001,t,NA())</f>
        <v>#N/A</v>
      </c>
      <c r="AD517" s="323" t="e">
        <f t="shared" ref="AD517:AD580" ca="1" si="258">IF(ABS(t-ROUND(t,0))&lt;0.001,pos_x,NA())</f>
        <v>#N/A</v>
      </c>
      <c r="AE517" s="324">
        <f t="shared" ca="1" si="237"/>
        <v>1190.9516667315308</v>
      </c>
      <c r="AG517" s="306">
        <f t="shared" ref="AG517:AG580" ca="1" si="259">IF(AND(L516&lt;L_rampe,Poussee&lt;Poids*SIN(M516)),0,(-W516+Poussee)/m-Poids*SIN(M516)/m)</f>
        <v>-25.827981910787067</v>
      </c>
      <c r="AH517" s="304">
        <f t="shared" ref="AH517:AH580" ca="1" si="260">IF(AND(L516&lt;L_rampe,Poussee&lt;Poids*SIN(M516)), g*SIN(M516), (-W516+Poussee)/m)</f>
        <v>-16.097979737947288</v>
      </c>
    </row>
    <row r="518" spans="1:34" x14ac:dyDescent="0.2">
      <c r="A518" s="347">
        <f t="shared" ca="1" si="238"/>
        <v>0.1</v>
      </c>
      <c r="B518" s="304">
        <f t="shared" ca="1" si="239"/>
        <v>6.3999999999999329</v>
      </c>
      <c r="D518" s="306">
        <f t="shared" ca="1" si="240"/>
        <v>-2.0092550872623058</v>
      </c>
      <c r="E518" s="307">
        <f t="shared" ca="1" si="241"/>
        <v>-25.377820188289746</v>
      </c>
      <c r="F518" s="304">
        <f t="shared" ca="1" si="242"/>
        <v>25.457235975550372</v>
      </c>
      <c r="G518" s="306">
        <f t="shared" ca="1" si="243"/>
        <v>28.392710649086748</v>
      </c>
      <c r="H518" s="307">
        <f t="shared" ca="1" si="244"/>
        <v>219.00730155775906</v>
      </c>
      <c r="I518" s="304">
        <f t="shared" ca="1" si="245"/>
        <v>220.84008728854909</v>
      </c>
      <c r="J518" s="306">
        <f t="shared" ca="1" si="246"/>
        <v>141.65238421675025</v>
      </c>
      <c r="K518" s="307">
        <f t="shared" ca="1" si="247"/>
        <v>1212.9792859882482</v>
      </c>
      <c r="L518" s="304">
        <f t="shared" ca="1" si="232"/>
        <v>1221.2223983332644</v>
      </c>
      <c r="M518" s="306">
        <f t="shared" ca="1" si="248"/>
        <v>1.4418726434854032</v>
      </c>
      <c r="N518" s="304">
        <f t="shared" ca="1" si="249"/>
        <v>82.613217067084818</v>
      </c>
      <c r="P518" s="310">
        <f t="shared" ca="1" si="250"/>
        <v>23</v>
      </c>
      <c r="Q518" s="304">
        <f t="shared" ca="1" si="251"/>
        <v>0</v>
      </c>
      <c r="R518" s="306">
        <f t="shared" ca="1" si="252"/>
        <v>0</v>
      </c>
      <c r="S518" s="307">
        <f t="shared" ca="1" si="253"/>
        <v>9.137999999999975</v>
      </c>
      <c r="T518" s="304">
        <f t="shared" ca="1" si="233"/>
        <v>89.643779999999765</v>
      </c>
      <c r="U518" s="311">
        <f t="shared" ca="1" si="234"/>
        <v>0</v>
      </c>
      <c r="V518" s="306">
        <f t="shared" ca="1" si="235"/>
        <v>1.0849065595357386</v>
      </c>
      <c r="W518" s="304">
        <f t="shared" ca="1" si="236"/>
        <v>139.88239478938934</v>
      </c>
      <c r="Y518" s="314" t="str">
        <f t="shared" ca="1" si="254"/>
        <v/>
      </c>
      <c r="Z518" s="315" t="str">
        <f t="shared" ca="1" si="255"/>
        <v/>
      </c>
      <c r="AA518" s="316" t="str">
        <f t="shared" ca="1" si="256"/>
        <v/>
      </c>
      <c r="AC518" s="310" t="e">
        <f t="shared" ca="1" si="257"/>
        <v>#N/A</v>
      </c>
      <c r="AD518" s="323" t="e">
        <f t="shared" ca="1" si="258"/>
        <v>#N/A</v>
      </c>
      <c r="AE518" s="324">
        <f t="shared" ca="1" si="237"/>
        <v>1212.9792859882482</v>
      </c>
      <c r="AG518" s="306">
        <f t="shared" ca="1" si="259"/>
        <v>-25.426247445676481</v>
      </c>
      <c r="AH518" s="304">
        <f t="shared" ca="1" si="260"/>
        <v>-15.696946563603099</v>
      </c>
    </row>
    <row r="519" spans="1:34" x14ac:dyDescent="0.2">
      <c r="A519" s="347">
        <f t="shared" ca="1" si="238"/>
        <v>0.1</v>
      </c>
      <c r="B519" s="304">
        <f t="shared" ca="1" si="239"/>
        <v>6.4999999999999325</v>
      </c>
      <c r="D519" s="306">
        <f t="shared" ca="1" si="240"/>
        <v>-1.9680714059532465</v>
      </c>
      <c r="E519" s="307">
        <f t="shared" ca="1" si="241"/>
        <v>-24.990727659923834</v>
      </c>
      <c r="F519" s="304">
        <f t="shared" ca="1" si="242"/>
        <v>25.068102721016064</v>
      </c>
      <c r="G519" s="306">
        <f t="shared" ca="1" si="243"/>
        <v>28.195903508491423</v>
      </c>
      <c r="H519" s="307">
        <f t="shared" ca="1" si="244"/>
        <v>216.50822879176667</v>
      </c>
      <c r="I519" s="304">
        <f t="shared" ca="1" si="245"/>
        <v>218.33648826801291</v>
      </c>
      <c r="J519" s="306">
        <f t="shared" ca="1" si="246"/>
        <v>144.48181492462916</v>
      </c>
      <c r="K519" s="307">
        <f t="shared" ca="1" si="247"/>
        <v>1234.7550625057245</v>
      </c>
      <c r="L519" s="304">
        <f t="shared" ca="1" si="232"/>
        <v>1243.179415542033</v>
      </c>
      <c r="M519" s="306">
        <f t="shared" ca="1" si="248"/>
        <v>1.4412949843350358</v>
      </c>
      <c r="N519" s="304">
        <f t="shared" ca="1" si="249"/>
        <v>82.580119635771652</v>
      </c>
      <c r="P519" s="310">
        <f t="shared" ca="1" si="250"/>
        <v>23</v>
      </c>
      <c r="Q519" s="304">
        <f t="shared" ca="1" si="251"/>
        <v>0</v>
      </c>
      <c r="R519" s="306">
        <f t="shared" ca="1" si="252"/>
        <v>0</v>
      </c>
      <c r="S519" s="307">
        <f t="shared" ca="1" si="253"/>
        <v>9.137999999999975</v>
      </c>
      <c r="T519" s="304">
        <f t="shared" ca="1" si="233"/>
        <v>89.643779999999765</v>
      </c>
      <c r="U519" s="311">
        <f t="shared" ca="1" si="234"/>
        <v>0</v>
      </c>
      <c r="V519" s="306">
        <f t="shared" ca="1" si="235"/>
        <v>1.0825378009195623</v>
      </c>
      <c r="W519" s="304">
        <f t="shared" ca="1" si="236"/>
        <v>136.43023133015282</v>
      </c>
      <c r="Y519" s="314" t="str">
        <f t="shared" ca="1" si="254"/>
        <v/>
      </c>
      <c r="Z519" s="315" t="str">
        <f t="shared" ca="1" si="255"/>
        <v/>
      </c>
      <c r="AA519" s="316" t="str">
        <f t="shared" ca="1" si="256"/>
        <v/>
      </c>
      <c r="AC519" s="310" t="e">
        <f t="shared" ca="1" si="257"/>
        <v>#N/A</v>
      </c>
      <c r="AD519" s="323" t="e">
        <f t="shared" ca="1" si="258"/>
        <v>#N/A</v>
      </c>
      <c r="AE519" s="324">
        <f t="shared" ca="1" si="237"/>
        <v>1234.7550625057245</v>
      </c>
      <c r="AG519" s="306">
        <f t="shared" ca="1" si="259"/>
        <v>-25.036354488967959</v>
      </c>
      <c r="AH519" s="304">
        <f t="shared" ca="1" si="260"/>
        <v>-15.307769182467686</v>
      </c>
    </row>
    <row r="520" spans="1:34" x14ac:dyDescent="0.2">
      <c r="A520" s="347">
        <f t="shared" ca="1" si="238"/>
        <v>0.1</v>
      </c>
      <c r="B520" s="304">
        <f t="shared" ca="1" si="239"/>
        <v>6.5999999999999321</v>
      </c>
      <c r="D520" s="306">
        <f t="shared" ca="1" si="240"/>
        <v>-1.9280538375108076</v>
      </c>
      <c r="E520" s="307">
        <f t="shared" ca="1" si="241"/>
        <v>-24.614970560667381</v>
      </c>
      <c r="F520" s="304">
        <f t="shared" ca="1" si="242"/>
        <v>24.690365880295538</v>
      </c>
      <c r="G520" s="306">
        <f t="shared" ca="1" si="243"/>
        <v>28.00309812474034</v>
      </c>
      <c r="H520" s="307">
        <f t="shared" ca="1" si="244"/>
        <v>214.04673173569992</v>
      </c>
      <c r="I520" s="304">
        <f t="shared" ca="1" si="245"/>
        <v>215.87074111912091</v>
      </c>
      <c r="J520" s="306">
        <f t="shared" ca="1" si="246"/>
        <v>147.29176500629075</v>
      </c>
      <c r="K520" s="307">
        <f t="shared" ca="1" si="247"/>
        <v>1256.2828105320978</v>
      </c>
      <c r="L520" s="304">
        <f t="shared" ca="1" si="232"/>
        <v>1264.8878859713595</v>
      </c>
      <c r="M520" s="306">
        <f t="shared" ca="1" si="248"/>
        <v>1.4407081237467705</v>
      </c>
      <c r="N520" s="304">
        <f t="shared" ca="1" si="249"/>
        <v>82.546495000901487</v>
      </c>
      <c r="P520" s="310">
        <f t="shared" ca="1" si="250"/>
        <v>23</v>
      </c>
      <c r="Q520" s="304">
        <f t="shared" ca="1" si="251"/>
        <v>0</v>
      </c>
      <c r="R520" s="306">
        <f t="shared" ca="1" si="252"/>
        <v>0</v>
      </c>
      <c r="S520" s="307">
        <f t="shared" ca="1" si="253"/>
        <v>9.137999999999975</v>
      </c>
      <c r="T520" s="304">
        <f t="shared" ca="1" si="233"/>
        <v>89.643779999999765</v>
      </c>
      <c r="U520" s="311">
        <f t="shared" ca="1" si="234"/>
        <v>0</v>
      </c>
      <c r="V520" s="306">
        <f t="shared" ca="1" si="235"/>
        <v>1.0802007934200706</v>
      </c>
      <c r="W520" s="304">
        <f t="shared" ca="1" si="236"/>
        <v>133.07821303273377</v>
      </c>
      <c r="Y520" s="314" t="str">
        <f t="shared" ca="1" si="254"/>
        <v/>
      </c>
      <c r="Z520" s="315" t="str">
        <f t="shared" ca="1" si="255"/>
        <v/>
      </c>
      <c r="AA520" s="316" t="str">
        <f t="shared" ca="1" si="256"/>
        <v/>
      </c>
      <c r="AC520" s="310" t="e">
        <f t="shared" ca="1" si="257"/>
        <v>#N/A</v>
      </c>
      <c r="AD520" s="323" t="e">
        <f t="shared" ca="1" si="258"/>
        <v>#N/A</v>
      </c>
      <c r="AE520" s="324">
        <f t="shared" ca="1" si="237"/>
        <v>1256.2828105320978</v>
      </c>
      <c r="AG520" s="306">
        <f t="shared" ca="1" si="259"/>
        <v>-24.657843224099977</v>
      </c>
      <c r="AH520" s="304">
        <f t="shared" ca="1" si="260"/>
        <v>-14.929988107917836</v>
      </c>
    </row>
    <row r="521" spans="1:34" x14ac:dyDescent="0.2">
      <c r="A521" s="347">
        <f t="shared" ca="1" si="238"/>
        <v>0.1</v>
      </c>
      <c r="B521" s="304">
        <f t="shared" ca="1" si="239"/>
        <v>6.6999999999999318</v>
      </c>
      <c r="D521" s="306">
        <f t="shared" ca="1" si="240"/>
        <v>-1.8891572378075143</v>
      </c>
      <c r="E521" s="307">
        <f t="shared" ca="1" si="241"/>
        <v>-24.250114114741031</v>
      </c>
      <c r="F521" s="304">
        <f t="shared" ca="1" si="242"/>
        <v>24.323588338218578</v>
      </c>
      <c r="G521" s="306">
        <f t="shared" ca="1" si="243"/>
        <v>27.814182400959588</v>
      </c>
      <c r="H521" s="307">
        <f t="shared" ca="1" si="244"/>
        <v>211.62172032422581</v>
      </c>
      <c r="I521" s="304">
        <f t="shared" ca="1" si="245"/>
        <v>213.44175143494934</v>
      </c>
      <c r="J521" s="306">
        <f t="shared" ca="1" si="246"/>
        <v>150.08262903257574</v>
      </c>
      <c r="K521" s="307">
        <f t="shared" ca="1" si="247"/>
        <v>1277.5662331350941</v>
      </c>
      <c r="L521" s="304">
        <f t="shared" ca="1" si="232"/>
        <v>1286.3515365499134</v>
      </c>
      <c r="M521" s="306">
        <f t="shared" ca="1" si="248"/>
        <v>1.4401119100389859</v>
      </c>
      <c r="N521" s="304">
        <f t="shared" ca="1" si="249"/>
        <v>82.512334471757583</v>
      </c>
      <c r="P521" s="310">
        <f t="shared" ca="1" si="250"/>
        <v>23</v>
      </c>
      <c r="Q521" s="304">
        <f t="shared" ca="1" si="251"/>
        <v>0</v>
      </c>
      <c r="R521" s="306">
        <f t="shared" ca="1" si="252"/>
        <v>0</v>
      </c>
      <c r="S521" s="307">
        <f t="shared" ca="1" si="253"/>
        <v>9.137999999999975</v>
      </c>
      <c r="T521" s="304">
        <f t="shared" ca="1" si="233"/>
        <v>89.643779999999765</v>
      </c>
      <c r="U521" s="311">
        <f t="shared" ca="1" si="234"/>
        <v>0</v>
      </c>
      <c r="V521" s="306">
        <f t="shared" ca="1" si="235"/>
        <v>1.0778949581504937</v>
      </c>
      <c r="W521" s="304">
        <f t="shared" ca="1" si="236"/>
        <v>129.82253821026757</v>
      </c>
      <c r="Y521" s="314" t="str">
        <f t="shared" ca="1" si="254"/>
        <v/>
      </c>
      <c r="Z521" s="315" t="str">
        <f t="shared" ca="1" si="255"/>
        <v/>
      </c>
      <c r="AA521" s="316" t="str">
        <f t="shared" ca="1" si="256"/>
        <v/>
      </c>
      <c r="AC521" s="310" t="e">
        <f t="shared" ca="1" si="257"/>
        <v>#N/A</v>
      </c>
      <c r="AD521" s="323" t="e">
        <f t="shared" ca="1" si="258"/>
        <v>#N/A</v>
      </c>
      <c r="AE521" s="324">
        <f t="shared" ca="1" si="237"/>
        <v>1277.5662331350941</v>
      </c>
      <c r="AG521" s="306">
        <f t="shared" ca="1" si="259"/>
        <v>-24.290276203239557</v>
      </c>
      <c r="AH521" s="304">
        <f t="shared" ca="1" si="260"/>
        <v>-14.56316623251632</v>
      </c>
    </row>
    <row r="522" spans="1:34" x14ac:dyDescent="0.2">
      <c r="A522" s="347">
        <f t="shared" ca="1" si="238"/>
        <v>0.1</v>
      </c>
      <c r="B522" s="304">
        <f t="shared" ca="1" si="239"/>
        <v>6.7999999999999314</v>
      </c>
      <c r="D522" s="306">
        <f t="shared" ca="1" si="240"/>
        <v>-1.851338636112394</v>
      </c>
      <c r="E522" s="307">
        <f t="shared" ca="1" si="241"/>
        <v>-23.895744510803745</v>
      </c>
      <c r="F522" s="304">
        <f t="shared" ca="1" si="242"/>
        <v>23.967354056532184</v>
      </c>
      <c r="G522" s="306">
        <f t="shared" ca="1" si="243"/>
        <v>27.62904853734835</v>
      </c>
      <c r="H522" s="307">
        <f t="shared" ca="1" si="244"/>
        <v>209.23214587314544</v>
      </c>
      <c r="I522" s="304">
        <f t="shared" ca="1" si="245"/>
        <v>211.0484664473077</v>
      </c>
      <c r="J522" s="306">
        <f t="shared" ca="1" si="246"/>
        <v>152.85479057949112</v>
      </c>
      <c r="K522" s="307">
        <f t="shared" ca="1" si="247"/>
        <v>1298.6089264449627</v>
      </c>
      <c r="L522" s="304">
        <f t="shared" ca="1" si="232"/>
        <v>1307.5739867577813</v>
      </c>
      <c r="M522" s="306">
        <f t="shared" ca="1" si="248"/>
        <v>1.439506187470011</v>
      </c>
      <c r="N522" s="304">
        <f t="shared" ca="1" si="249"/>
        <v>82.477629124999496</v>
      </c>
      <c r="P522" s="310">
        <f t="shared" ca="1" si="250"/>
        <v>23</v>
      </c>
      <c r="Q522" s="304">
        <f t="shared" ca="1" si="251"/>
        <v>0</v>
      </c>
      <c r="R522" s="306">
        <f t="shared" ca="1" si="252"/>
        <v>0</v>
      </c>
      <c r="S522" s="307">
        <f t="shared" ca="1" si="253"/>
        <v>9.137999999999975</v>
      </c>
      <c r="T522" s="304">
        <f t="shared" ca="1" si="233"/>
        <v>89.643779999999765</v>
      </c>
      <c r="U522" s="311">
        <f t="shared" ca="1" si="234"/>
        <v>0</v>
      </c>
      <c r="V522" s="306">
        <f t="shared" ca="1" si="235"/>
        <v>1.0756197338625342</v>
      </c>
      <c r="W522" s="304">
        <f t="shared" ca="1" si="236"/>
        <v>126.65958668081134</v>
      </c>
      <c r="Y522" s="314" t="str">
        <f t="shared" ca="1" si="254"/>
        <v/>
      </c>
      <c r="Z522" s="315" t="str">
        <f t="shared" ca="1" si="255"/>
        <v/>
      </c>
      <c r="AA522" s="316" t="str">
        <f t="shared" ca="1" si="256"/>
        <v/>
      </c>
      <c r="AC522" s="310" t="e">
        <f t="shared" ca="1" si="257"/>
        <v>#N/A</v>
      </c>
      <c r="AD522" s="323" t="e">
        <f t="shared" ca="1" si="258"/>
        <v>#N/A</v>
      </c>
      <c r="AE522" s="324">
        <f t="shared" ca="1" si="237"/>
        <v>1298.6089264449627</v>
      </c>
      <c r="AG522" s="306">
        <f t="shared" ca="1" si="259"/>
        <v>-23.933237044637497</v>
      </c>
      <c r="AH522" s="304">
        <f t="shared" ca="1" si="260"/>
        <v>-14.206887525746106</v>
      </c>
    </row>
    <row r="523" spans="1:34" x14ac:dyDescent="0.2">
      <c r="A523" s="347">
        <f t="shared" ca="1" si="238"/>
        <v>0.1</v>
      </c>
      <c r="B523" s="304">
        <f t="shared" ca="1" si="239"/>
        <v>6.8999999999999311</v>
      </c>
      <c r="D523" s="306">
        <f t="shared" ca="1" si="240"/>
        <v>-1.8145571098173623</v>
      </c>
      <c r="E523" s="307">
        <f t="shared" ca="1" si="241"/>
        <v>-23.551467694163939</v>
      </c>
      <c r="F523" s="304">
        <f t="shared" ca="1" si="242"/>
        <v>23.621266859633849</v>
      </c>
      <c r="G523" s="306">
        <f t="shared" ca="1" si="243"/>
        <v>27.447592826366613</v>
      </c>
      <c r="H523" s="307">
        <f t="shared" ca="1" si="244"/>
        <v>206.87699910372905</v>
      </c>
      <c r="I523" s="304">
        <f t="shared" ca="1" si="245"/>
        <v>208.68987304161723</v>
      </c>
      <c r="J523" s="306">
        <f t="shared" ca="1" si="246"/>
        <v>155.60862264767687</v>
      </c>
      <c r="K523" s="307">
        <f t="shared" ca="1" si="247"/>
        <v>1319.4143836938065</v>
      </c>
      <c r="L523" s="304">
        <f t="shared" ca="1" si="232"/>
        <v>1328.5587526866902</v>
      </c>
      <c r="M523" s="306">
        <f t="shared" ca="1" si="248"/>
        <v>1.4388907961185011</v>
      </c>
      <c r="N523" s="304">
        <f t="shared" ca="1" si="249"/>
        <v>82.442369797809135</v>
      </c>
      <c r="P523" s="310">
        <f t="shared" ca="1" si="250"/>
        <v>23</v>
      </c>
      <c r="Q523" s="304">
        <f t="shared" ca="1" si="251"/>
        <v>0</v>
      </c>
      <c r="R523" s="306">
        <f t="shared" ca="1" si="252"/>
        <v>0</v>
      </c>
      <c r="S523" s="307">
        <f t="shared" ca="1" si="253"/>
        <v>9.137999999999975</v>
      </c>
      <c r="T523" s="304">
        <f t="shared" ca="1" si="233"/>
        <v>89.643779999999765</v>
      </c>
      <c r="U523" s="311">
        <f t="shared" ca="1" si="234"/>
        <v>0</v>
      </c>
      <c r="V523" s="306">
        <f t="shared" ca="1" si="235"/>
        <v>1.073374576249043</v>
      </c>
      <c r="W523" s="304">
        <f t="shared" ca="1" si="236"/>
        <v>123.58590941377943</v>
      </c>
      <c r="Y523" s="314" t="str">
        <f t="shared" ca="1" si="254"/>
        <v/>
      </c>
      <c r="Z523" s="315" t="str">
        <f t="shared" ca="1" si="255"/>
        <v/>
      </c>
      <c r="AA523" s="316" t="str">
        <f t="shared" ca="1" si="256"/>
        <v/>
      </c>
      <c r="AC523" s="310" t="e">
        <f t="shared" ca="1" si="257"/>
        <v>#N/A</v>
      </c>
      <c r="AD523" s="323" t="e">
        <f t="shared" ca="1" si="258"/>
        <v>#N/A</v>
      </c>
      <c r="AE523" s="324">
        <f t="shared" ca="1" si="237"/>
        <v>1319.4143836938065</v>
      </c>
      <c r="AG523" s="306">
        <f t="shared" ca="1" si="259"/>
        <v>-23.586329217965364</v>
      </c>
      <c r="AH523" s="304">
        <f t="shared" ca="1" si="260"/>
        <v>-13.860755819743018</v>
      </c>
    </row>
    <row r="524" spans="1:34" x14ac:dyDescent="0.2">
      <c r="A524" s="347">
        <f t="shared" ca="1" si="238"/>
        <v>0.1</v>
      </c>
      <c r="B524" s="304">
        <f t="shared" ca="1" si="239"/>
        <v>6.9999999999999307</v>
      </c>
      <c r="D524" s="306">
        <f t="shared" ca="1" si="240"/>
        <v>-1.7787736675453945</v>
      </c>
      <c r="E524" s="307">
        <f t="shared" ca="1" si="241"/>
        <v>-23.216908239801285</v>
      </c>
      <c r="F524" s="304">
        <f t="shared" ca="1" si="242"/>
        <v>23.284949301548966</v>
      </c>
      <c r="G524" s="306">
        <f t="shared" ca="1" si="243"/>
        <v>27.269715459612073</v>
      </c>
      <c r="H524" s="307">
        <f t="shared" ca="1" si="244"/>
        <v>204.55530827974891</v>
      </c>
      <c r="I524" s="304">
        <f t="shared" ca="1" si="245"/>
        <v>206.36499588513388</v>
      </c>
      <c r="J524" s="306">
        <f t="shared" ca="1" si="246"/>
        <v>158.3444880619758</v>
      </c>
      <c r="K524" s="307">
        <f t="shared" ca="1" si="247"/>
        <v>1339.9859990629805</v>
      </c>
      <c r="L524" s="304">
        <f t="shared" ca="1" si="232"/>
        <v>1349.3092509074497</v>
      </c>
      <c r="M524" s="306">
        <f t="shared" ca="1" si="248"/>
        <v>1.4382655717591843</v>
      </c>
      <c r="N524" s="304">
        <f t="shared" ca="1" si="249"/>
        <v>82.406547080771503</v>
      </c>
      <c r="P524" s="310">
        <f t="shared" ca="1" si="250"/>
        <v>23</v>
      </c>
      <c r="Q524" s="304">
        <f t="shared" ca="1" si="251"/>
        <v>0</v>
      </c>
      <c r="R524" s="306">
        <f t="shared" ca="1" si="252"/>
        <v>0</v>
      </c>
      <c r="S524" s="307">
        <f t="shared" ca="1" si="253"/>
        <v>9.137999999999975</v>
      </c>
      <c r="T524" s="304">
        <f t="shared" ca="1" si="233"/>
        <v>89.643779999999765</v>
      </c>
      <c r="U524" s="311">
        <f t="shared" ca="1" si="234"/>
        <v>0</v>
      </c>
      <c r="V524" s="306">
        <f t="shared" ca="1" si="235"/>
        <v>1.0711589572810192</v>
      </c>
      <c r="W524" s="304">
        <f t="shared" ca="1" si="236"/>
        <v>120.59821886236044</v>
      </c>
      <c r="Y524" s="314" t="str">
        <f t="shared" ca="1" si="254"/>
        <v/>
      </c>
      <c r="Z524" s="315" t="str">
        <f t="shared" ca="1" si="255"/>
        <v/>
      </c>
      <c r="AA524" s="316" t="str">
        <f t="shared" ca="1" si="256"/>
        <v/>
      </c>
      <c r="AC524" s="310">
        <f t="shared" ca="1" si="257"/>
        <v>6.9999999999999307</v>
      </c>
      <c r="AD524" s="323">
        <f t="shared" ca="1" si="258"/>
        <v>158.3444880619758</v>
      </c>
      <c r="AE524" s="324">
        <f t="shared" ca="1" si="237"/>
        <v>1339.9859990629805</v>
      </c>
      <c r="AG524" s="306">
        <f t="shared" ca="1" si="259"/>
        <v>-23.249174910879422</v>
      </c>
      <c r="AH524" s="304">
        <f t="shared" ca="1" si="260"/>
        <v>-13.524393676272682</v>
      </c>
    </row>
    <row r="525" spans="1:34" x14ac:dyDescent="0.2">
      <c r="A525" s="347">
        <f t="shared" ca="1" si="238"/>
        <v>0.1</v>
      </c>
      <c r="B525" s="304">
        <f t="shared" ca="1" si="239"/>
        <v>7.0999999999999304</v>
      </c>
      <c r="D525" s="306">
        <f t="shared" ca="1" si="240"/>
        <v>-1.7439511400033363</v>
      </c>
      <c r="E525" s="307">
        <f t="shared" ca="1" si="241"/>
        <v>-22.891708300057083</v>
      </c>
      <c r="F525" s="304">
        <f t="shared" ca="1" si="242"/>
        <v>22.958041607977393</v>
      </c>
      <c r="G525" s="306">
        <f t="shared" ca="1" si="243"/>
        <v>27.095320345611739</v>
      </c>
      <c r="H525" s="307">
        <f t="shared" ca="1" si="244"/>
        <v>202.26613744974321</v>
      </c>
      <c r="I525" s="304">
        <f t="shared" ca="1" si="245"/>
        <v>204.07289566101062</v>
      </c>
      <c r="J525" s="306">
        <f t="shared" ca="1" si="246"/>
        <v>161.06273985223697</v>
      </c>
      <c r="K525" s="307">
        <f t="shared" ca="1" si="247"/>
        <v>1360.3270713494551</v>
      </c>
      <c r="L525" s="304">
        <f t="shared" ca="1" si="232"/>
        <v>1369.8288021555447</v>
      </c>
      <c r="M525" s="306">
        <f t="shared" ca="1" si="248"/>
        <v>1.4376303457337796</v>
      </c>
      <c r="N525" s="304">
        <f t="shared" ca="1" si="249"/>
        <v>82.370151310478946</v>
      </c>
      <c r="P525" s="310">
        <f t="shared" ca="1" si="250"/>
        <v>23</v>
      </c>
      <c r="Q525" s="304">
        <f t="shared" ca="1" si="251"/>
        <v>0</v>
      </c>
      <c r="R525" s="306">
        <f t="shared" ca="1" si="252"/>
        <v>0</v>
      </c>
      <c r="S525" s="307">
        <f t="shared" ca="1" si="253"/>
        <v>9.137999999999975</v>
      </c>
      <c r="T525" s="304">
        <f t="shared" ca="1" si="233"/>
        <v>89.643779999999765</v>
      </c>
      <c r="U525" s="311">
        <f t="shared" ca="1" si="234"/>
        <v>0</v>
      </c>
      <c r="V525" s="306">
        <f t="shared" ca="1" si="235"/>
        <v>1.0689723645769242</v>
      </c>
      <c r="W525" s="304">
        <f t="shared" ca="1" si="236"/>
        <v>117.69337993028185</v>
      </c>
      <c r="Y525" s="314" t="str">
        <f t="shared" ca="1" si="254"/>
        <v/>
      </c>
      <c r="Z525" s="315" t="str">
        <f t="shared" ca="1" si="255"/>
        <v/>
      </c>
      <c r="AA525" s="316" t="str">
        <f t="shared" ca="1" si="256"/>
        <v/>
      </c>
      <c r="AC525" s="310" t="e">
        <f t="shared" ca="1" si="257"/>
        <v>#N/A</v>
      </c>
      <c r="AD525" s="323" t="e">
        <f t="shared" ca="1" si="258"/>
        <v>#N/A</v>
      </c>
      <c r="AE525" s="324">
        <f t="shared" ca="1" si="237"/>
        <v>1360.3270713494551</v>
      </c>
      <c r="AG525" s="306">
        <f t="shared" ca="1" si="259"/>
        <v>-22.921413970635381</v>
      </c>
      <c r="AH525" s="304">
        <f t="shared" ca="1" si="260"/>
        <v>-13.197441328776621</v>
      </c>
    </row>
    <row r="526" spans="1:34" x14ac:dyDescent="0.2">
      <c r="A526" s="347">
        <f t="shared" ca="1" si="238"/>
        <v>0.1</v>
      </c>
      <c r="B526" s="304">
        <f t="shared" ca="1" si="239"/>
        <v>7.19999999999993</v>
      </c>
      <c r="D526" s="306">
        <f t="shared" ca="1" si="240"/>
        <v>-1.710054077996473</v>
      </c>
      <c r="E526" s="307">
        <f t="shared" ca="1" si="241"/>
        <v>-22.575526621372724</v>
      </c>
      <c r="F526" s="304">
        <f t="shared" ca="1" si="242"/>
        <v>22.640200687758508</v>
      </c>
      <c r="G526" s="306">
        <f t="shared" ca="1" si="243"/>
        <v>26.924314937812092</v>
      </c>
      <c r="H526" s="307">
        <f t="shared" ca="1" si="244"/>
        <v>200.00858478760594</v>
      </c>
      <c r="I526" s="304">
        <f t="shared" ca="1" si="245"/>
        <v>201.81266740125963</v>
      </c>
      <c r="J526" s="306">
        <f t="shared" ca="1" si="246"/>
        <v>163.76372161640816</v>
      </c>
      <c r="K526" s="307">
        <f t="shared" ca="1" si="247"/>
        <v>1380.4408074613225</v>
      </c>
      <c r="L526" s="304">
        <f t="shared" ca="1" si="232"/>
        <v>1390.120634845093</v>
      </c>
      <c r="M526" s="306">
        <f t="shared" ca="1" si="248"/>
        <v>1.4369849448168857</v>
      </c>
      <c r="N526" s="304">
        <f t="shared" ca="1" si="249"/>
        <v>82.33317256184705</v>
      </c>
      <c r="P526" s="310">
        <f t="shared" ca="1" si="250"/>
        <v>23</v>
      </c>
      <c r="Q526" s="304">
        <f t="shared" ca="1" si="251"/>
        <v>0</v>
      </c>
      <c r="R526" s="306">
        <f t="shared" ca="1" si="252"/>
        <v>0</v>
      </c>
      <c r="S526" s="307">
        <f t="shared" ca="1" si="253"/>
        <v>9.137999999999975</v>
      </c>
      <c r="T526" s="304">
        <f t="shared" ca="1" si="233"/>
        <v>89.643779999999765</v>
      </c>
      <c r="U526" s="311">
        <f t="shared" ca="1" si="234"/>
        <v>0</v>
      </c>
      <c r="V526" s="306">
        <f t="shared" ca="1" si="235"/>
        <v>1.0668143008024433</v>
      </c>
      <c r="W526" s="304">
        <f t="shared" ca="1" si="236"/>
        <v>114.868401525632</v>
      </c>
      <c r="Y526" s="314" t="str">
        <f t="shared" ca="1" si="254"/>
        <v/>
      </c>
      <c r="Z526" s="315" t="str">
        <f t="shared" ca="1" si="255"/>
        <v/>
      </c>
      <c r="AA526" s="316" t="str">
        <f t="shared" ca="1" si="256"/>
        <v/>
      </c>
      <c r="AC526" s="310" t="e">
        <f t="shared" ca="1" si="257"/>
        <v>#N/A</v>
      </c>
      <c r="AD526" s="323" t="e">
        <f t="shared" ca="1" si="258"/>
        <v>#N/A</v>
      </c>
      <c r="AE526" s="324">
        <f t="shared" ca="1" si="237"/>
        <v>1380.4408074613225</v>
      </c>
      <c r="AG526" s="306">
        <f t="shared" ca="1" si="259"/>
        <v>-22.602702915102569</v>
      </c>
      <c r="AH526" s="304">
        <f t="shared" ca="1" si="260"/>
        <v>-12.879555693836963</v>
      </c>
    </row>
    <row r="527" spans="1:34" x14ac:dyDescent="0.2">
      <c r="A527" s="347">
        <f t="shared" ca="1" si="238"/>
        <v>0.1</v>
      </c>
      <c r="B527" s="304">
        <f t="shared" ca="1" si="239"/>
        <v>7.2999999999999297</v>
      </c>
      <c r="D527" s="306">
        <f t="shared" ca="1" si="240"/>
        <v>-1.6770486570708645</v>
      </c>
      <c r="E527" s="307">
        <f t="shared" ca="1" si="241"/>
        <v>-22.268037624928922</v>
      </c>
      <c r="F527" s="304">
        <f t="shared" ca="1" si="242"/>
        <v>22.331099208579797</v>
      </c>
      <c r="G527" s="306">
        <f t="shared" ca="1" si="243"/>
        <v>26.756610072105005</v>
      </c>
      <c r="H527" s="307">
        <f t="shared" ca="1" si="244"/>
        <v>197.78178102511305</v>
      </c>
      <c r="I527" s="304">
        <f t="shared" ca="1" si="245"/>
        <v>199.58343891219141</v>
      </c>
      <c r="J527" s="306">
        <f t="shared" ca="1" si="246"/>
        <v>166.44776786690403</v>
      </c>
      <c r="K527" s="307">
        <f t="shared" ca="1" si="247"/>
        <v>1400.3303257519585</v>
      </c>
      <c r="L527" s="304">
        <f t="shared" ca="1" si="232"/>
        <v>1410.1878884207101</v>
      </c>
      <c r="M527" s="306">
        <f t="shared" ca="1" si="248"/>
        <v>1.4363291910766225</v>
      </c>
      <c r="N527" s="304">
        <f t="shared" ca="1" si="249"/>
        <v>82.295600640130047</v>
      </c>
      <c r="P527" s="310">
        <f t="shared" ca="1" si="250"/>
        <v>23</v>
      </c>
      <c r="Q527" s="304">
        <f t="shared" ca="1" si="251"/>
        <v>0</v>
      </c>
      <c r="R527" s="306">
        <f t="shared" ca="1" si="252"/>
        <v>0</v>
      </c>
      <c r="S527" s="307">
        <f t="shared" ca="1" si="253"/>
        <v>9.137999999999975</v>
      </c>
      <c r="T527" s="304">
        <f t="shared" ca="1" si="233"/>
        <v>89.643779999999765</v>
      </c>
      <c r="U527" s="311">
        <f t="shared" ca="1" si="234"/>
        <v>0</v>
      </c>
      <c r="V527" s="306">
        <f t="shared" ca="1" si="235"/>
        <v>1.0646842830989458</v>
      </c>
      <c r="W527" s="304">
        <f t="shared" ca="1" si="236"/>
        <v>112.12042865838848</v>
      </c>
      <c r="Y527" s="314" t="str">
        <f t="shared" ca="1" si="254"/>
        <v/>
      </c>
      <c r="Z527" s="315" t="str">
        <f t="shared" ca="1" si="255"/>
        <v/>
      </c>
      <c r="AA527" s="316" t="str">
        <f t="shared" ca="1" si="256"/>
        <v/>
      </c>
      <c r="AC527" s="310" t="e">
        <f t="shared" ca="1" si="257"/>
        <v>#N/A</v>
      </c>
      <c r="AD527" s="323" t="e">
        <f t="shared" ca="1" si="258"/>
        <v>#N/A</v>
      </c>
      <c r="AE527" s="324">
        <f t="shared" ca="1" si="237"/>
        <v>1400.3303257519585</v>
      </c>
      <c r="AG527" s="306">
        <f t="shared" ca="1" si="259"/>
        <v>-22.292714008001489</v>
      </c>
      <c r="AH527" s="304">
        <f t="shared" ca="1" si="260"/>
        <v>-12.570409446884691</v>
      </c>
    </row>
    <row r="528" spans="1:34" x14ac:dyDescent="0.2">
      <c r="A528" s="347">
        <f t="shared" ca="1" si="238"/>
        <v>0.1</v>
      </c>
      <c r="B528" s="304">
        <f t="shared" ca="1" si="239"/>
        <v>7.3999999999999293</v>
      </c>
      <c r="D528" s="306">
        <f t="shared" ca="1" si="240"/>
        <v>-1.6449025882940662</v>
      </c>
      <c r="E528" s="307">
        <f t="shared" ca="1" si="241"/>
        <v>-21.968930546466801</v>
      </c>
      <c r="F528" s="304">
        <f t="shared" ca="1" si="242"/>
        <v>22.030424732184773</v>
      </c>
      <c r="G528" s="306">
        <f t="shared" ca="1" si="243"/>
        <v>26.592119813275598</v>
      </c>
      <c r="H528" s="307">
        <f t="shared" ca="1" si="244"/>
        <v>195.58488797046635</v>
      </c>
      <c r="I528" s="304">
        <f t="shared" ca="1" si="245"/>
        <v>197.38436928638367</v>
      </c>
      <c r="J528" s="306">
        <f t="shared" ca="1" si="246"/>
        <v>169.11520436117306</v>
      </c>
      <c r="K528" s="307">
        <f t="shared" ca="1" si="247"/>
        <v>1419.9986592017376</v>
      </c>
      <c r="L528" s="304">
        <f t="shared" ca="1" si="232"/>
        <v>1430.0336165562171</v>
      </c>
      <c r="M528" s="306">
        <f t="shared" ca="1" si="248"/>
        <v>1.4356629017297988</v>
      </c>
      <c r="N528" s="304">
        <f t="shared" ca="1" si="249"/>
        <v>82.257425072622524</v>
      </c>
      <c r="P528" s="310">
        <f t="shared" ca="1" si="250"/>
        <v>23</v>
      </c>
      <c r="Q528" s="304">
        <f t="shared" ca="1" si="251"/>
        <v>0</v>
      </c>
      <c r="R528" s="306">
        <f t="shared" ca="1" si="252"/>
        <v>0</v>
      </c>
      <c r="S528" s="307">
        <f t="shared" ca="1" si="253"/>
        <v>9.137999999999975</v>
      </c>
      <c r="T528" s="304">
        <f t="shared" ca="1" si="233"/>
        <v>89.643779999999765</v>
      </c>
      <c r="U528" s="311">
        <f t="shared" ca="1" si="234"/>
        <v>0</v>
      </c>
      <c r="V528" s="306">
        <f t="shared" ca="1" si="235"/>
        <v>1.0625818425390179</v>
      </c>
      <c r="W528" s="304">
        <f t="shared" ca="1" si="236"/>
        <v>109.44673504188286</v>
      </c>
      <c r="Y528" s="314" t="str">
        <f t="shared" ca="1" si="254"/>
        <v/>
      </c>
      <c r="Z528" s="315" t="str">
        <f t="shared" ca="1" si="255"/>
        <v/>
      </c>
      <c r="AA528" s="316" t="str">
        <f t="shared" ca="1" si="256"/>
        <v/>
      </c>
      <c r="AC528" s="310" t="e">
        <f t="shared" ca="1" si="257"/>
        <v>#N/A</v>
      </c>
      <c r="AD528" s="323" t="e">
        <f t="shared" ca="1" si="258"/>
        <v>#N/A</v>
      </c>
      <c r="AE528" s="324">
        <f t="shared" ca="1" si="237"/>
        <v>1419.9986592017376</v>
      </c>
      <c r="AG528" s="306">
        <f t="shared" ca="1" si="259"/>
        <v>-21.991134393619731</v>
      </c>
      <c r="AH528" s="304">
        <f t="shared" ca="1" si="260"/>
        <v>-12.269690157407396</v>
      </c>
    </row>
    <row r="529" spans="1:34" x14ac:dyDescent="0.2">
      <c r="A529" s="347">
        <f t="shared" ca="1" si="238"/>
        <v>0.1</v>
      </c>
      <c r="B529" s="304">
        <f t="shared" ca="1" si="239"/>
        <v>7.4999999999999289</v>
      </c>
      <c r="D529" s="306">
        <f t="shared" ca="1" si="240"/>
        <v>-1.6135850347252052</v>
      </c>
      <c r="E529" s="307">
        <f t="shared" ca="1" si="241"/>
        <v>-21.677908630962047</v>
      </c>
      <c r="F529" s="304">
        <f t="shared" ca="1" si="242"/>
        <v>21.737878904728216</v>
      </c>
      <c r="G529" s="306">
        <f t="shared" ca="1" si="243"/>
        <v>26.430761309803078</v>
      </c>
      <c r="H529" s="307">
        <f t="shared" ca="1" si="244"/>
        <v>193.41709710737015</v>
      </c>
      <c r="I529" s="304">
        <f t="shared" ca="1" si="245"/>
        <v>195.21464749566729</v>
      </c>
      <c r="J529" s="306">
        <f t="shared" ca="1" si="246"/>
        <v>171.76634841732698</v>
      </c>
      <c r="K529" s="307">
        <f t="shared" ca="1" si="247"/>
        <v>1439.4487584556293</v>
      </c>
      <c r="L529" s="304">
        <f t="shared" ca="1" si="232"/>
        <v>1449.6607902085493</v>
      </c>
      <c r="M529" s="306">
        <f t="shared" ca="1" si="248"/>
        <v>1.434985888991368</v>
      </c>
      <c r="N529" s="304">
        <f t="shared" ca="1" si="249"/>
        <v>82.21863510003385</v>
      </c>
      <c r="P529" s="310">
        <f t="shared" ca="1" si="250"/>
        <v>23</v>
      </c>
      <c r="Q529" s="304">
        <f t="shared" ca="1" si="251"/>
        <v>0</v>
      </c>
      <c r="R529" s="306">
        <f t="shared" ca="1" si="252"/>
        <v>0</v>
      </c>
      <c r="S529" s="307">
        <f t="shared" ca="1" si="253"/>
        <v>9.137999999999975</v>
      </c>
      <c r="T529" s="304">
        <f t="shared" ca="1" si="233"/>
        <v>89.643779999999765</v>
      </c>
      <c r="U529" s="311">
        <f t="shared" ca="1" si="234"/>
        <v>0</v>
      </c>
      <c r="V529" s="306">
        <f t="shared" ca="1" si="235"/>
        <v>1.0605065236075439</v>
      </c>
      <c r="W529" s="304">
        <f t="shared" ca="1" si="236"/>
        <v>106.84471616168146</v>
      </c>
      <c r="Y529" s="314" t="str">
        <f t="shared" ca="1" si="254"/>
        <v/>
      </c>
      <c r="Z529" s="315" t="str">
        <f t="shared" ca="1" si="255"/>
        <v/>
      </c>
      <c r="AA529" s="316" t="str">
        <f t="shared" ca="1" si="256"/>
        <v/>
      </c>
      <c r="AC529" s="310" t="e">
        <f t="shared" ca="1" si="257"/>
        <v>#N/A</v>
      </c>
      <c r="AD529" s="323" t="e">
        <f t="shared" ca="1" si="258"/>
        <v>#N/A</v>
      </c>
      <c r="AE529" s="324">
        <f t="shared" ca="1" si="237"/>
        <v>1439.4487584556293</v>
      </c>
      <c r="AG529" s="306">
        <f t="shared" ca="1" si="259"/>
        <v>-21.697665286652875</v>
      </c>
      <c r="AH529" s="304">
        <f t="shared" ca="1" si="260"/>
        <v>-11.977099479304352</v>
      </c>
    </row>
    <row r="530" spans="1:34" x14ac:dyDescent="0.2">
      <c r="A530" s="347">
        <f t="shared" ca="1" si="238"/>
        <v>0.1</v>
      </c>
      <c r="B530" s="304">
        <f t="shared" ca="1" si="239"/>
        <v>7.5999999999999286</v>
      </c>
      <c r="D530" s="306">
        <f t="shared" ca="1" si="240"/>
        <v>-1.5830665331621059</v>
      </c>
      <c r="E530" s="307">
        <f t="shared" ca="1" si="241"/>
        <v>-21.39468837817688</v>
      </c>
      <c r="F530" s="304">
        <f t="shared" ca="1" si="242"/>
        <v>21.453176698282114</v>
      </c>
      <c r="G530" s="306">
        <f t="shared" ca="1" si="243"/>
        <v>26.272454656486868</v>
      </c>
      <c r="H530" s="307">
        <f t="shared" ca="1" si="244"/>
        <v>191.27762826955245</v>
      </c>
      <c r="I530" s="304">
        <f t="shared" ca="1" si="245"/>
        <v>193.07349106001644</v>
      </c>
      <c r="J530" s="306">
        <f t="shared" ca="1" si="246"/>
        <v>174.40150921564148</v>
      </c>
      <c r="K530" s="307">
        <f t="shared" ca="1" si="247"/>
        <v>1458.6834947244754</v>
      </c>
      <c r="L530" s="304">
        <f t="shared" ca="1" si="232"/>
        <v>1469.0723005346954</v>
      </c>
      <c r="M530" s="306">
        <f t="shared" ca="1" si="248"/>
        <v>1.4342979599179209</v>
      </c>
      <c r="N530" s="304">
        <f t="shared" ca="1" si="249"/>
        <v>82.179219667520982</v>
      </c>
      <c r="P530" s="310">
        <f t="shared" ca="1" si="250"/>
        <v>23</v>
      </c>
      <c r="Q530" s="304">
        <f t="shared" ca="1" si="251"/>
        <v>0</v>
      </c>
      <c r="R530" s="306">
        <f t="shared" ca="1" si="252"/>
        <v>0</v>
      </c>
      <c r="S530" s="307">
        <f t="shared" ca="1" si="253"/>
        <v>9.137999999999975</v>
      </c>
      <c r="T530" s="304">
        <f t="shared" ca="1" si="233"/>
        <v>89.643779999999765</v>
      </c>
      <c r="U530" s="311">
        <f t="shared" ca="1" si="234"/>
        <v>0</v>
      </c>
      <c r="V530" s="306">
        <f t="shared" ca="1" si="235"/>
        <v>1.0584578837069123</v>
      </c>
      <c r="W530" s="304">
        <f t="shared" ca="1" si="236"/>
        <v>104.31188277832199</v>
      </c>
      <c r="Y530" s="314" t="str">
        <f t="shared" ca="1" si="254"/>
        <v/>
      </c>
      <c r="Z530" s="315" t="str">
        <f t="shared" ca="1" si="255"/>
        <v/>
      </c>
      <c r="AA530" s="316" t="str">
        <f t="shared" ca="1" si="256"/>
        <v/>
      </c>
      <c r="AC530" s="310" t="e">
        <f t="shared" ca="1" si="257"/>
        <v>#N/A</v>
      </c>
      <c r="AD530" s="323" t="e">
        <f t="shared" ca="1" si="258"/>
        <v>#N/A</v>
      </c>
      <c r="AE530" s="324">
        <f t="shared" ca="1" si="237"/>
        <v>1458.6834947244754</v>
      </c>
      <c r="AG530" s="306">
        <f t="shared" ca="1" si="259"/>
        <v>-21.412021213172942</v>
      </c>
      <c r="AH530" s="304">
        <f t="shared" ca="1" si="260"/>
        <v>-11.692352392392401</v>
      </c>
    </row>
    <row r="531" spans="1:34" x14ac:dyDescent="0.2">
      <c r="A531" s="347">
        <f t="shared" ca="1" si="238"/>
        <v>0.1</v>
      </c>
      <c r="B531" s="304">
        <f t="shared" ca="1" si="239"/>
        <v>7.6999999999999282</v>
      </c>
      <c r="D531" s="306">
        <f t="shared" ca="1" si="240"/>
        <v>-1.5533189207865672</v>
      </c>
      <c r="E531" s="307">
        <f t="shared" ca="1" si="241"/>
        <v>-21.118998835436784</v>
      </c>
      <c r="F531" s="304">
        <f t="shared" ca="1" si="242"/>
        <v>21.176045699819731</v>
      </c>
      <c r="G531" s="306">
        <f t="shared" ca="1" si="243"/>
        <v>26.117122764408212</v>
      </c>
      <c r="H531" s="307">
        <f t="shared" ca="1" si="244"/>
        <v>189.16572838600877</v>
      </c>
      <c r="I531" s="304">
        <f t="shared" ca="1" si="245"/>
        <v>190.96014478759807</v>
      </c>
      <c r="J531" s="306">
        <f t="shared" ca="1" si="246"/>
        <v>177.02098808668623</v>
      </c>
      <c r="K531" s="307">
        <f t="shared" ca="1" si="247"/>
        <v>1477.7056625572534</v>
      </c>
      <c r="L531" s="304">
        <f t="shared" ca="1" si="232"/>
        <v>1488.2709616790073</v>
      </c>
      <c r="M531" s="306">
        <f t="shared" ca="1" si="248"/>
        <v>1.4335989162449505</v>
      </c>
      <c r="N531" s="304">
        <f t="shared" ca="1" si="249"/>
        <v>82.139167415364454</v>
      </c>
      <c r="P531" s="310">
        <f t="shared" ca="1" si="250"/>
        <v>23</v>
      </c>
      <c r="Q531" s="304">
        <f t="shared" ca="1" si="251"/>
        <v>0</v>
      </c>
      <c r="R531" s="306">
        <f t="shared" ca="1" si="252"/>
        <v>0</v>
      </c>
      <c r="S531" s="307">
        <f t="shared" ca="1" si="253"/>
        <v>9.137999999999975</v>
      </c>
      <c r="T531" s="304">
        <f t="shared" ca="1" si="233"/>
        <v>89.643779999999765</v>
      </c>
      <c r="U531" s="311">
        <f t="shared" ca="1" si="234"/>
        <v>0</v>
      </c>
      <c r="V531" s="306">
        <f t="shared" ca="1" si="235"/>
        <v>1.056435492685013</v>
      </c>
      <c r="W531" s="304">
        <f t="shared" ca="1" si="236"/>
        <v>101.84585483304025</v>
      </c>
      <c r="Y531" s="314" t="str">
        <f t="shared" ca="1" si="254"/>
        <v/>
      </c>
      <c r="Z531" s="315" t="str">
        <f t="shared" ca="1" si="255"/>
        <v/>
      </c>
      <c r="AA531" s="316" t="str">
        <f t="shared" ca="1" si="256"/>
        <v/>
      </c>
      <c r="AC531" s="310" t="e">
        <f t="shared" ca="1" si="257"/>
        <v>#N/A</v>
      </c>
      <c r="AD531" s="323" t="e">
        <f t="shared" ca="1" si="258"/>
        <v>#N/A</v>
      </c>
      <c r="AE531" s="324">
        <f t="shared" ca="1" si="237"/>
        <v>1477.7056625572534</v>
      </c>
      <c r="AG531" s="306">
        <f t="shared" ca="1" si="259"/>
        <v>-21.133929299050344</v>
      </c>
      <c r="AH531" s="304">
        <f t="shared" ca="1" si="260"/>
        <v>-11.415176491390049</v>
      </c>
    </row>
    <row r="532" spans="1:34" x14ac:dyDescent="0.2">
      <c r="A532" s="347">
        <f t="shared" ca="1" si="238"/>
        <v>0.1</v>
      </c>
      <c r="B532" s="304">
        <f t="shared" ca="1" si="239"/>
        <v>7.7999999999999279</v>
      </c>
      <c r="D532" s="306">
        <f t="shared" ca="1" si="240"/>
        <v>-1.5243152663593342</v>
      </c>
      <c r="E532" s="307">
        <f t="shared" ca="1" si="241"/>
        <v>-20.850580934272372</v>
      </c>
      <c r="F532" s="304">
        <f t="shared" ca="1" si="242"/>
        <v>20.906225444300045</v>
      </c>
      <c r="G532" s="306">
        <f t="shared" ca="1" si="243"/>
        <v>25.964691237772278</v>
      </c>
      <c r="H532" s="307">
        <f t="shared" ca="1" si="244"/>
        <v>187.08067029258152</v>
      </c>
      <c r="I532" s="304">
        <f t="shared" ca="1" si="245"/>
        <v>188.87387958157274</v>
      </c>
      <c r="J532" s="306">
        <f t="shared" ca="1" si="246"/>
        <v>179.62507878679526</v>
      </c>
      <c r="K532" s="307">
        <f t="shared" ca="1" si="247"/>
        <v>1496.5179824911829</v>
      </c>
      <c r="L532" s="304">
        <f t="shared" ca="1" si="232"/>
        <v>1507.2595134377632</v>
      </c>
      <c r="M532" s="306">
        <f t="shared" ca="1" si="248"/>
        <v>1.4328885542176153</v>
      </c>
      <c r="N532" s="304">
        <f t="shared" ca="1" si="249"/>
        <v>82.098466669271787</v>
      </c>
      <c r="P532" s="310">
        <f t="shared" ca="1" si="250"/>
        <v>23</v>
      </c>
      <c r="Q532" s="304">
        <f t="shared" ca="1" si="251"/>
        <v>0</v>
      </c>
      <c r="R532" s="306">
        <f t="shared" ca="1" si="252"/>
        <v>0</v>
      </c>
      <c r="S532" s="307">
        <f t="shared" ca="1" si="253"/>
        <v>9.137999999999975</v>
      </c>
      <c r="T532" s="304">
        <f t="shared" ca="1" si="233"/>
        <v>89.643779999999765</v>
      </c>
      <c r="U532" s="311">
        <f t="shared" ca="1" si="234"/>
        <v>0</v>
      </c>
      <c r="V532" s="306">
        <f t="shared" ca="1" si="235"/>
        <v>1.0544389323847836</v>
      </c>
      <c r="W532" s="304">
        <f t="shared" ca="1" si="236"/>
        <v>99.444355728076204</v>
      </c>
      <c r="Y532" s="314" t="str">
        <f t="shared" ca="1" si="254"/>
        <v/>
      </c>
      <c r="Z532" s="315" t="str">
        <f t="shared" ca="1" si="255"/>
        <v/>
      </c>
      <c r="AA532" s="316" t="str">
        <f t="shared" ca="1" si="256"/>
        <v/>
      </c>
      <c r="AC532" s="310" t="e">
        <f t="shared" ca="1" si="257"/>
        <v>#N/A</v>
      </c>
      <c r="AD532" s="323" t="e">
        <f t="shared" ca="1" si="258"/>
        <v>#N/A</v>
      </c>
      <c r="AE532" s="324">
        <f t="shared" ca="1" si="237"/>
        <v>1496.5179824911829</v>
      </c>
      <c r="AG532" s="306">
        <f t="shared" ca="1" si="259"/>
        <v>-20.863128602450516</v>
      </c>
      <c r="AH532" s="304">
        <f t="shared" ca="1" si="260"/>
        <v>-11.145311319002028</v>
      </c>
    </row>
    <row r="533" spans="1:34" x14ac:dyDescent="0.2">
      <c r="A533" s="347">
        <f t="shared" ca="1" si="238"/>
        <v>0.1</v>
      </c>
      <c r="B533" s="304">
        <f t="shared" ca="1" si="239"/>
        <v>7.8999999999999275</v>
      </c>
      <c r="D533" s="306">
        <f t="shared" ca="1" si="240"/>
        <v>-1.4960298056439716</v>
      </c>
      <c r="E533" s="307">
        <f t="shared" ca="1" si="241"/>
        <v>-20.589186867833824</v>
      </c>
      <c r="F533" s="304">
        <f t="shared" ca="1" si="242"/>
        <v>20.643466788743499</v>
      </c>
      <c r="G533" s="306">
        <f t="shared" ca="1" si="243"/>
        <v>25.815088257207883</v>
      </c>
      <c r="H533" s="307">
        <f t="shared" ca="1" si="244"/>
        <v>185.02175160579813</v>
      </c>
      <c r="I533" s="304">
        <f t="shared" ca="1" si="245"/>
        <v>186.81399130955126</v>
      </c>
      <c r="J533" s="306">
        <f t="shared" ca="1" si="246"/>
        <v>182.21406776154427</v>
      </c>
      <c r="K533" s="307">
        <f t="shared" ca="1" si="247"/>
        <v>1515.1231035861019</v>
      </c>
      <c r="L533" s="304">
        <f t="shared" ca="1" si="232"/>
        <v>1526.0406238074368</v>
      </c>
      <c r="M533" s="306">
        <f t="shared" ca="1" si="248"/>
        <v>1.4321666644146998</v>
      </c>
      <c r="N533" s="304">
        <f t="shared" ca="1" si="249"/>
        <v>82.057105430291202</v>
      </c>
      <c r="P533" s="310">
        <f t="shared" ca="1" si="250"/>
        <v>23</v>
      </c>
      <c r="Q533" s="304">
        <f t="shared" ca="1" si="251"/>
        <v>0</v>
      </c>
      <c r="R533" s="306">
        <f t="shared" ca="1" si="252"/>
        <v>0</v>
      </c>
      <c r="S533" s="307">
        <f t="shared" ca="1" si="253"/>
        <v>9.137999999999975</v>
      </c>
      <c r="T533" s="304">
        <f t="shared" ca="1" si="233"/>
        <v>89.643779999999765</v>
      </c>
      <c r="U533" s="311">
        <f t="shared" ca="1" si="234"/>
        <v>0</v>
      </c>
      <c r="V533" s="306">
        <f t="shared" ca="1" si="235"/>
        <v>1.0524677962141322</v>
      </c>
      <c r="W533" s="304">
        <f t="shared" ca="1" si="236"/>
        <v>97.105206955389178</v>
      </c>
      <c r="Y533" s="314" t="str">
        <f t="shared" ca="1" si="254"/>
        <v/>
      </c>
      <c r="Z533" s="315" t="str">
        <f t="shared" ca="1" si="255"/>
        <v/>
      </c>
      <c r="AA533" s="316" t="str">
        <f t="shared" ca="1" si="256"/>
        <v/>
      </c>
      <c r="AC533" s="310" t="e">
        <f t="shared" ca="1" si="257"/>
        <v>#N/A</v>
      </c>
      <c r="AD533" s="323" t="e">
        <f t="shared" ca="1" si="258"/>
        <v>#N/A</v>
      </c>
      <c r="AE533" s="324">
        <f t="shared" ca="1" si="237"/>
        <v>1515.1231035861019</v>
      </c>
      <c r="AG533" s="306">
        <f t="shared" ca="1" si="259"/>
        <v>-20.599369487294677</v>
      </c>
      <c r="AH533" s="304">
        <f t="shared" ca="1" si="260"/>
        <v>-10.882507739995237</v>
      </c>
    </row>
    <row r="534" spans="1:34" x14ac:dyDescent="0.2">
      <c r="A534" s="347">
        <f t="shared" ca="1" si="238"/>
        <v>0.1</v>
      </c>
      <c r="B534" s="304">
        <f t="shared" ca="1" si="239"/>
        <v>7.9999999999999272</v>
      </c>
      <c r="D534" s="306">
        <f t="shared" ca="1" si="240"/>
        <v>-1.4684378807642688</v>
      </c>
      <c r="E534" s="307">
        <f t="shared" ca="1" si="241"/>
        <v>-20.334579506229311</v>
      </c>
      <c r="F534" s="304">
        <f t="shared" ca="1" si="242"/>
        <v>20.387531324435152</v>
      </c>
      <c r="G534" s="306">
        <f t="shared" ca="1" si="243"/>
        <v>25.668244469131455</v>
      </c>
      <c r="H534" s="307">
        <f t="shared" ca="1" si="244"/>
        <v>182.9882936551752</v>
      </c>
      <c r="I534" s="304">
        <f t="shared" ca="1" si="245"/>
        <v>184.77979973189636</v>
      </c>
      <c r="J534" s="306">
        <f t="shared" ca="1" si="246"/>
        <v>184.78823439786123</v>
      </c>
      <c r="K534" s="307">
        <f t="shared" ca="1" si="247"/>
        <v>1533.5236058491505</v>
      </c>
      <c r="L534" s="304">
        <f t="shared" ca="1" si="232"/>
        <v>1544.6168914227435</v>
      </c>
      <c r="M534" s="306">
        <f t="shared" ca="1" si="248"/>
        <v>1.4314330315654755</v>
      </c>
      <c r="N534" s="304">
        <f t="shared" ca="1" si="249"/>
        <v>82.015071364318501</v>
      </c>
      <c r="P534" s="310">
        <f t="shared" ca="1" si="250"/>
        <v>23</v>
      </c>
      <c r="Q534" s="304">
        <f t="shared" ca="1" si="251"/>
        <v>0</v>
      </c>
      <c r="R534" s="306">
        <f t="shared" ca="1" si="252"/>
        <v>0</v>
      </c>
      <c r="S534" s="307">
        <f t="shared" ca="1" si="253"/>
        <v>9.137999999999975</v>
      </c>
      <c r="T534" s="304">
        <f t="shared" ca="1" si="233"/>
        <v>89.643779999999765</v>
      </c>
      <c r="U534" s="311">
        <f t="shared" ca="1" si="234"/>
        <v>0</v>
      </c>
      <c r="V534" s="306">
        <f t="shared" ca="1" si="235"/>
        <v>1.0505216887351467</v>
      </c>
      <c r="W534" s="304">
        <f t="shared" ca="1" si="236"/>
        <v>94.826323049655883</v>
      </c>
      <c r="Y534" s="314" t="str">
        <f t="shared" ca="1" si="254"/>
        <v/>
      </c>
      <c r="Z534" s="315" t="str">
        <f t="shared" ca="1" si="255"/>
        <v/>
      </c>
      <c r="AA534" s="316" t="str">
        <f t="shared" ca="1" si="256"/>
        <v/>
      </c>
      <c r="AC534" s="310">
        <f t="shared" ca="1" si="257"/>
        <v>7.9999999999999272</v>
      </c>
      <c r="AD534" s="323">
        <f t="shared" ca="1" si="258"/>
        <v>184.78823439786123</v>
      </c>
      <c r="AE534" s="324">
        <f t="shared" ca="1" si="237"/>
        <v>1533.5236058491505</v>
      </c>
      <c r="AG534" s="306">
        <f t="shared" ca="1" si="259"/>
        <v>-20.342413034819486</v>
      </c>
      <c r="AH534" s="304">
        <f t="shared" ca="1" si="260"/>
        <v>-10.626527353402215</v>
      </c>
    </row>
    <row r="535" spans="1:34" x14ac:dyDescent="0.2">
      <c r="A535" s="347">
        <f t="shared" ca="1" si="238"/>
        <v>0.1</v>
      </c>
      <c r="B535" s="304">
        <f t="shared" ca="1" si="239"/>
        <v>8.0999999999999268</v>
      </c>
      <c r="D535" s="306">
        <f t="shared" ca="1" si="240"/>
        <v>-1.4415158832226849</v>
      </c>
      <c r="E535" s="307">
        <f t="shared" ca="1" si="241"/>
        <v>-20.086531847161332</v>
      </c>
      <c r="F535" s="304">
        <f t="shared" ca="1" si="242"/>
        <v>20.138190824615048</v>
      </c>
      <c r="G535" s="306">
        <f t="shared" ca="1" si="243"/>
        <v>25.524092880809185</v>
      </c>
      <c r="H535" s="307">
        <f t="shared" ca="1" si="244"/>
        <v>180.97964047045906</v>
      </c>
      <c r="I535" s="304">
        <f t="shared" ca="1" si="245"/>
        <v>182.77064748532462</v>
      </c>
      <c r="J535" s="306">
        <f t="shared" ca="1" si="246"/>
        <v>187.34785126535826</v>
      </c>
      <c r="K535" s="307">
        <f t="shared" ca="1" si="247"/>
        <v>1551.7220025554323</v>
      </c>
      <c r="L535" s="304">
        <f t="shared" ca="1" si="232"/>
        <v>1562.9908478901557</v>
      </c>
      <c r="M535" s="306">
        <f t="shared" ca="1" si="248"/>
        <v>1.4306874343591278</v>
      </c>
      <c r="N535" s="304">
        <f t="shared" ca="1" si="249"/>
        <v>81.972351791178028</v>
      </c>
      <c r="P535" s="310">
        <f t="shared" ca="1" si="250"/>
        <v>23</v>
      </c>
      <c r="Q535" s="304">
        <f t="shared" ca="1" si="251"/>
        <v>0</v>
      </c>
      <c r="R535" s="306">
        <f t="shared" ca="1" si="252"/>
        <v>0</v>
      </c>
      <c r="S535" s="307">
        <f t="shared" ca="1" si="253"/>
        <v>9.137999999999975</v>
      </c>
      <c r="T535" s="304">
        <f t="shared" ca="1" si="233"/>
        <v>89.643779999999765</v>
      </c>
      <c r="U535" s="311">
        <f t="shared" ca="1" si="234"/>
        <v>0</v>
      </c>
      <c r="V535" s="306">
        <f t="shared" ca="1" si="235"/>
        <v>1.0486002252715572</v>
      </c>
      <c r="W535" s="304">
        <f t="shared" ca="1" si="236"/>
        <v>92.605706843294328</v>
      </c>
      <c r="Y535" s="314" t="str">
        <f t="shared" ca="1" si="254"/>
        <v/>
      </c>
      <c r="Z535" s="315" t="str">
        <f t="shared" ca="1" si="255"/>
        <v/>
      </c>
      <c r="AA535" s="316" t="str">
        <f t="shared" ca="1" si="256"/>
        <v/>
      </c>
      <c r="AC535" s="310" t="e">
        <f t="shared" ca="1" si="257"/>
        <v>#N/A</v>
      </c>
      <c r="AD535" s="323" t="e">
        <f t="shared" ca="1" si="258"/>
        <v>#N/A</v>
      </c>
      <c r="AE535" s="324">
        <f t="shared" ca="1" si="237"/>
        <v>1551.7220025554323</v>
      </c>
      <c r="AG535" s="306">
        <f t="shared" ca="1" si="259"/>
        <v>-20.092030490593821</v>
      </c>
      <c r="AH535" s="304">
        <f t="shared" ca="1" si="260"/>
        <v>-10.377141940211878</v>
      </c>
    </row>
    <row r="536" spans="1:34" x14ac:dyDescent="0.2">
      <c r="A536" s="347">
        <f t="shared" ca="1" si="238"/>
        <v>0.1</v>
      </c>
      <c r="B536" s="304">
        <f t="shared" ca="1" si="239"/>
        <v>8.1999999999999265</v>
      </c>
      <c r="D536" s="306">
        <f t="shared" ca="1" si="240"/>
        <v>-1.4152412003286783</v>
      </c>
      <c r="E536" s="307">
        <f t="shared" ca="1" si="241"/>
        <v>-19.84482649943817</v>
      </c>
      <c r="F536" s="304">
        <f t="shared" ca="1" si="242"/>
        <v>19.895226725220077</v>
      </c>
      <c r="G536" s="306">
        <f t="shared" ca="1" si="243"/>
        <v>25.382568760776316</v>
      </c>
      <c r="H536" s="307">
        <f t="shared" ca="1" si="244"/>
        <v>178.99515782051523</v>
      </c>
      <c r="I536" s="304">
        <f t="shared" ca="1" si="245"/>
        <v>180.78589911850617</v>
      </c>
      <c r="J536" s="306">
        <f t="shared" ca="1" si="246"/>
        <v>189.89318434743754</v>
      </c>
      <c r="K536" s="307">
        <f t="shared" ca="1" si="247"/>
        <v>1569.7207424699809</v>
      </c>
      <c r="L536" s="304">
        <f t="shared" ca="1" si="232"/>
        <v>1581.1649600222356</v>
      </c>
      <c r="M536" s="306">
        <f t="shared" ca="1" si="248"/>
        <v>1.429929645246415</v>
      </c>
      <c r="N536" s="304">
        <f t="shared" ca="1" si="249"/>
        <v>81.928933673258612</v>
      </c>
      <c r="P536" s="310">
        <f t="shared" ca="1" si="250"/>
        <v>23</v>
      </c>
      <c r="Q536" s="304">
        <f t="shared" ca="1" si="251"/>
        <v>0</v>
      </c>
      <c r="R536" s="306">
        <f t="shared" ca="1" si="252"/>
        <v>0</v>
      </c>
      <c r="S536" s="307">
        <f t="shared" ca="1" si="253"/>
        <v>9.137999999999975</v>
      </c>
      <c r="T536" s="304">
        <f t="shared" ca="1" si="233"/>
        <v>89.643779999999765</v>
      </c>
      <c r="U536" s="311">
        <f t="shared" ca="1" si="234"/>
        <v>0</v>
      </c>
      <c r="V536" s="306">
        <f t="shared" ca="1" si="235"/>
        <v>1.0467030315334966</v>
      </c>
      <c r="W536" s="304">
        <f t="shared" ca="1" si="236"/>
        <v>90.441445002965835</v>
      </c>
      <c r="Y536" s="314" t="str">
        <f t="shared" ca="1" si="254"/>
        <v/>
      </c>
      <c r="Z536" s="315" t="str">
        <f t="shared" ca="1" si="255"/>
        <v/>
      </c>
      <c r="AA536" s="316" t="str">
        <f t="shared" ca="1" si="256"/>
        <v/>
      </c>
      <c r="AC536" s="310" t="e">
        <f t="shared" ca="1" si="257"/>
        <v>#N/A</v>
      </c>
      <c r="AD536" s="323" t="e">
        <f t="shared" ca="1" si="258"/>
        <v>#N/A</v>
      </c>
      <c r="AE536" s="324">
        <f t="shared" ca="1" si="237"/>
        <v>1569.7207424699809</v>
      </c>
      <c r="AG536" s="306">
        <f t="shared" ca="1" si="259"/>
        <v>-19.848002744555426</v>
      </c>
      <c r="AH536" s="304">
        <f t="shared" ca="1" si="260"/>
        <v>-10.134132944111904</v>
      </c>
    </row>
    <row r="537" spans="1:34" x14ac:dyDescent="0.2">
      <c r="A537" s="347">
        <f t="shared" ca="1" si="238"/>
        <v>0.1</v>
      </c>
      <c r="B537" s="304">
        <f t="shared" ca="1" si="239"/>
        <v>8.2999999999999261</v>
      </c>
      <c r="D537" s="306">
        <f t="shared" ca="1" si="240"/>
        <v>-1.3895921648048468</v>
      </c>
      <c r="E537" s="307">
        <f t="shared" ca="1" si="241"/>
        <v>-19.609255197124021</v>
      </c>
      <c r="F537" s="304">
        <f t="shared" ca="1" si="242"/>
        <v>19.658429636428806</v>
      </c>
      <c r="G537" s="306">
        <f t="shared" ca="1" si="243"/>
        <v>25.243609544295833</v>
      </c>
      <c r="H537" s="307">
        <f t="shared" ca="1" si="244"/>
        <v>177.03423230080284</v>
      </c>
      <c r="I537" s="304">
        <f t="shared" ca="1" si="245"/>
        <v>178.82494017658578</v>
      </c>
      <c r="J537" s="306">
        <f t="shared" ca="1" si="246"/>
        <v>192.42449326269116</v>
      </c>
      <c r="K537" s="307">
        <f t="shared" ca="1" si="247"/>
        <v>1587.5222119760467</v>
      </c>
      <c r="L537" s="304">
        <f t="shared" ca="1" si="232"/>
        <v>1599.141631977832</v>
      </c>
      <c r="M537" s="306">
        <f t="shared" ca="1" si="248"/>
        <v>1.4291594302331929</v>
      </c>
      <c r="N537" s="304">
        <f t="shared" ca="1" si="249"/>
        <v>81.88480360368338</v>
      </c>
      <c r="P537" s="310">
        <f t="shared" ca="1" si="250"/>
        <v>23</v>
      </c>
      <c r="Q537" s="304">
        <f t="shared" ca="1" si="251"/>
        <v>0</v>
      </c>
      <c r="R537" s="306">
        <f t="shared" ca="1" si="252"/>
        <v>0</v>
      </c>
      <c r="S537" s="307">
        <f t="shared" ca="1" si="253"/>
        <v>9.137999999999975</v>
      </c>
      <c r="T537" s="304">
        <f t="shared" ca="1" si="233"/>
        <v>89.643779999999765</v>
      </c>
      <c r="U537" s="311">
        <f t="shared" ca="1" si="234"/>
        <v>0</v>
      </c>
      <c r="V537" s="306">
        <f t="shared" ca="1" si="235"/>
        <v>1.0448297432586502</v>
      </c>
      <c r="W537" s="304">
        <f t="shared" ca="1" si="236"/>
        <v>88.331703828569971</v>
      </c>
      <c r="Y537" s="314" t="str">
        <f t="shared" ca="1" si="254"/>
        <v/>
      </c>
      <c r="Z537" s="315" t="str">
        <f t="shared" ca="1" si="255"/>
        <v/>
      </c>
      <c r="AA537" s="316" t="str">
        <f t="shared" ca="1" si="256"/>
        <v/>
      </c>
      <c r="AC537" s="310" t="e">
        <f t="shared" ca="1" si="257"/>
        <v>#N/A</v>
      </c>
      <c r="AD537" s="323" t="e">
        <f t="shared" ca="1" si="258"/>
        <v>#N/A</v>
      </c>
      <c r="AE537" s="324">
        <f t="shared" ca="1" si="237"/>
        <v>1587.5222119760467</v>
      </c>
      <c r="AG537" s="306">
        <f t="shared" ca="1" si="259"/>
        <v>-19.610119841817127</v>
      </c>
      <c r="AH537" s="304">
        <f t="shared" ca="1" si="260"/>
        <v>-9.8972909830341518</v>
      </c>
    </row>
    <row r="538" spans="1:34" x14ac:dyDescent="0.2">
      <c r="A538" s="347">
        <f t="shared" ca="1" si="238"/>
        <v>0.1</v>
      </c>
      <c r="B538" s="304">
        <f t="shared" ca="1" si="239"/>
        <v>8.3999999999999257</v>
      </c>
      <c r="D538" s="306">
        <f t="shared" ca="1" si="240"/>
        <v>-1.3645480073566343</v>
      </c>
      <c r="E538" s="307">
        <f t="shared" ca="1" si="241"/>
        <v>-19.379618342261157</v>
      </c>
      <c r="F538" s="304">
        <f t="shared" ca="1" si="242"/>
        <v>19.427598882931623</v>
      </c>
      <c r="G538" s="306">
        <f t="shared" ca="1" si="243"/>
        <v>25.107154743560169</v>
      </c>
      <c r="H538" s="307">
        <f t="shared" ca="1" si="244"/>
        <v>175.09627046657673</v>
      </c>
      <c r="I538" s="304">
        <f t="shared" ca="1" si="245"/>
        <v>176.8871763317558</v>
      </c>
      <c r="J538" s="306">
        <f t="shared" ca="1" si="246"/>
        <v>194.94203147708396</v>
      </c>
      <c r="K538" s="307">
        <f t="shared" ca="1" si="247"/>
        <v>1605.1287371144158</v>
      </c>
      <c r="L538" s="304">
        <f t="shared" ca="1" si="232"/>
        <v>1616.9232073128678</v>
      </c>
      <c r="M538" s="306">
        <f t="shared" ca="1" si="248"/>
        <v>1.4283765486654316</v>
      </c>
      <c r="N538" s="304">
        <f t="shared" ca="1" si="249"/>
        <v>81.839947793992067</v>
      </c>
      <c r="P538" s="310">
        <f t="shared" ca="1" si="250"/>
        <v>23</v>
      </c>
      <c r="Q538" s="304">
        <f t="shared" ca="1" si="251"/>
        <v>0</v>
      </c>
      <c r="R538" s="306">
        <f t="shared" ca="1" si="252"/>
        <v>0</v>
      </c>
      <c r="S538" s="307">
        <f t="shared" ca="1" si="253"/>
        <v>9.137999999999975</v>
      </c>
      <c r="T538" s="304">
        <f t="shared" ca="1" si="233"/>
        <v>89.643779999999765</v>
      </c>
      <c r="U538" s="311">
        <f t="shared" ca="1" si="234"/>
        <v>0</v>
      </c>
      <c r="V538" s="306">
        <f t="shared" ca="1" si="235"/>
        <v>1.0429800058689418</v>
      </c>
      <c r="W538" s="304">
        <f t="shared" ca="1" si="236"/>
        <v>86.274725297180311</v>
      </c>
      <c r="Y538" s="314" t="str">
        <f t="shared" ca="1" si="254"/>
        <v/>
      </c>
      <c r="Z538" s="315" t="str">
        <f t="shared" ca="1" si="255"/>
        <v/>
      </c>
      <c r="AA538" s="316" t="str">
        <f t="shared" ca="1" si="256"/>
        <v/>
      </c>
      <c r="AC538" s="310" t="e">
        <f t="shared" ca="1" si="257"/>
        <v>#N/A</v>
      </c>
      <c r="AD538" s="323" t="e">
        <f t="shared" ca="1" si="258"/>
        <v>#N/A</v>
      </c>
      <c r="AE538" s="324">
        <f t="shared" ca="1" si="237"/>
        <v>1605.1287371144158</v>
      </c>
      <c r="AG538" s="306">
        <f t="shared" ca="1" si="259"/>
        <v>-19.378180522163227</v>
      </c>
      <c r="AH538" s="304">
        <f t="shared" ca="1" si="260"/>
        <v>-9.6664153894254987</v>
      </c>
    </row>
    <row r="539" spans="1:34" x14ac:dyDescent="0.2">
      <c r="A539" s="347">
        <f t="shared" ca="1" si="238"/>
        <v>0.1</v>
      </c>
      <c r="B539" s="304">
        <f t="shared" ca="1" si="239"/>
        <v>8.4999999999999254</v>
      </c>
      <c r="D539" s="306">
        <f t="shared" ca="1" si="240"/>
        <v>-1.3400888120073851</v>
      </c>
      <c r="E539" s="307">
        <f t="shared" ca="1" si="241"/>
        <v>-19.155724574253611</v>
      </c>
      <c r="F539" s="304">
        <f t="shared" ca="1" si="242"/>
        <v>19.202542071005364</v>
      </c>
      <c r="G539" s="306">
        <f t="shared" ca="1" si="243"/>
        <v>24.973145862359431</v>
      </c>
      <c r="H539" s="307">
        <f t="shared" ca="1" si="244"/>
        <v>173.18069800915137</v>
      </c>
      <c r="I539" s="304">
        <f t="shared" ca="1" si="245"/>
        <v>174.9720325572049</v>
      </c>
      <c r="J539" s="306">
        <f t="shared" ca="1" si="246"/>
        <v>197.44604650737995</v>
      </c>
      <c r="K539" s="307">
        <f t="shared" ca="1" si="247"/>
        <v>1622.5425855382023</v>
      </c>
      <c r="L539" s="304">
        <f t="shared" ca="1" si="232"/>
        <v>1634.5119709461871</v>
      </c>
      <c r="M539" s="306">
        <f t="shared" ca="1" si="248"/>
        <v>1.4275807530053204</v>
      </c>
      <c r="N539" s="304">
        <f t="shared" ca="1" si="249"/>
        <v>81.794352061312878</v>
      </c>
      <c r="P539" s="310">
        <f t="shared" ca="1" si="250"/>
        <v>23</v>
      </c>
      <c r="Q539" s="304">
        <f t="shared" ca="1" si="251"/>
        <v>0</v>
      </c>
      <c r="R539" s="306">
        <f t="shared" ca="1" si="252"/>
        <v>0</v>
      </c>
      <c r="S539" s="307">
        <f t="shared" ca="1" si="253"/>
        <v>9.137999999999975</v>
      </c>
      <c r="T539" s="304">
        <f t="shared" ca="1" si="233"/>
        <v>89.643779999999765</v>
      </c>
      <c r="U539" s="311">
        <f t="shared" ca="1" si="234"/>
        <v>0</v>
      </c>
      <c r="V539" s="306">
        <f t="shared" ca="1" si="235"/>
        <v>1.0411534741419659</v>
      </c>
      <c r="W539" s="304">
        <f t="shared" ca="1" si="236"/>
        <v>84.268823335682967</v>
      </c>
      <c r="Y539" s="314" t="str">
        <f t="shared" ca="1" si="254"/>
        <v/>
      </c>
      <c r="Z539" s="315" t="str">
        <f t="shared" ca="1" si="255"/>
        <v/>
      </c>
      <c r="AA539" s="316" t="str">
        <f t="shared" ca="1" si="256"/>
        <v/>
      </c>
      <c r="AC539" s="310" t="e">
        <f t="shared" ca="1" si="257"/>
        <v>#N/A</v>
      </c>
      <c r="AD539" s="323" t="e">
        <f t="shared" ca="1" si="258"/>
        <v>#N/A</v>
      </c>
      <c r="AE539" s="324">
        <f t="shared" ca="1" si="237"/>
        <v>1622.5425855382023</v>
      </c>
      <c r="AG539" s="306">
        <f t="shared" ca="1" si="259"/>
        <v>-19.151991786313328</v>
      </c>
      <c r="AH539" s="304">
        <f t="shared" ca="1" si="260"/>
        <v>-9.4413137773233249</v>
      </c>
    </row>
    <row r="540" spans="1:34" x14ac:dyDescent="0.2">
      <c r="A540" s="347">
        <f t="shared" ca="1" si="238"/>
        <v>0.1</v>
      </c>
      <c r="B540" s="304">
        <f t="shared" ca="1" si="239"/>
        <v>8.599999999999925</v>
      </c>
      <c r="D540" s="306">
        <f t="shared" ca="1" si="240"/>
        <v>-1.3161954740154704</v>
      </c>
      <c r="E540" s="307">
        <f t="shared" ca="1" si="241"/>
        <v>-18.937390364144917</v>
      </c>
      <c r="F540" s="304">
        <f t="shared" ca="1" si="242"/>
        <v>18.983074680615562</v>
      </c>
      <c r="G540" s="306">
        <f t="shared" ca="1" si="243"/>
        <v>24.841526314957882</v>
      </c>
      <c r="H540" s="307">
        <f t="shared" ca="1" si="244"/>
        <v>171.28695897273687</v>
      </c>
      <c r="I540" s="304">
        <f t="shared" ca="1" si="245"/>
        <v>173.07895234194362</v>
      </c>
      <c r="J540" s="306">
        <f t="shared" ca="1" si="246"/>
        <v>199.93678011624581</v>
      </c>
      <c r="K540" s="307">
        <f t="shared" ca="1" si="247"/>
        <v>1639.7659683872967</v>
      </c>
      <c r="L540" s="304">
        <f t="shared" ca="1" si="232"/>
        <v>1651.9101510446567</v>
      </c>
      <c r="M540" s="306">
        <f t="shared" ca="1" si="248"/>
        <v>1.4267717885980382</v>
      </c>
      <c r="N540" s="304">
        <f t="shared" ca="1" si="249"/>
        <v>81.748001814999299</v>
      </c>
      <c r="P540" s="310">
        <f t="shared" ca="1" si="250"/>
        <v>23</v>
      </c>
      <c r="Q540" s="304">
        <f t="shared" ca="1" si="251"/>
        <v>0</v>
      </c>
      <c r="R540" s="306">
        <f t="shared" ca="1" si="252"/>
        <v>0</v>
      </c>
      <c r="S540" s="307">
        <f t="shared" ca="1" si="253"/>
        <v>9.137999999999975</v>
      </c>
      <c r="T540" s="304">
        <f t="shared" ca="1" si="233"/>
        <v>89.643779999999765</v>
      </c>
      <c r="U540" s="311">
        <f t="shared" ca="1" si="234"/>
        <v>0</v>
      </c>
      <c r="V540" s="306">
        <f t="shared" ca="1" si="235"/>
        <v>1.0393498118964053</v>
      </c>
      <c r="W540" s="304">
        <f t="shared" ca="1" si="236"/>
        <v>82.312380307082734</v>
      </c>
      <c r="Y540" s="314" t="str">
        <f t="shared" ca="1" si="254"/>
        <v/>
      </c>
      <c r="Z540" s="315" t="str">
        <f t="shared" ca="1" si="255"/>
        <v/>
      </c>
      <c r="AA540" s="316" t="str">
        <f t="shared" ca="1" si="256"/>
        <v/>
      </c>
      <c r="AC540" s="310" t="e">
        <f t="shared" ca="1" si="257"/>
        <v>#N/A</v>
      </c>
      <c r="AD540" s="323" t="e">
        <f t="shared" ca="1" si="258"/>
        <v>#N/A</v>
      </c>
      <c r="AE540" s="324">
        <f t="shared" ca="1" si="237"/>
        <v>1639.7659683872967</v>
      </c>
      <c r="AG540" s="306">
        <f t="shared" ca="1" si="259"/>
        <v>-18.93136848717462</v>
      </c>
      <c r="AH540" s="304">
        <f t="shared" ca="1" si="260"/>
        <v>-9.2218016344586555</v>
      </c>
    </row>
    <row r="541" spans="1:34" x14ac:dyDescent="0.2">
      <c r="A541" s="347">
        <f t="shared" ca="1" si="238"/>
        <v>0.1</v>
      </c>
      <c r="B541" s="304">
        <f t="shared" ca="1" si="239"/>
        <v>8.6999999999999247</v>
      </c>
      <c r="D541" s="306">
        <f t="shared" ca="1" si="240"/>
        <v>-1.2928496602037658</v>
      </c>
      <c r="E541" s="307">
        <f t="shared" ca="1" si="241"/>
        <v>-18.724439632153285</v>
      </c>
      <c r="F541" s="304">
        <f t="shared" ca="1" si="242"/>
        <v>18.769019680900801</v>
      </c>
      <c r="G541" s="306">
        <f t="shared" ca="1" si="243"/>
        <v>24.712241348937507</v>
      </c>
      <c r="H541" s="307">
        <f t="shared" ca="1" si="244"/>
        <v>169.41451500952155</v>
      </c>
      <c r="I541" s="304">
        <f t="shared" ca="1" si="245"/>
        <v>171.20739694417279</v>
      </c>
      <c r="J541" s="306">
        <f t="shared" ca="1" si="246"/>
        <v>202.41446849944057</v>
      </c>
      <c r="K541" s="307">
        <f t="shared" ca="1" si="247"/>
        <v>1656.8010420864096</v>
      </c>
      <c r="L541" s="304">
        <f t="shared" ca="1" si="232"/>
        <v>1669.1199208314913</v>
      </c>
      <c r="M541" s="306">
        <f t="shared" ca="1" si="248"/>
        <v>1.425949393428749</v>
      </c>
      <c r="N541" s="304">
        <f t="shared" ca="1" si="249"/>
        <v>81.700882042707079</v>
      </c>
      <c r="P541" s="310">
        <f t="shared" ca="1" si="250"/>
        <v>23</v>
      </c>
      <c r="Q541" s="304">
        <f t="shared" ca="1" si="251"/>
        <v>0</v>
      </c>
      <c r="R541" s="306">
        <f t="shared" ca="1" si="252"/>
        <v>0</v>
      </c>
      <c r="S541" s="307">
        <f t="shared" ca="1" si="253"/>
        <v>9.137999999999975</v>
      </c>
      <c r="T541" s="304">
        <f t="shared" ca="1" si="233"/>
        <v>89.643779999999765</v>
      </c>
      <c r="U541" s="311">
        <f t="shared" ca="1" si="234"/>
        <v>0</v>
      </c>
      <c r="V541" s="306">
        <f t="shared" ca="1" si="235"/>
        <v>1.0375686916907356</v>
      </c>
      <c r="W541" s="304">
        <f t="shared" ca="1" si="236"/>
        <v>80.403843696549046</v>
      </c>
      <c r="Y541" s="314" t="str">
        <f t="shared" ca="1" si="254"/>
        <v/>
      </c>
      <c r="Z541" s="315" t="str">
        <f t="shared" ca="1" si="255"/>
        <v/>
      </c>
      <c r="AA541" s="316" t="str">
        <f t="shared" ca="1" si="256"/>
        <v/>
      </c>
      <c r="AC541" s="310" t="e">
        <f t="shared" ca="1" si="257"/>
        <v>#N/A</v>
      </c>
      <c r="AD541" s="323" t="e">
        <f t="shared" ca="1" si="258"/>
        <v>#N/A</v>
      </c>
      <c r="AE541" s="324">
        <f t="shared" ca="1" si="237"/>
        <v>1656.8010420864096</v>
      </c>
      <c r="AG541" s="306">
        <f t="shared" ca="1" si="259"/>
        <v>-18.716132944435106</v>
      </c>
      <c r="AH541" s="304">
        <f t="shared" ca="1" si="260"/>
        <v>-9.0077019377416239</v>
      </c>
    </row>
    <row r="542" spans="1:34" x14ac:dyDescent="0.2">
      <c r="A542" s="347">
        <f t="shared" ca="1" si="238"/>
        <v>0.1</v>
      </c>
      <c r="B542" s="304">
        <f t="shared" ca="1" si="239"/>
        <v>8.7999999999999243</v>
      </c>
      <c r="D542" s="306">
        <f t="shared" ca="1" si="240"/>
        <v>-1.2700337715442103</v>
      </c>
      <c r="E542" s="307">
        <f t="shared" ca="1" si="241"/>
        <v>-18.516703386948208</v>
      </c>
      <c r="F542" s="304">
        <f t="shared" ca="1" si="242"/>
        <v>18.560207167515184</v>
      </c>
      <c r="G542" s="306">
        <f t="shared" ca="1" si="243"/>
        <v>24.585237971783087</v>
      </c>
      <c r="H542" s="307">
        <f t="shared" ca="1" si="244"/>
        <v>167.56284467082673</v>
      </c>
      <c r="I542" s="304">
        <f t="shared" ca="1" si="245"/>
        <v>169.35684468101314</v>
      </c>
      <c r="J542" s="306">
        <f t="shared" ca="1" si="246"/>
        <v>204.87934246547661</v>
      </c>
      <c r="K542" s="307">
        <f t="shared" ca="1" si="247"/>
        <v>1673.649910070427</v>
      </c>
      <c r="L542" s="304">
        <f t="shared" ca="1" si="232"/>
        <v>1686.143400321525</v>
      </c>
      <c r="M542" s="306">
        <f t="shared" ca="1" si="248"/>
        <v>1.4251132978693486</v>
      </c>
      <c r="N542" s="304">
        <f t="shared" ca="1" si="249"/>
        <v>81.652977295883815</v>
      </c>
      <c r="P542" s="310">
        <f t="shared" ca="1" si="250"/>
        <v>23</v>
      </c>
      <c r="Q542" s="304">
        <f t="shared" ca="1" si="251"/>
        <v>0</v>
      </c>
      <c r="R542" s="306">
        <f t="shared" ca="1" si="252"/>
        <v>0</v>
      </c>
      <c r="S542" s="307">
        <f t="shared" ca="1" si="253"/>
        <v>9.137999999999975</v>
      </c>
      <c r="T542" s="304">
        <f t="shared" ca="1" si="233"/>
        <v>89.643779999999765</v>
      </c>
      <c r="U542" s="311">
        <f t="shared" ca="1" si="234"/>
        <v>0</v>
      </c>
      <c r="V542" s="306">
        <f t="shared" ca="1" si="235"/>
        <v>1.0358097945345459</v>
      </c>
      <c r="W542" s="304">
        <f t="shared" ca="1" si="236"/>
        <v>78.541722984289095</v>
      </c>
      <c r="Y542" s="314" t="str">
        <f t="shared" ca="1" si="254"/>
        <v/>
      </c>
      <c r="Z542" s="315" t="str">
        <f t="shared" ca="1" si="255"/>
        <v/>
      </c>
      <c r="AA542" s="316" t="str">
        <f t="shared" ca="1" si="256"/>
        <v/>
      </c>
      <c r="AC542" s="310" t="e">
        <f t="shared" ca="1" si="257"/>
        <v>#N/A</v>
      </c>
      <c r="AD542" s="323" t="e">
        <f t="shared" ca="1" si="258"/>
        <v>#N/A</v>
      </c>
      <c r="AE542" s="324">
        <f t="shared" ca="1" si="237"/>
        <v>1673.649910070427</v>
      </c>
      <c r="AG542" s="306">
        <f t="shared" ca="1" si="259"/>
        <v>-18.506114580971307</v>
      </c>
      <c r="AH542" s="304">
        <f t="shared" ca="1" si="260"/>
        <v>-8.7988447906050844</v>
      </c>
    </row>
    <row r="543" spans="1:34" x14ac:dyDescent="0.2">
      <c r="A543" s="347">
        <f t="shared" ca="1" si="238"/>
        <v>0.1</v>
      </c>
      <c r="B543" s="304">
        <f t="shared" ca="1" si="239"/>
        <v>8.899999999999924</v>
      </c>
      <c r="D543" s="306">
        <f t="shared" ca="1" si="240"/>
        <v>-1.2477309078517167</v>
      </c>
      <c r="E543" s="307">
        <f t="shared" ca="1" si="241"/>
        <v>-18.314019385262974</v>
      </c>
      <c r="F543" s="304">
        <f t="shared" ca="1" si="242"/>
        <v>18.3564740204157</v>
      </c>
      <c r="G543" s="306">
        <f t="shared" ca="1" si="243"/>
        <v>24.460464880997915</v>
      </c>
      <c r="H543" s="307">
        <f t="shared" ca="1" si="244"/>
        <v>165.73144273230045</v>
      </c>
      <c r="I543" s="304">
        <f t="shared" ca="1" si="245"/>
        <v>167.52679025255725</v>
      </c>
      <c r="J543" s="306">
        <f t="shared" ca="1" si="246"/>
        <v>207.33162760811567</v>
      </c>
      <c r="K543" s="307">
        <f t="shared" ca="1" si="247"/>
        <v>1690.3146244405834</v>
      </c>
      <c r="L543" s="304">
        <f t="shared" ca="1" si="232"/>
        <v>1702.982657986963</v>
      </c>
      <c r="M543" s="306">
        <f t="shared" ca="1" si="248"/>
        <v>1.4242632244144671</v>
      </c>
      <c r="N543" s="304">
        <f t="shared" ca="1" si="249"/>
        <v>81.604271674642987</v>
      </c>
      <c r="P543" s="310">
        <f t="shared" ca="1" si="250"/>
        <v>23</v>
      </c>
      <c r="Q543" s="304">
        <f t="shared" ca="1" si="251"/>
        <v>0</v>
      </c>
      <c r="R543" s="306">
        <f t="shared" ca="1" si="252"/>
        <v>0</v>
      </c>
      <c r="S543" s="307">
        <f t="shared" ca="1" si="253"/>
        <v>9.137999999999975</v>
      </c>
      <c r="T543" s="304">
        <f t="shared" ca="1" si="233"/>
        <v>89.643779999999765</v>
      </c>
      <c r="U543" s="311">
        <f t="shared" ca="1" si="234"/>
        <v>0</v>
      </c>
      <c r="V543" s="306">
        <f t="shared" ca="1" si="235"/>
        <v>1.0340728096118508</v>
      </c>
      <c r="W543" s="304">
        <f t="shared" ca="1" si="236"/>
        <v>76.724586693270425</v>
      </c>
      <c r="Y543" s="314" t="str">
        <f t="shared" ca="1" si="254"/>
        <v/>
      </c>
      <c r="Z543" s="315" t="str">
        <f t="shared" ca="1" si="255"/>
        <v/>
      </c>
      <c r="AA543" s="316" t="str">
        <f t="shared" ca="1" si="256"/>
        <v/>
      </c>
      <c r="AC543" s="310" t="e">
        <f t="shared" ca="1" si="257"/>
        <v>#N/A</v>
      </c>
      <c r="AD543" s="323" t="e">
        <f t="shared" ca="1" si="258"/>
        <v>#N/A</v>
      </c>
      <c r="AE543" s="324">
        <f t="shared" ca="1" si="237"/>
        <v>1690.3146244405834</v>
      </c>
      <c r="AG543" s="306">
        <f t="shared" ca="1" si="259"/>
        <v>-18.301149579654954</v>
      </c>
      <c r="AH543" s="304">
        <f t="shared" ca="1" si="260"/>
        <v>-8.5950670807933154</v>
      </c>
    </row>
    <row r="544" spans="1:34" x14ac:dyDescent="0.2">
      <c r="A544" s="347">
        <f t="shared" ca="1" si="238"/>
        <v>0.1</v>
      </c>
      <c r="B544" s="304">
        <f t="shared" ca="1" si="239"/>
        <v>8.9999999999999236</v>
      </c>
      <c r="D544" s="306">
        <f t="shared" ca="1" si="240"/>
        <v>-1.2259248344522218</v>
      </c>
      <c r="E544" s="307">
        <f t="shared" ca="1" si="241"/>
        <v>-18.116231810539261</v>
      </c>
      <c r="F544" s="304">
        <f t="shared" ca="1" si="242"/>
        <v>18.157663580783773</v>
      </c>
      <c r="G544" s="306">
        <f t="shared" ca="1" si="243"/>
        <v>24.337872397552694</v>
      </c>
      <c r="H544" s="307">
        <f t="shared" ca="1" si="244"/>
        <v>163.91981955124652</v>
      </c>
      <c r="I544" s="304">
        <f t="shared" ca="1" si="245"/>
        <v>165.71674409833417</v>
      </c>
      <c r="J544" s="306">
        <f t="shared" ca="1" si="246"/>
        <v>209.77154447204319</v>
      </c>
      <c r="K544" s="307">
        <f t="shared" ca="1" si="247"/>
        <v>1706.7971875547607</v>
      </c>
      <c r="L544" s="304">
        <f t="shared" ca="1" si="232"/>
        <v>1719.6397123569307</v>
      </c>
      <c r="M544" s="306">
        <f t="shared" ca="1" si="248"/>
        <v>1.4233988874062058</v>
      </c>
      <c r="N544" s="304">
        <f t="shared" ca="1" si="249"/>
        <v>81.554748811992653</v>
      </c>
      <c r="P544" s="310">
        <f t="shared" ca="1" si="250"/>
        <v>23</v>
      </c>
      <c r="Q544" s="304">
        <f t="shared" ca="1" si="251"/>
        <v>0</v>
      </c>
      <c r="R544" s="306">
        <f t="shared" ca="1" si="252"/>
        <v>0</v>
      </c>
      <c r="S544" s="307">
        <f t="shared" ca="1" si="253"/>
        <v>9.137999999999975</v>
      </c>
      <c r="T544" s="304">
        <f t="shared" ca="1" si="233"/>
        <v>89.643779999999765</v>
      </c>
      <c r="U544" s="311">
        <f t="shared" ca="1" si="234"/>
        <v>0</v>
      </c>
      <c r="V544" s="306">
        <f t="shared" ca="1" si="235"/>
        <v>1.0323574340158004</v>
      </c>
      <c r="W544" s="304">
        <f t="shared" ca="1" si="236"/>
        <v>74.951059600673673</v>
      </c>
      <c r="Y544" s="314" t="str">
        <f t="shared" ca="1" si="254"/>
        <v/>
      </c>
      <c r="Z544" s="315" t="str">
        <f t="shared" ca="1" si="255"/>
        <v/>
      </c>
      <c r="AA544" s="316" t="str">
        <f t="shared" ca="1" si="256"/>
        <v/>
      </c>
      <c r="AC544" s="310">
        <f t="shared" ca="1" si="257"/>
        <v>8.9999999999999236</v>
      </c>
      <c r="AD544" s="323">
        <f t="shared" ca="1" si="258"/>
        <v>209.77154447204319</v>
      </c>
      <c r="AE544" s="324">
        <f t="shared" ca="1" si="237"/>
        <v>1706.7971875547607</v>
      </c>
      <c r="AG544" s="306">
        <f t="shared" ca="1" si="259"/>
        <v>-18.101080559245297</v>
      </c>
      <c r="AH544" s="304">
        <f t="shared" ca="1" si="260"/>
        <v>-8.3962121572850332</v>
      </c>
    </row>
    <row r="545" spans="1:34" x14ac:dyDescent="0.2">
      <c r="A545" s="347">
        <f t="shared" ca="1" si="238"/>
        <v>0.1</v>
      </c>
      <c r="B545" s="304">
        <f t="shared" ca="1" si="239"/>
        <v>9.0999999999999233</v>
      </c>
      <c r="D545" s="306">
        <f t="shared" ca="1" si="240"/>
        <v>-1.2045999506993432</v>
      </c>
      <c r="E545" s="307">
        <f t="shared" ca="1" si="241"/>
        <v>-17.923190969393545</v>
      </c>
      <c r="F545" s="304">
        <f t="shared" ca="1" si="242"/>
        <v>17.963625345864216</v>
      </c>
      <c r="G545" s="306">
        <f t="shared" ca="1" si="243"/>
        <v>24.217412402482758</v>
      </c>
      <c r="H545" s="307">
        <f t="shared" ca="1" si="244"/>
        <v>162.12750045430715</v>
      </c>
      <c r="I545" s="304">
        <f t="shared" ca="1" si="245"/>
        <v>163.92623178440141</v>
      </c>
      <c r="J545" s="306">
        <f t="shared" ca="1" si="246"/>
        <v>212.19930871204497</v>
      </c>
      <c r="K545" s="307">
        <f t="shared" ca="1" si="247"/>
        <v>1723.0995535550385</v>
      </c>
      <c r="L545" s="304">
        <f t="shared" ca="1" si="232"/>
        <v>1736.116533553967</v>
      </c>
      <c r="M545" s="306">
        <f t="shared" ca="1" si="248"/>
        <v>1.4225199927470538</v>
      </c>
      <c r="N545" s="304">
        <f t="shared" ca="1" si="249"/>
        <v>81.504391857386651</v>
      </c>
      <c r="P545" s="310">
        <f t="shared" ca="1" si="250"/>
        <v>23</v>
      </c>
      <c r="Q545" s="304">
        <f t="shared" ca="1" si="251"/>
        <v>0</v>
      </c>
      <c r="R545" s="306">
        <f t="shared" ca="1" si="252"/>
        <v>0</v>
      </c>
      <c r="S545" s="307">
        <f t="shared" ca="1" si="253"/>
        <v>9.137999999999975</v>
      </c>
      <c r="T545" s="304">
        <f t="shared" ca="1" si="233"/>
        <v>89.643779999999765</v>
      </c>
      <c r="U545" s="311">
        <f t="shared" ca="1" si="234"/>
        <v>0</v>
      </c>
      <c r="V545" s="306">
        <f t="shared" ca="1" si="235"/>
        <v>1.0306633724942365</v>
      </c>
      <c r="W545" s="304">
        <f t="shared" ca="1" si="236"/>
        <v>73.219820102749352</v>
      </c>
      <c r="Y545" s="314" t="str">
        <f t="shared" ca="1" si="254"/>
        <v/>
      </c>
      <c r="Z545" s="315" t="str">
        <f t="shared" ca="1" si="255"/>
        <v/>
      </c>
      <c r="AA545" s="316" t="str">
        <f t="shared" ca="1" si="256"/>
        <v/>
      </c>
      <c r="AC545" s="310" t="e">
        <f t="shared" ca="1" si="257"/>
        <v>#N/A</v>
      </c>
      <c r="AD545" s="323" t="e">
        <f t="shared" ca="1" si="258"/>
        <v>#N/A</v>
      </c>
      <c r="AE545" s="324">
        <f t="shared" ca="1" si="237"/>
        <v>1723.0995535550385</v>
      </c>
      <c r="AG545" s="306">
        <f t="shared" ca="1" si="259"/>
        <v>-17.905756268147485</v>
      </c>
      <c r="AH545" s="304">
        <f t="shared" ca="1" si="260"/>
        <v>-8.2021295251339321</v>
      </c>
    </row>
    <row r="546" spans="1:34" x14ac:dyDescent="0.2">
      <c r="A546" s="347">
        <f t="shared" ca="1" si="238"/>
        <v>0.1</v>
      </c>
      <c r="B546" s="304">
        <f t="shared" ca="1" si="239"/>
        <v>9.1999999999999229</v>
      </c>
      <c r="D546" s="306">
        <f t="shared" ca="1" si="240"/>
        <v>-1.1837412602231006</v>
      </c>
      <c r="E546" s="307">
        <f t="shared" ca="1" si="241"/>
        <v>-17.73475300478129</v>
      </c>
      <c r="F546" s="304">
        <f t="shared" ca="1" si="242"/>
        <v>17.774214680591477</v>
      </c>
      <c r="G546" s="306">
        <f t="shared" ca="1" si="243"/>
        <v>24.099038276460448</v>
      </c>
      <c r="H546" s="307">
        <f t="shared" ca="1" si="244"/>
        <v>160.35402515382901</v>
      </c>
      <c r="I546" s="304">
        <f t="shared" ca="1" si="245"/>
        <v>162.15479341939027</v>
      </c>
      <c r="J546" s="306">
        <f t="shared" ca="1" si="246"/>
        <v>214.61513124599213</v>
      </c>
      <c r="K546" s="307">
        <f t="shared" ca="1" si="247"/>
        <v>1739.2236298354453</v>
      </c>
      <c r="L546" s="304">
        <f t="shared" ca="1" si="232"/>
        <v>1752.415044770421</v>
      </c>
      <c r="M546" s="306">
        <f t="shared" ca="1" si="248"/>
        <v>1.4216262376004007</v>
      </c>
      <c r="N546" s="304">
        <f t="shared" ca="1" si="249"/>
        <v>81.453183459565338</v>
      </c>
      <c r="P546" s="310">
        <f t="shared" ca="1" si="250"/>
        <v>23</v>
      </c>
      <c r="Q546" s="304">
        <f t="shared" ca="1" si="251"/>
        <v>0</v>
      </c>
      <c r="R546" s="306">
        <f t="shared" ca="1" si="252"/>
        <v>0</v>
      </c>
      <c r="S546" s="307">
        <f t="shared" ca="1" si="253"/>
        <v>9.137999999999975</v>
      </c>
      <c r="T546" s="304">
        <f t="shared" ca="1" si="233"/>
        <v>89.643779999999765</v>
      </c>
      <c r="U546" s="311">
        <f t="shared" ca="1" si="234"/>
        <v>0</v>
      </c>
      <c r="V546" s="306">
        <f t="shared" ca="1" si="235"/>
        <v>1.028990337205566</v>
      </c>
      <c r="W546" s="304">
        <f t="shared" ca="1" si="236"/>
        <v>71.52959772347991</v>
      </c>
      <c r="Y546" s="314" t="str">
        <f t="shared" ca="1" si="254"/>
        <v/>
      </c>
      <c r="Z546" s="315" t="str">
        <f t="shared" ca="1" si="255"/>
        <v/>
      </c>
      <c r="AA546" s="316" t="str">
        <f t="shared" ca="1" si="256"/>
        <v/>
      </c>
      <c r="AC546" s="310" t="e">
        <f t="shared" ca="1" si="257"/>
        <v>#N/A</v>
      </c>
      <c r="AD546" s="323" t="e">
        <f t="shared" ca="1" si="258"/>
        <v>#N/A</v>
      </c>
      <c r="AE546" s="324">
        <f t="shared" ca="1" si="237"/>
        <v>1739.2236298354453</v>
      </c>
      <c r="AG546" s="306">
        <f t="shared" ca="1" si="259"/>
        <v>-17.715031294904023</v>
      </c>
      <c r="AH546" s="304">
        <f t="shared" ca="1" si="260"/>
        <v>-8.0126745570966893</v>
      </c>
    </row>
    <row r="547" spans="1:34" x14ac:dyDescent="0.2">
      <c r="A547" s="347">
        <f t="shared" ca="1" si="238"/>
        <v>0.1</v>
      </c>
      <c r="B547" s="304">
        <f t="shared" ca="1" si="239"/>
        <v>9.2999999999999226</v>
      </c>
      <c r="D547" s="306">
        <f t="shared" ca="1" si="240"/>
        <v>-1.1633343428023419</v>
      </c>
      <c r="E547" s="307">
        <f t="shared" ca="1" si="241"/>
        <v>-17.550779624814091</v>
      </c>
      <c r="F547" s="304">
        <f t="shared" ca="1" si="242"/>
        <v>17.589292544952819</v>
      </c>
      <c r="G547" s="306">
        <f t="shared" ca="1" si="243"/>
        <v>23.982704842180212</v>
      </c>
      <c r="H547" s="307">
        <f t="shared" ca="1" si="244"/>
        <v>158.59894719134761</v>
      </c>
      <c r="I547" s="304">
        <f t="shared" ca="1" si="245"/>
        <v>160.4019830979374</v>
      </c>
      <c r="J547" s="306">
        <f t="shared" ca="1" si="246"/>
        <v>217.01921840192418</v>
      </c>
      <c r="K547" s="307">
        <f t="shared" ca="1" si="247"/>
        <v>1755.1712784527042</v>
      </c>
      <c r="L547" s="304">
        <f t="shared" ca="1" si="232"/>
        <v>1768.537123687564</v>
      </c>
      <c r="M547" s="306">
        <f t="shared" ca="1" si="248"/>
        <v>1.4207173100780275</v>
      </c>
      <c r="N547" s="304">
        <f t="shared" ca="1" si="249"/>
        <v>81.401105748650068</v>
      </c>
      <c r="P547" s="310">
        <f t="shared" ca="1" si="250"/>
        <v>23</v>
      </c>
      <c r="Q547" s="304">
        <f t="shared" ca="1" si="251"/>
        <v>0</v>
      </c>
      <c r="R547" s="306">
        <f t="shared" ca="1" si="252"/>
        <v>0</v>
      </c>
      <c r="S547" s="307">
        <f t="shared" ca="1" si="253"/>
        <v>9.137999999999975</v>
      </c>
      <c r="T547" s="304">
        <f t="shared" ca="1" si="233"/>
        <v>89.643779999999765</v>
      </c>
      <c r="U547" s="311">
        <f t="shared" ca="1" si="234"/>
        <v>0</v>
      </c>
      <c r="V547" s="306">
        <f t="shared" ca="1" si="235"/>
        <v>1.0273380474844525</v>
      </c>
      <c r="W547" s="304">
        <f t="shared" ca="1" si="236"/>
        <v>69.879170758121234</v>
      </c>
      <c r="Y547" s="314" t="str">
        <f t="shared" ca="1" si="254"/>
        <v/>
      </c>
      <c r="Z547" s="315" t="str">
        <f t="shared" ca="1" si="255"/>
        <v/>
      </c>
      <c r="AA547" s="316" t="str">
        <f t="shared" ca="1" si="256"/>
        <v/>
      </c>
      <c r="AC547" s="310" t="e">
        <f t="shared" ca="1" si="257"/>
        <v>#N/A</v>
      </c>
      <c r="AD547" s="323" t="e">
        <f t="shared" ca="1" si="258"/>
        <v>#N/A</v>
      </c>
      <c r="AE547" s="324">
        <f t="shared" ca="1" si="237"/>
        <v>1755.1712784527042</v>
      </c>
      <c r="AG547" s="306">
        <f t="shared" ca="1" si="259"/>
        <v>-17.528765794365814</v>
      </c>
      <c r="AH547" s="304">
        <f t="shared" ca="1" si="260"/>
        <v>-7.8277082209980415</v>
      </c>
    </row>
    <row r="548" spans="1:34" x14ac:dyDescent="0.2">
      <c r="A548" s="347">
        <f t="shared" ca="1" si="238"/>
        <v>0.1</v>
      </c>
      <c r="B548" s="304">
        <f t="shared" ca="1" si="239"/>
        <v>9.3999999999999222</v>
      </c>
      <c r="D548" s="306">
        <f t="shared" ca="1" si="240"/>
        <v>-1.1433653277601439</v>
      </c>
      <c r="E548" s="307">
        <f t="shared" ca="1" si="241"/>
        <v>-17.371137846258211</v>
      </c>
      <c r="F548" s="304">
        <f t="shared" ca="1" si="242"/>
        <v>17.408725236111586</v>
      </c>
      <c r="G548" s="306">
        <f t="shared" ca="1" si="243"/>
        <v>23.868368309404197</v>
      </c>
      <c r="H548" s="307">
        <f t="shared" ca="1" si="244"/>
        <v>156.86183340672179</v>
      </c>
      <c r="I548" s="304">
        <f t="shared" ca="1" si="245"/>
        <v>158.66736837003225</v>
      </c>
      <c r="J548" s="306">
        <f t="shared" ca="1" si="246"/>
        <v>219.41177205950339</v>
      </c>
      <c r="K548" s="307">
        <f t="shared" ca="1" si="247"/>
        <v>1770.9443174826076</v>
      </c>
      <c r="L548" s="304">
        <f t="shared" ca="1" si="232"/>
        <v>1784.484603840064</v>
      </c>
      <c r="M548" s="306">
        <f t="shared" ca="1" si="248"/>
        <v>1.4197928889139226</v>
      </c>
      <c r="N548" s="304">
        <f t="shared" ca="1" si="249"/>
        <v>81.348140317454295</v>
      </c>
      <c r="P548" s="310">
        <f t="shared" ca="1" si="250"/>
        <v>23</v>
      </c>
      <c r="Q548" s="304">
        <f t="shared" ca="1" si="251"/>
        <v>0</v>
      </c>
      <c r="R548" s="306">
        <f t="shared" ca="1" si="252"/>
        <v>0</v>
      </c>
      <c r="S548" s="307">
        <f t="shared" ca="1" si="253"/>
        <v>9.137999999999975</v>
      </c>
      <c r="T548" s="304">
        <f t="shared" ca="1" si="233"/>
        <v>89.643779999999765</v>
      </c>
      <c r="U548" s="311">
        <f t="shared" ca="1" si="234"/>
        <v>0</v>
      </c>
      <c r="V548" s="306">
        <f t="shared" ca="1" si="235"/>
        <v>1.0257062296168653</v>
      </c>
      <c r="W548" s="304">
        <f t="shared" ca="1" si="236"/>
        <v>68.267364043318906</v>
      </c>
      <c r="Y548" s="314" t="str">
        <f t="shared" ca="1" si="254"/>
        <v/>
      </c>
      <c r="Z548" s="315" t="str">
        <f t="shared" ca="1" si="255"/>
        <v/>
      </c>
      <c r="AA548" s="316" t="str">
        <f t="shared" ca="1" si="256"/>
        <v/>
      </c>
      <c r="AC548" s="310" t="e">
        <f t="shared" ca="1" si="257"/>
        <v>#N/A</v>
      </c>
      <c r="AD548" s="323" t="e">
        <f t="shared" ca="1" si="258"/>
        <v>#N/A</v>
      </c>
      <c r="AE548" s="324">
        <f t="shared" ca="1" si="237"/>
        <v>1770.9443174826076</v>
      </c>
      <c r="AG548" s="306">
        <f t="shared" ca="1" si="259"/>
        <v>-17.346825228562647</v>
      </c>
      <c r="AH548" s="304">
        <f t="shared" ca="1" si="260"/>
        <v>-7.6470968218561417</v>
      </c>
    </row>
    <row r="549" spans="1:34" x14ac:dyDescent="0.2">
      <c r="A549" s="347">
        <f t="shared" ca="1" si="238"/>
        <v>0.1</v>
      </c>
      <c r="B549" s="304">
        <f t="shared" ca="1" si="239"/>
        <v>9.4999999999999218</v>
      </c>
      <c r="D549" s="306">
        <f t="shared" ca="1" si="240"/>
        <v>-1.1238208687884348</v>
      </c>
      <c r="E549" s="307">
        <f t="shared" ca="1" si="241"/>
        <v>-17.19569975181053</v>
      </c>
      <c r="F549" s="304">
        <f t="shared" ca="1" si="242"/>
        <v>17.232384144381797</v>
      </c>
      <c r="G549" s="306">
        <f t="shared" ca="1" si="243"/>
        <v>23.755986222525355</v>
      </c>
      <c r="H549" s="307">
        <f t="shared" ca="1" si="244"/>
        <v>155.14226343154073</v>
      </c>
      <c r="I549" s="304">
        <f t="shared" ca="1" si="245"/>
        <v>156.95052973490212</v>
      </c>
      <c r="J549" s="306">
        <f t="shared" ca="1" si="246"/>
        <v>221.79298978609987</v>
      </c>
      <c r="K549" s="307">
        <f t="shared" ca="1" si="247"/>
        <v>1786.5445223245208</v>
      </c>
      <c r="L549" s="304">
        <f t="shared" ca="1" si="232"/>
        <v>1800.2592759283334</v>
      </c>
      <c r="M549" s="306">
        <f t="shared" ca="1" si="248"/>
        <v>1.4188526431237329</v>
      </c>
      <c r="N549" s="304">
        <f t="shared" ca="1" si="249"/>
        <v>81.294268201971477</v>
      </c>
      <c r="P549" s="310">
        <f t="shared" ca="1" si="250"/>
        <v>23</v>
      </c>
      <c r="Q549" s="304">
        <f t="shared" ca="1" si="251"/>
        <v>0</v>
      </c>
      <c r="R549" s="306">
        <f t="shared" ca="1" si="252"/>
        <v>0</v>
      </c>
      <c r="S549" s="307">
        <f t="shared" ca="1" si="253"/>
        <v>9.137999999999975</v>
      </c>
      <c r="T549" s="304">
        <f t="shared" ca="1" si="233"/>
        <v>89.643779999999765</v>
      </c>
      <c r="U549" s="311">
        <f t="shared" ca="1" si="234"/>
        <v>0</v>
      </c>
      <c r="V549" s="306">
        <f t="shared" ca="1" si="235"/>
        <v>1.0240946166240377</v>
      </c>
      <c r="W549" s="304">
        <f t="shared" ca="1" si="236"/>
        <v>66.693046846065343</v>
      </c>
      <c r="Y549" s="314" t="str">
        <f t="shared" ca="1" si="254"/>
        <v/>
      </c>
      <c r="Z549" s="315" t="str">
        <f t="shared" ca="1" si="255"/>
        <v/>
      </c>
      <c r="AA549" s="316" t="str">
        <f t="shared" ca="1" si="256"/>
        <v/>
      </c>
      <c r="AC549" s="310" t="e">
        <f t="shared" ca="1" si="257"/>
        <v>#N/A</v>
      </c>
      <c r="AD549" s="323" t="e">
        <f t="shared" ca="1" si="258"/>
        <v>#N/A</v>
      </c>
      <c r="AE549" s="324">
        <f t="shared" ca="1" si="237"/>
        <v>1786.5445223245208</v>
      </c>
      <c r="AG549" s="306">
        <f t="shared" ca="1" si="259"/>
        <v>-17.169080121360771</v>
      </c>
      <c r="AH549" s="304">
        <f t="shared" ca="1" si="260"/>
        <v>-7.4707117578593882</v>
      </c>
    </row>
    <row r="550" spans="1:34" x14ac:dyDescent="0.2">
      <c r="A550" s="347">
        <f t="shared" ca="1" si="238"/>
        <v>0.1</v>
      </c>
      <c r="B550" s="304">
        <f t="shared" ca="1" si="239"/>
        <v>9.5999999999999215</v>
      </c>
      <c r="D550" s="306">
        <f t="shared" ca="1" si="240"/>
        <v>-1.1046881201145742</v>
      </c>
      <c r="E550" s="307">
        <f t="shared" ca="1" si="241"/>
        <v>-17.024342260310089</v>
      </c>
      <c r="F550" s="304">
        <f t="shared" ca="1" si="242"/>
        <v>17.060145522207666</v>
      </c>
      <c r="G550" s="306">
        <f t="shared" ca="1" si="243"/>
        <v>23.645517410513897</v>
      </c>
      <c r="H550" s="307">
        <f t="shared" ca="1" si="244"/>
        <v>153.43982920550971</v>
      </c>
      <c r="I550" s="304">
        <f t="shared" ca="1" si="245"/>
        <v>155.2510601581416</v>
      </c>
      <c r="J550" s="306">
        <f t="shared" ca="1" si="246"/>
        <v>224.16306496775184</v>
      </c>
      <c r="K550" s="307">
        <f t="shared" ca="1" si="247"/>
        <v>1801.9736269563734</v>
      </c>
      <c r="L550" s="304">
        <f t="shared" ca="1" si="232"/>
        <v>1815.8628890811233</v>
      </c>
      <c r="M550" s="306">
        <f t="shared" ca="1" si="248"/>
        <v>1.4178962316491193</v>
      </c>
      <c r="N550" s="304">
        <f t="shared" ca="1" si="249"/>
        <v>81.239469860998241</v>
      </c>
      <c r="P550" s="310">
        <f t="shared" ca="1" si="250"/>
        <v>23</v>
      </c>
      <c r="Q550" s="304">
        <f t="shared" ca="1" si="251"/>
        <v>0</v>
      </c>
      <c r="R550" s="306">
        <f t="shared" ca="1" si="252"/>
        <v>0</v>
      </c>
      <c r="S550" s="307">
        <f t="shared" ca="1" si="253"/>
        <v>9.137999999999975</v>
      </c>
      <c r="T550" s="304">
        <f t="shared" ca="1" si="233"/>
        <v>89.643779999999765</v>
      </c>
      <c r="U550" s="311">
        <f t="shared" ca="1" si="234"/>
        <v>0</v>
      </c>
      <c r="V550" s="306">
        <f t="shared" ca="1" si="235"/>
        <v>1.022502948054917</v>
      </c>
      <c r="W550" s="304">
        <f t="shared" ca="1" si="236"/>
        <v>65.155130864294819</v>
      </c>
      <c r="Y550" s="314" t="str">
        <f t="shared" ca="1" si="254"/>
        <v/>
      </c>
      <c r="Z550" s="315" t="str">
        <f t="shared" ca="1" si="255"/>
        <v/>
      </c>
      <c r="AA550" s="316" t="str">
        <f t="shared" ca="1" si="256"/>
        <v/>
      </c>
      <c r="AC550" s="310" t="e">
        <f t="shared" ca="1" si="257"/>
        <v>#N/A</v>
      </c>
      <c r="AD550" s="323" t="e">
        <f t="shared" ca="1" si="258"/>
        <v>#N/A</v>
      </c>
      <c r="AE550" s="324">
        <f t="shared" ca="1" si="237"/>
        <v>1801.9736269563734</v>
      </c>
      <c r="AG550" s="306">
        <f t="shared" ca="1" si="259"/>
        <v>-16.995405826057517</v>
      </c>
      <c r="AH550" s="304">
        <f t="shared" ca="1" si="260"/>
        <v>-7.2984292893483831</v>
      </c>
    </row>
    <row r="551" spans="1:34" x14ac:dyDescent="0.2">
      <c r="A551" s="347">
        <f t="shared" ca="1" si="238"/>
        <v>0.1</v>
      </c>
      <c r="B551" s="304">
        <f t="shared" ca="1" si="239"/>
        <v>9.6999999999999211</v>
      </c>
      <c r="D551" s="306">
        <f t="shared" ca="1" si="240"/>
        <v>-1.0859547139285728</v>
      </c>
      <c r="E551" s="307">
        <f t="shared" ca="1" si="241"/>
        <v>-16.856946909101154</v>
      </c>
      <c r="F551" s="304">
        <f t="shared" ca="1" si="242"/>
        <v>16.891890265359844</v>
      </c>
      <c r="G551" s="306">
        <f t="shared" ca="1" si="243"/>
        <v>23.53692193912104</v>
      </c>
      <c r="H551" s="307">
        <f t="shared" ca="1" si="244"/>
        <v>151.7541345145996</v>
      </c>
      <c r="I551" s="304">
        <f t="shared" ca="1" si="245"/>
        <v>153.56856461087168</v>
      </c>
      <c r="J551" s="306">
        <f t="shared" ca="1" si="246"/>
        <v>226.52218693523358</v>
      </c>
      <c r="K551" s="307">
        <f t="shared" ca="1" si="247"/>
        <v>1817.2333251423788</v>
      </c>
      <c r="L551" s="304">
        <f t="shared" ca="1" si="232"/>
        <v>1831.2971520706155</v>
      </c>
      <c r="M551" s="306">
        <f t="shared" ca="1" si="248"/>
        <v>1.4169233029862423</v>
      </c>
      <c r="N551" s="304">
        <f t="shared" ca="1" si="249"/>
        <v>81.183725154848076</v>
      </c>
      <c r="P551" s="310">
        <f t="shared" ca="1" si="250"/>
        <v>23</v>
      </c>
      <c r="Q551" s="304">
        <f t="shared" ca="1" si="251"/>
        <v>0</v>
      </c>
      <c r="R551" s="306">
        <f t="shared" ca="1" si="252"/>
        <v>0</v>
      </c>
      <c r="S551" s="307">
        <f t="shared" ca="1" si="253"/>
        <v>9.137999999999975</v>
      </c>
      <c r="T551" s="304">
        <f t="shared" ca="1" si="233"/>
        <v>89.643779999999765</v>
      </c>
      <c r="U551" s="311">
        <f t="shared" ca="1" si="234"/>
        <v>0</v>
      </c>
      <c r="V551" s="306">
        <f t="shared" ca="1" si="235"/>
        <v>1.0209309697867124</v>
      </c>
      <c r="W551" s="304">
        <f t="shared" ca="1" si="236"/>
        <v>63.652568332400946</v>
      </c>
      <c r="Y551" s="314" t="str">
        <f t="shared" ca="1" si="254"/>
        <v/>
      </c>
      <c r="Z551" s="315" t="str">
        <f t="shared" ca="1" si="255"/>
        <v/>
      </c>
      <c r="AA551" s="316" t="str">
        <f t="shared" ca="1" si="256"/>
        <v/>
      </c>
      <c r="AC551" s="310" t="e">
        <f t="shared" ca="1" si="257"/>
        <v>#N/A</v>
      </c>
      <c r="AD551" s="323" t="e">
        <f t="shared" ca="1" si="258"/>
        <v>#N/A</v>
      </c>
      <c r="AE551" s="324">
        <f t="shared" ca="1" si="237"/>
        <v>1817.2333251423788</v>
      </c>
      <c r="AG551" s="306">
        <f t="shared" ca="1" si="259"/>
        <v>-16.825682305120576</v>
      </c>
      <c r="AH551" s="304">
        <f t="shared" ca="1" si="260"/>
        <v>-7.1301303200147732</v>
      </c>
    </row>
    <row r="552" spans="1:34" x14ac:dyDescent="0.2">
      <c r="A552" s="347">
        <f t="shared" ca="1" si="238"/>
        <v>0.1</v>
      </c>
      <c r="B552" s="304">
        <f t="shared" ca="1" si="239"/>
        <v>9.7999999999999208</v>
      </c>
      <c r="D552" s="306">
        <f t="shared" ca="1" si="240"/>
        <v>-1.0676087389951909</v>
      </c>
      <c r="E552" s="307">
        <f t="shared" ca="1" si="241"/>
        <v>-16.693399647816843</v>
      </c>
      <c r="F552" s="304">
        <f t="shared" ca="1" si="242"/>
        <v>16.727503705613412</v>
      </c>
      <c r="G552" s="306">
        <f t="shared" ca="1" si="243"/>
        <v>23.430161065221522</v>
      </c>
      <c r="H552" s="307">
        <f t="shared" ca="1" si="244"/>
        <v>150.08479454981793</v>
      </c>
      <c r="I552" s="304">
        <f t="shared" ca="1" si="245"/>
        <v>151.90265962978819</v>
      </c>
      <c r="J552" s="306">
        <f t="shared" ca="1" si="246"/>
        <v>228.8705410854507</v>
      </c>
      <c r="K552" s="307">
        <f t="shared" ca="1" si="247"/>
        <v>1832.3252715955996</v>
      </c>
      <c r="L552" s="304">
        <f t="shared" ca="1" si="232"/>
        <v>1846.5637344821421</v>
      </c>
      <c r="M552" s="306">
        <f t="shared" ca="1" si="248"/>
        <v>1.4159334947975595</v>
      </c>
      <c r="N552" s="304">
        <f t="shared" ca="1" si="249"/>
        <v>81.127013323109068</v>
      </c>
      <c r="P552" s="310">
        <f t="shared" ca="1" si="250"/>
        <v>23</v>
      </c>
      <c r="Q552" s="304">
        <f t="shared" ca="1" si="251"/>
        <v>0</v>
      </c>
      <c r="R552" s="306">
        <f t="shared" ca="1" si="252"/>
        <v>0</v>
      </c>
      <c r="S552" s="307">
        <f t="shared" ca="1" si="253"/>
        <v>9.137999999999975</v>
      </c>
      <c r="T552" s="304">
        <f t="shared" ca="1" si="233"/>
        <v>89.643779999999765</v>
      </c>
      <c r="U552" s="311">
        <f t="shared" ca="1" si="234"/>
        <v>0</v>
      </c>
      <c r="V552" s="306">
        <f t="shared" ca="1" si="235"/>
        <v>1.0193784338331668</v>
      </c>
      <c r="W552" s="304">
        <f t="shared" ca="1" si="236"/>
        <v>62.184350225414285</v>
      </c>
      <c r="Y552" s="314" t="str">
        <f t="shared" ca="1" si="254"/>
        <v/>
      </c>
      <c r="Z552" s="315" t="str">
        <f t="shared" ca="1" si="255"/>
        <v/>
      </c>
      <c r="AA552" s="316" t="str">
        <f t="shared" ca="1" si="256"/>
        <v/>
      </c>
      <c r="AC552" s="310" t="e">
        <f t="shared" ca="1" si="257"/>
        <v>#N/A</v>
      </c>
      <c r="AD552" s="323" t="e">
        <f t="shared" ca="1" si="258"/>
        <v>#N/A</v>
      </c>
      <c r="AE552" s="324">
        <f t="shared" ca="1" si="237"/>
        <v>1832.3252715955996</v>
      </c>
      <c r="AG552" s="306">
        <f t="shared" ca="1" si="259"/>
        <v>-16.659793921332909</v>
      </c>
      <c r="AH552" s="304">
        <f t="shared" ca="1" si="260"/>
        <v>-6.9657001895820878</v>
      </c>
    </row>
    <row r="553" spans="1:34" x14ac:dyDescent="0.2">
      <c r="A553" s="347">
        <f t="shared" ca="1" si="238"/>
        <v>0.1</v>
      </c>
      <c r="B553" s="304">
        <f t="shared" ca="1" si="239"/>
        <v>9.8999999999999204</v>
      </c>
      <c r="D553" s="306">
        <f t="shared" ca="1" si="240"/>
        <v>-1.0496387203802393</v>
      </c>
      <c r="E553" s="307">
        <f t="shared" ca="1" si="241"/>
        <v>-16.533590642901657</v>
      </c>
      <c r="F553" s="304">
        <f t="shared" ca="1" si="242"/>
        <v>16.566875414222405</v>
      </c>
      <c r="G553" s="306">
        <f t="shared" ca="1" si="243"/>
        <v>23.325197193183499</v>
      </c>
      <c r="H553" s="307">
        <f t="shared" ca="1" si="244"/>
        <v>148.43143548552777</v>
      </c>
      <c r="I553" s="304">
        <f t="shared" ca="1" si="245"/>
        <v>150.25297289702885</v>
      </c>
      <c r="J553" s="306">
        <f t="shared" ca="1" si="246"/>
        <v>231.20830899837094</v>
      </c>
      <c r="K553" s="307">
        <f t="shared" ca="1" si="247"/>
        <v>1847.251083097367</v>
      </c>
      <c r="L553" s="304">
        <f t="shared" ca="1" si="232"/>
        <v>1861.6642678405474</v>
      </c>
      <c r="M553" s="306">
        <f t="shared" ca="1" si="248"/>
        <v>1.4149264335060674</v>
      </c>
      <c r="N553" s="304">
        <f t="shared" ca="1" si="249"/>
        <v>81.069312961395568</v>
      </c>
      <c r="P553" s="310">
        <f t="shared" ca="1" si="250"/>
        <v>23</v>
      </c>
      <c r="Q553" s="304">
        <f t="shared" ca="1" si="251"/>
        <v>0</v>
      </c>
      <c r="R553" s="306">
        <f t="shared" ca="1" si="252"/>
        <v>0</v>
      </c>
      <c r="S553" s="307">
        <f t="shared" ca="1" si="253"/>
        <v>9.137999999999975</v>
      </c>
      <c r="T553" s="304">
        <f t="shared" ca="1" si="233"/>
        <v>89.643779999999765</v>
      </c>
      <c r="U553" s="311">
        <f t="shared" ca="1" si="234"/>
        <v>0</v>
      </c>
      <c r="V553" s="306">
        <f t="shared" ca="1" si="235"/>
        <v>1.0178450981601979</v>
      </c>
      <c r="W553" s="304">
        <f t="shared" ca="1" si="236"/>
        <v>60.749504555996332</v>
      </c>
      <c r="Y553" s="314" t="str">
        <f t="shared" ca="1" si="254"/>
        <v/>
      </c>
      <c r="Z553" s="315" t="str">
        <f t="shared" ca="1" si="255"/>
        <v/>
      </c>
      <c r="AA553" s="316" t="str">
        <f t="shared" ca="1" si="256"/>
        <v/>
      </c>
      <c r="AC553" s="310" t="e">
        <f t="shared" ca="1" si="257"/>
        <v>#N/A</v>
      </c>
      <c r="AD553" s="323" t="e">
        <f t="shared" ca="1" si="258"/>
        <v>#N/A</v>
      </c>
      <c r="AE553" s="324">
        <f t="shared" ca="1" si="237"/>
        <v>1847.251083097367</v>
      </c>
      <c r="AG553" s="306">
        <f t="shared" ca="1" si="259"/>
        <v>-16.497629239653254</v>
      </c>
      <c r="AH553" s="304">
        <f t="shared" ca="1" si="260"/>
        <v>-6.8050284772832628</v>
      </c>
    </row>
    <row r="554" spans="1:34" x14ac:dyDescent="0.2">
      <c r="A554" s="347">
        <f t="shared" ca="1" si="238"/>
        <v>0.1</v>
      </c>
      <c r="B554" s="304">
        <f t="shared" ca="1" si="239"/>
        <v>9.9999999999999201</v>
      </c>
      <c r="D554" s="306">
        <f t="shared" ca="1" si="240"/>
        <v>-1.0320336002251407</v>
      </c>
      <c r="E554" s="307">
        <f t="shared" ca="1" si="241"/>
        <v>-16.377414092236776</v>
      </c>
      <c r="F554" s="304">
        <f t="shared" ca="1" si="242"/>
        <v>16.409899015551236</v>
      </c>
      <c r="G554" s="306">
        <f t="shared" ca="1" si="243"/>
        <v>23.221993833160983</v>
      </c>
      <c r="H554" s="307">
        <f t="shared" ca="1" si="244"/>
        <v>146.79369407630409</v>
      </c>
      <c r="I554" s="304">
        <f t="shared" ca="1" si="245"/>
        <v>148.61914283885142</v>
      </c>
      <c r="J554" s="306">
        <f t="shared" ca="1" si="246"/>
        <v>233.53566854968815</v>
      </c>
      <c r="K554" s="307">
        <f t="shared" ca="1" si="247"/>
        <v>1862.0123395754586</v>
      </c>
      <c r="L554" s="304">
        <f t="shared" ca="1" si="232"/>
        <v>1876.600346695114</v>
      </c>
      <c r="M554" s="306">
        <f t="shared" ca="1" si="248"/>
        <v>1.4139017338710689</v>
      </c>
      <c r="N554" s="304">
        <f t="shared" ca="1" si="249"/>
        <v>81.010601997041562</v>
      </c>
      <c r="P554" s="310">
        <f t="shared" ca="1" si="250"/>
        <v>23</v>
      </c>
      <c r="Q554" s="304">
        <f t="shared" ca="1" si="251"/>
        <v>0</v>
      </c>
      <c r="R554" s="306">
        <f t="shared" ca="1" si="252"/>
        <v>0</v>
      </c>
      <c r="S554" s="307">
        <f t="shared" ca="1" si="253"/>
        <v>9.137999999999975</v>
      </c>
      <c r="T554" s="304">
        <f t="shared" ca="1" si="233"/>
        <v>89.643779999999765</v>
      </c>
      <c r="U554" s="311">
        <f t="shared" ca="1" si="234"/>
        <v>0</v>
      </c>
      <c r="V554" s="306">
        <f t="shared" ca="1" si="235"/>
        <v>1.0163307265085706</v>
      </c>
      <c r="W554" s="304">
        <f t="shared" ca="1" si="236"/>
        <v>59.347094758793332</v>
      </c>
      <c r="Y554" s="314" t="str">
        <f t="shared" ca="1" si="254"/>
        <v/>
      </c>
      <c r="Z554" s="315" t="str">
        <f t="shared" ca="1" si="255"/>
        <v/>
      </c>
      <c r="AA554" s="316" t="str">
        <f t="shared" ca="1" si="256"/>
        <v/>
      </c>
      <c r="AC554" s="310">
        <f t="shared" ca="1" si="257"/>
        <v>9.9999999999999201</v>
      </c>
      <c r="AD554" s="323">
        <f t="shared" ca="1" si="258"/>
        <v>233.53566854968815</v>
      </c>
      <c r="AE554" s="324">
        <f t="shared" ca="1" si="237"/>
        <v>1862.0123395754586</v>
      </c>
      <c r="AG554" s="306">
        <f t="shared" ca="1" si="259"/>
        <v>-16.33908083914794</v>
      </c>
      <c r="AH554" s="304">
        <f t="shared" ca="1" si="260"/>
        <v>-6.6480088154953485</v>
      </c>
    </row>
    <row r="555" spans="1:34" x14ac:dyDescent="0.2">
      <c r="A555" s="347">
        <f t="shared" ca="1" si="238"/>
        <v>0.1</v>
      </c>
      <c r="B555" s="304">
        <f t="shared" ca="1" si="239"/>
        <v>10.09999999999992</v>
      </c>
      <c r="D555" s="306">
        <f t="shared" ca="1" si="240"/>
        <v>-1.014782719508186</v>
      </c>
      <c r="E555" s="307">
        <f t="shared" ca="1" si="241"/>
        <v>-16.224768049274246</v>
      </c>
      <c r="F555" s="304">
        <f t="shared" ca="1" si="242"/>
        <v>16.25647201026603</v>
      </c>
      <c r="G555" s="306">
        <f t="shared" ca="1" si="243"/>
        <v>23.120515561210166</v>
      </c>
      <c r="H555" s="307">
        <f t="shared" ca="1" si="244"/>
        <v>145.17121727137666</v>
      </c>
      <c r="I555" s="304">
        <f t="shared" ca="1" si="245"/>
        <v>147.00081824217651</v>
      </c>
      <c r="J555" s="306">
        <f t="shared" ca="1" si="246"/>
        <v>235.8527940194067</v>
      </c>
      <c r="K555" s="307">
        <f t="shared" ca="1" si="247"/>
        <v>1876.6105851428426</v>
      </c>
      <c r="L555" s="304">
        <f t="shared" ca="1" si="232"/>
        <v>1891.3735296648631</v>
      </c>
      <c r="M555" s="306">
        <f t="shared" ca="1" si="248"/>
        <v>1.412858998544491</v>
      </c>
      <c r="N555" s="304">
        <f t="shared" ca="1" si="249"/>
        <v>80.950857663679457</v>
      </c>
      <c r="P555" s="310">
        <f t="shared" ca="1" si="250"/>
        <v>23</v>
      </c>
      <c r="Q555" s="304">
        <f t="shared" ca="1" si="251"/>
        <v>0</v>
      </c>
      <c r="R555" s="306">
        <f t="shared" ca="1" si="252"/>
        <v>0</v>
      </c>
      <c r="S555" s="307">
        <f t="shared" ca="1" si="253"/>
        <v>9.137999999999975</v>
      </c>
      <c r="T555" s="304">
        <f t="shared" ca="1" si="233"/>
        <v>89.643779999999765</v>
      </c>
      <c r="U555" s="311">
        <f t="shared" ca="1" si="234"/>
        <v>0</v>
      </c>
      <c r="V555" s="306">
        <f t="shared" ca="1" si="235"/>
        <v>1.0148350882232908</v>
      </c>
      <c r="W555" s="304">
        <f t="shared" ca="1" si="236"/>
        <v>57.97621815705358</v>
      </c>
      <c r="Y555" s="314" t="str">
        <f t="shared" ca="1" si="254"/>
        <v/>
      </c>
      <c r="Z555" s="315" t="str">
        <f t="shared" ca="1" si="255"/>
        <v/>
      </c>
      <c r="AA555" s="316" t="str">
        <f t="shared" ca="1" si="256"/>
        <v/>
      </c>
      <c r="AC555" s="310" t="e">
        <f t="shared" ca="1" si="257"/>
        <v>#N/A</v>
      </c>
      <c r="AD555" s="323" t="e">
        <f t="shared" ca="1" si="258"/>
        <v>#N/A</v>
      </c>
      <c r="AE555" s="324">
        <f t="shared" ca="1" si="237"/>
        <v>1876.6105851428426</v>
      </c>
      <c r="AG555" s="306">
        <f t="shared" ca="1" si="259"/>
        <v>-16.18404513439167</v>
      </c>
      <c r="AH555" s="304">
        <f t="shared" ca="1" si="260"/>
        <v>-6.4945387129342844</v>
      </c>
    </row>
    <row r="556" spans="1:34" x14ac:dyDescent="0.2">
      <c r="A556" s="347">
        <f t="shared" ca="1" si="238"/>
        <v>0.1</v>
      </c>
      <c r="B556" s="304">
        <f t="shared" ca="1" si="239"/>
        <v>10.199999999999919</v>
      </c>
      <c r="D556" s="306">
        <f t="shared" ca="1" si="240"/>
        <v>-0.99787580073499771</v>
      </c>
      <c r="E556" s="307">
        <f t="shared" ca="1" si="241"/>
        <v>-16.075554256125201</v>
      </c>
      <c r="F556" s="304">
        <f t="shared" ca="1" si="242"/>
        <v>16.106495607527961</v>
      </c>
      <c r="G556" s="306">
        <f t="shared" ca="1" si="243"/>
        <v>23.020727981136666</v>
      </c>
      <c r="H556" s="307">
        <f t="shared" ca="1" si="244"/>
        <v>143.56366184576413</v>
      </c>
      <c r="I556" s="304">
        <f t="shared" ca="1" si="245"/>
        <v>145.39765788810493</v>
      </c>
      <c r="J556" s="306">
        <f t="shared" ca="1" si="246"/>
        <v>238.15985619652403</v>
      </c>
      <c r="K556" s="307">
        <f t="shared" ca="1" si="247"/>
        <v>1891.0473290986997</v>
      </c>
      <c r="L556" s="304">
        <f t="shared" ca="1" si="232"/>
        <v>1905.9853404459529</v>
      </c>
      <c r="M556" s="306">
        <f t="shared" ca="1" si="248"/>
        <v>1.4117978176067218</v>
      </c>
      <c r="N556" s="304">
        <f t="shared" ca="1" si="249"/>
        <v>80.890056474645547</v>
      </c>
      <c r="P556" s="310">
        <f t="shared" ca="1" si="250"/>
        <v>23</v>
      </c>
      <c r="Q556" s="304">
        <f t="shared" ca="1" si="251"/>
        <v>0</v>
      </c>
      <c r="R556" s="306">
        <f t="shared" ca="1" si="252"/>
        <v>0</v>
      </c>
      <c r="S556" s="307">
        <f t="shared" ca="1" si="253"/>
        <v>9.137999999999975</v>
      </c>
      <c r="T556" s="304">
        <f t="shared" ca="1" si="233"/>
        <v>89.643779999999765</v>
      </c>
      <c r="U556" s="311">
        <f t="shared" ca="1" si="234"/>
        <v>0</v>
      </c>
      <c r="V556" s="306">
        <f t="shared" ca="1" si="235"/>
        <v>1.0133579580894103</v>
      </c>
      <c r="W556" s="304">
        <f t="shared" ca="1" si="236"/>
        <v>56.63600450674366</v>
      </c>
      <c r="Y556" s="314" t="str">
        <f t="shared" ca="1" si="254"/>
        <v/>
      </c>
      <c r="Z556" s="315" t="str">
        <f t="shared" ca="1" si="255"/>
        <v/>
      </c>
      <c r="AA556" s="316" t="str">
        <f t="shared" ca="1" si="256"/>
        <v/>
      </c>
      <c r="AC556" s="310" t="e">
        <f t="shared" ca="1" si="257"/>
        <v>#N/A</v>
      </c>
      <c r="AD556" s="323" t="e">
        <f t="shared" ca="1" si="258"/>
        <v>#N/A</v>
      </c>
      <c r="AE556" s="324">
        <f t="shared" ca="1" si="237"/>
        <v>1891.0473290986997</v>
      </c>
      <c r="AG556" s="306">
        <f t="shared" ca="1" si="259"/>
        <v>-16.032422205773901</v>
      </c>
      <c r="AH556" s="304">
        <f t="shared" ca="1" si="260"/>
        <v>-6.344519386852018</v>
      </c>
    </row>
    <row r="557" spans="1:34" x14ac:dyDescent="0.2">
      <c r="A557" s="347">
        <f t="shared" ca="1" si="238"/>
        <v>0.1</v>
      </c>
      <c r="B557" s="304">
        <f t="shared" ca="1" si="239"/>
        <v>10.299999999999919</v>
      </c>
      <c r="D557" s="306">
        <f t="shared" ca="1" si="240"/>
        <v>-0.98130293150443881</v>
      </c>
      <c r="E557" s="307">
        <f t="shared" ca="1" si="241"/>
        <v>-15.929677985083611</v>
      </c>
      <c r="F557" s="304">
        <f t="shared" ca="1" si="242"/>
        <v>15.959874565667384</v>
      </c>
      <c r="G557" s="306">
        <f t="shared" ca="1" si="243"/>
        <v>22.922597687986222</v>
      </c>
      <c r="H557" s="307">
        <f t="shared" ca="1" si="244"/>
        <v>141.97069404725576</v>
      </c>
      <c r="I557" s="304">
        <f t="shared" ca="1" si="245"/>
        <v>143.80933020157201</v>
      </c>
      <c r="J557" s="306">
        <f t="shared" ca="1" si="246"/>
        <v>240.45702247998017</v>
      </c>
      <c r="K557" s="307">
        <f t="shared" ca="1" si="247"/>
        <v>1905.3240468933507</v>
      </c>
      <c r="L557" s="304">
        <f t="shared" ca="1" si="232"/>
        <v>1920.4372687828136</v>
      </c>
      <c r="M557" s="306">
        <f t="shared" ca="1" si="248"/>
        <v>1.4107177680808671</v>
      </c>
      <c r="N557" s="304">
        <f t="shared" ca="1" si="249"/>
        <v>80.828174195148961</v>
      </c>
      <c r="P557" s="310">
        <f t="shared" ca="1" si="250"/>
        <v>23</v>
      </c>
      <c r="Q557" s="304">
        <f t="shared" ca="1" si="251"/>
        <v>0</v>
      </c>
      <c r="R557" s="306">
        <f t="shared" ca="1" si="252"/>
        <v>0</v>
      </c>
      <c r="S557" s="307">
        <f t="shared" ca="1" si="253"/>
        <v>9.137999999999975</v>
      </c>
      <c r="T557" s="304">
        <f t="shared" ca="1" si="233"/>
        <v>89.643779999999765</v>
      </c>
      <c r="U557" s="311">
        <f t="shared" ca="1" si="234"/>
        <v>0</v>
      </c>
      <c r="V557" s="306">
        <f t="shared" ca="1" si="235"/>
        <v>1.0118991161739632</v>
      </c>
      <c r="W557" s="304">
        <f t="shared" ca="1" si="236"/>
        <v>55.325614613709853</v>
      </c>
      <c r="Y557" s="314" t="str">
        <f t="shared" ca="1" si="254"/>
        <v/>
      </c>
      <c r="Z557" s="315" t="str">
        <f t="shared" ca="1" si="255"/>
        <v/>
      </c>
      <c r="AA557" s="316" t="str">
        <f t="shared" ca="1" si="256"/>
        <v/>
      </c>
      <c r="AC557" s="310" t="e">
        <f t="shared" ca="1" si="257"/>
        <v>#N/A</v>
      </c>
      <c r="AD557" s="323" t="e">
        <f t="shared" ca="1" si="258"/>
        <v>#N/A</v>
      </c>
      <c r="AE557" s="324">
        <f t="shared" ca="1" si="237"/>
        <v>1905.3240468933507</v>
      </c>
      <c r="AG557" s="306">
        <f t="shared" ca="1" si="259"/>
        <v>-15.884115638183573</v>
      </c>
      <c r="AH557" s="304">
        <f t="shared" ca="1" si="260"/>
        <v>-6.1978556037145784</v>
      </c>
    </row>
    <row r="558" spans="1:34" x14ac:dyDescent="0.2">
      <c r="A558" s="347">
        <f t="shared" ca="1" si="238"/>
        <v>0.1</v>
      </c>
      <c r="B558" s="304">
        <f t="shared" ca="1" si="239"/>
        <v>10.399999999999919</v>
      </c>
      <c r="D558" s="306">
        <f t="shared" ca="1" si="240"/>
        <v>-0.96505454889975029</v>
      </c>
      <c r="E558" s="307">
        <f t="shared" ca="1" si="241"/>
        <v>-15.787047888100654</v>
      </c>
      <c r="F558" s="304">
        <f t="shared" ca="1" si="242"/>
        <v>15.816517040851169</v>
      </c>
      <c r="G558" s="306">
        <f t="shared" ca="1" si="243"/>
        <v>22.826092233096247</v>
      </c>
      <c r="H558" s="307">
        <f t="shared" ca="1" si="244"/>
        <v>140.3919892584457</v>
      </c>
      <c r="I558" s="304">
        <f t="shared" ca="1" si="245"/>
        <v>142.23551291635064</v>
      </c>
      <c r="J558" s="306">
        <f t="shared" ca="1" si="246"/>
        <v>242.74445697603429</v>
      </c>
      <c r="K558" s="307">
        <f t="shared" ca="1" si="247"/>
        <v>1919.4421810586357</v>
      </c>
      <c r="L558" s="304">
        <f t="shared" ca="1" si="232"/>
        <v>1934.7307714045699</v>
      </c>
      <c r="M558" s="306">
        <f t="shared" ca="1" si="248"/>
        <v>1.4096184134242682</v>
      </c>
      <c r="N558" s="304">
        <f t="shared" ca="1" si="249"/>
        <v>80.765185813137791</v>
      </c>
      <c r="P558" s="310">
        <f t="shared" ca="1" si="250"/>
        <v>23</v>
      </c>
      <c r="Q558" s="304">
        <f t="shared" ca="1" si="251"/>
        <v>0</v>
      </c>
      <c r="R558" s="306">
        <f t="shared" ca="1" si="252"/>
        <v>0</v>
      </c>
      <c r="S558" s="307">
        <f t="shared" ca="1" si="253"/>
        <v>9.137999999999975</v>
      </c>
      <c r="T558" s="304">
        <f t="shared" ca="1" si="233"/>
        <v>89.643779999999765</v>
      </c>
      <c r="U558" s="311">
        <f t="shared" ca="1" si="234"/>
        <v>0</v>
      </c>
      <c r="V558" s="306">
        <f t="shared" ca="1" si="235"/>
        <v>1.0104583476737667</v>
      </c>
      <c r="W558" s="304">
        <f t="shared" ca="1" si="236"/>
        <v>54.044239019716343</v>
      </c>
      <c r="Y558" s="314" t="str">
        <f t="shared" ca="1" si="254"/>
        <v/>
      </c>
      <c r="Z558" s="315" t="str">
        <f t="shared" ca="1" si="255"/>
        <v/>
      </c>
      <c r="AA558" s="316" t="str">
        <f t="shared" ca="1" si="256"/>
        <v/>
      </c>
      <c r="AC558" s="310" t="e">
        <f t="shared" ca="1" si="257"/>
        <v>#N/A</v>
      </c>
      <c r="AD558" s="323" t="e">
        <f t="shared" ca="1" si="258"/>
        <v>#N/A</v>
      </c>
      <c r="AE558" s="324">
        <f t="shared" ca="1" si="237"/>
        <v>1919.4421810586357</v>
      </c>
      <c r="AG558" s="306">
        <f t="shared" ca="1" si="259"/>
        <v>-15.739032367578339</v>
      </c>
      <c r="AH558" s="304">
        <f t="shared" ca="1" si="260"/>
        <v>-6.0544555278737144</v>
      </c>
    </row>
    <row r="559" spans="1:34" x14ac:dyDescent="0.2">
      <c r="A559" s="347">
        <f t="shared" ca="1" si="238"/>
        <v>0.1</v>
      </c>
      <c r="B559" s="304">
        <f t="shared" ca="1" si="239"/>
        <v>10.499999999999918</v>
      </c>
      <c r="D559" s="306">
        <f t="shared" ca="1" si="240"/>
        <v>-0.94912142465788363</v>
      </c>
      <c r="E559" s="307">
        <f t="shared" ca="1" si="241"/>
        <v>-15.647575853756013</v>
      </c>
      <c r="F559" s="304">
        <f t="shared" ca="1" si="242"/>
        <v>15.676334443287207</v>
      </c>
      <c r="G559" s="306">
        <f t="shared" ca="1" si="243"/>
        <v>22.73118009063046</v>
      </c>
      <c r="H559" s="307">
        <f t="shared" ca="1" si="244"/>
        <v>138.82723167307012</v>
      </c>
      <c r="I559" s="304">
        <f t="shared" ca="1" si="245"/>
        <v>140.67589275466128</v>
      </c>
      <c r="J559" s="306">
        <f t="shared" ca="1" si="246"/>
        <v>245.02232059222061</v>
      </c>
      <c r="K559" s="307">
        <f t="shared" ca="1" si="247"/>
        <v>1933.4031421052114</v>
      </c>
      <c r="L559" s="304">
        <f t="shared" ca="1" si="232"/>
        <v>1948.8672729282262</v>
      </c>
      <c r="M559" s="306">
        <f t="shared" ca="1" si="248"/>
        <v>1.4084993029960426</v>
      </c>
      <c r="N559" s="304">
        <f t="shared" ca="1" si="249"/>
        <v>80.701065508791388</v>
      </c>
      <c r="P559" s="310">
        <f t="shared" ca="1" si="250"/>
        <v>23</v>
      </c>
      <c r="Q559" s="304">
        <f t="shared" ca="1" si="251"/>
        <v>0</v>
      </c>
      <c r="R559" s="306">
        <f t="shared" ca="1" si="252"/>
        <v>0</v>
      </c>
      <c r="S559" s="307">
        <f t="shared" ca="1" si="253"/>
        <v>9.137999999999975</v>
      </c>
      <c r="T559" s="304">
        <f t="shared" ca="1" si="233"/>
        <v>89.643779999999765</v>
      </c>
      <c r="U559" s="311">
        <f t="shared" ca="1" si="234"/>
        <v>0</v>
      </c>
      <c r="V559" s="306">
        <f t="shared" ca="1" si="235"/>
        <v>1.009035442768818</v>
      </c>
      <c r="W559" s="304">
        <f t="shared" ca="1" si="236"/>
        <v>52.791096753458746</v>
      </c>
      <c r="Y559" s="314" t="str">
        <f t="shared" ca="1" si="254"/>
        <v/>
      </c>
      <c r="Z559" s="315" t="str">
        <f t="shared" ca="1" si="255"/>
        <v/>
      </c>
      <c r="AA559" s="316" t="str">
        <f t="shared" ca="1" si="256"/>
        <v/>
      </c>
      <c r="AC559" s="310" t="e">
        <f t="shared" ca="1" si="257"/>
        <v>#N/A</v>
      </c>
      <c r="AD559" s="323" t="e">
        <f t="shared" ca="1" si="258"/>
        <v>#N/A</v>
      </c>
      <c r="AE559" s="324">
        <f t="shared" ca="1" si="237"/>
        <v>1933.4031421052114</v>
      </c>
      <c r="AG559" s="306">
        <f t="shared" ca="1" si="259"/>
        <v>-15.597082534975378</v>
      </c>
      <c r="AH559" s="304">
        <f t="shared" ca="1" si="260"/>
        <v>-5.9142305777759345</v>
      </c>
    </row>
    <row r="560" spans="1:34" x14ac:dyDescent="0.2">
      <c r="A560" s="347">
        <f t="shared" ca="1" si="238"/>
        <v>0.1</v>
      </c>
      <c r="B560" s="304">
        <f t="shared" ca="1" si="239"/>
        <v>10.599999999999918</v>
      </c>
      <c r="D560" s="306">
        <f t="shared" ca="1" si="240"/>
        <v>-0.93349465107304752</v>
      </c>
      <c r="E560" s="307">
        <f t="shared" ca="1" si="241"/>
        <v>-15.511176871301421</v>
      </c>
      <c r="F560" s="304">
        <f t="shared" ca="1" si="242"/>
        <v>15.539241300539036</v>
      </c>
      <c r="G560" s="306">
        <f t="shared" ca="1" si="243"/>
        <v>22.637830625523154</v>
      </c>
      <c r="H560" s="307">
        <f t="shared" ca="1" si="244"/>
        <v>137.27611398593999</v>
      </c>
      <c r="I560" s="304">
        <f t="shared" ca="1" si="245"/>
        <v>139.13016512069072</v>
      </c>
      <c r="J560" s="306">
        <f t="shared" ca="1" si="246"/>
        <v>247.2907711280283</v>
      </c>
      <c r="K560" s="307">
        <f t="shared" ca="1" si="247"/>
        <v>1947.208309388162</v>
      </c>
      <c r="L560" s="304">
        <f t="shared" ca="1" si="232"/>
        <v>1962.8481667300196</v>
      </c>
      <c r="M560" s="306">
        <f t="shared" ca="1" si="248"/>
        <v>1.4073599714993379</v>
      </c>
      <c r="N560" s="304">
        <f t="shared" ca="1" si="249"/>
        <v>80.635786622563884</v>
      </c>
      <c r="P560" s="310">
        <f t="shared" ca="1" si="250"/>
        <v>23</v>
      </c>
      <c r="Q560" s="304">
        <f t="shared" ca="1" si="251"/>
        <v>0</v>
      </c>
      <c r="R560" s="306">
        <f t="shared" ca="1" si="252"/>
        <v>0</v>
      </c>
      <c r="S560" s="307">
        <f t="shared" ca="1" si="253"/>
        <v>9.137999999999975</v>
      </c>
      <c r="T560" s="304">
        <f t="shared" ca="1" si="233"/>
        <v>89.643779999999765</v>
      </c>
      <c r="U560" s="311">
        <f t="shared" ca="1" si="234"/>
        <v>0</v>
      </c>
      <c r="V560" s="306">
        <f t="shared" ca="1" si="235"/>
        <v>1.0076301964810579</v>
      </c>
      <c r="W560" s="304">
        <f t="shared" ca="1" si="236"/>
        <v>51.565434142899939</v>
      </c>
      <c r="Y560" s="314" t="str">
        <f t="shared" ca="1" si="254"/>
        <v/>
      </c>
      <c r="Z560" s="315" t="str">
        <f t="shared" ca="1" si="255"/>
        <v/>
      </c>
      <c r="AA560" s="316" t="str">
        <f t="shared" ca="1" si="256"/>
        <v/>
      </c>
      <c r="AC560" s="310" t="e">
        <f t="shared" ca="1" si="257"/>
        <v>#N/A</v>
      </c>
      <c r="AD560" s="323" t="e">
        <f t="shared" ca="1" si="258"/>
        <v>#N/A</v>
      </c>
      <c r="AE560" s="324">
        <f t="shared" ca="1" si="237"/>
        <v>1947.208309388162</v>
      </c>
      <c r="AG560" s="306">
        <f t="shared" ca="1" si="259"/>
        <v>-15.458179347429493</v>
      </c>
      <c r="AH560" s="304">
        <f t="shared" ca="1" si="260"/>
        <v>-5.7770952892819976</v>
      </c>
    </row>
    <row r="561" spans="1:34" x14ac:dyDescent="0.2">
      <c r="A561" s="347">
        <f t="shared" ca="1" si="238"/>
        <v>0.1</v>
      </c>
      <c r="B561" s="304">
        <f t="shared" ca="1" si="239"/>
        <v>10.699999999999918</v>
      </c>
      <c r="D561" s="306">
        <f t="shared" ca="1" si="240"/>
        <v>-0.91816562759328191</v>
      </c>
      <c r="E561" s="307">
        <f t="shared" ca="1" si="241"/>
        <v>-15.377768901378762</v>
      </c>
      <c r="F561" s="304">
        <f t="shared" ca="1" si="242"/>
        <v>15.405155127550827</v>
      </c>
      <c r="G561" s="306">
        <f t="shared" ca="1" si="243"/>
        <v>22.546014062763827</v>
      </c>
      <c r="H561" s="307">
        <f t="shared" ca="1" si="244"/>
        <v>135.73833709580211</v>
      </c>
      <c r="I561" s="304">
        <f t="shared" ca="1" si="245"/>
        <v>137.59803380736204</v>
      </c>
      <c r="J561" s="306">
        <f t="shared" ca="1" si="246"/>
        <v>249.54996336244264</v>
      </c>
      <c r="K561" s="307">
        <f t="shared" ca="1" si="247"/>
        <v>1960.859031942249</v>
      </c>
      <c r="L561" s="304">
        <f t="shared" ca="1" si="232"/>
        <v>1976.6748157862714</v>
      </c>
      <c r="M561" s="306">
        <f t="shared" ca="1" si="248"/>
        <v>1.4061999383969026</v>
      </c>
      <c r="N561" s="304">
        <f t="shared" ca="1" si="249"/>
        <v>80.569321621698876</v>
      </c>
      <c r="P561" s="310">
        <f t="shared" ca="1" si="250"/>
        <v>23</v>
      </c>
      <c r="Q561" s="304">
        <f t="shared" ca="1" si="251"/>
        <v>0</v>
      </c>
      <c r="R561" s="306">
        <f t="shared" ca="1" si="252"/>
        <v>0</v>
      </c>
      <c r="S561" s="307">
        <f t="shared" ca="1" si="253"/>
        <v>9.137999999999975</v>
      </c>
      <c r="T561" s="304">
        <f t="shared" ca="1" si="233"/>
        <v>89.643779999999765</v>
      </c>
      <c r="U561" s="311">
        <f t="shared" ca="1" si="234"/>
        <v>0</v>
      </c>
      <c r="V561" s="306">
        <f t="shared" ca="1" si="235"/>
        <v>1.0062424085382591</v>
      </c>
      <c r="W561" s="304">
        <f t="shared" ca="1" si="236"/>
        <v>50.36652368550422</v>
      </c>
      <c r="Y561" s="314" t="str">
        <f t="shared" ca="1" si="254"/>
        <v/>
      </c>
      <c r="Z561" s="315" t="str">
        <f t="shared" ca="1" si="255"/>
        <v/>
      </c>
      <c r="AA561" s="316" t="str">
        <f t="shared" ca="1" si="256"/>
        <v/>
      </c>
      <c r="AC561" s="310" t="e">
        <f t="shared" ca="1" si="257"/>
        <v>#N/A</v>
      </c>
      <c r="AD561" s="323" t="e">
        <f t="shared" ca="1" si="258"/>
        <v>#N/A</v>
      </c>
      <c r="AE561" s="324">
        <f t="shared" ca="1" si="237"/>
        <v>1960.859031942249</v>
      </c>
      <c r="AG561" s="306">
        <f t="shared" ca="1" si="259"/>
        <v>-15.322238945590957</v>
      </c>
      <c r="AH561" s="304">
        <f t="shared" ca="1" si="260"/>
        <v>-5.6429671856970982</v>
      </c>
    </row>
    <row r="562" spans="1:34" x14ac:dyDescent="0.2">
      <c r="A562" s="347">
        <f t="shared" ca="1" si="238"/>
        <v>0.1</v>
      </c>
      <c r="B562" s="304">
        <f t="shared" ca="1" si="239"/>
        <v>10.799999999999917</v>
      </c>
      <c r="D562" s="306">
        <f t="shared" ca="1" si="240"/>
        <v>-0.90312604807146479</v>
      </c>
      <c r="E562" s="307">
        <f t="shared" ca="1" si="241"/>
        <v>-15.24727275304007</v>
      </c>
      <c r="F562" s="304">
        <f t="shared" ca="1" si="242"/>
        <v>15.273996303008042</v>
      </c>
      <c r="G562" s="306">
        <f t="shared" ca="1" si="243"/>
        <v>22.455701457956682</v>
      </c>
      <c r="H562" s="307">
        <f t="shared" ca="1" si="244"/>
        <v>134.21360982049811</v>
      </c>
      <c r="I562" s="304">
        <f t="shared" ca="1" si="245"/>
        <v>136.07921071573639</v>
      </c>
      <c r="J562" s="306">
        <f t="shared" ca="1" si="246"/>
        <v>251.80004913847867</v>
      </c>
      <c r="K562" s="307">
        <f t="shared" ca="1" si="247"/>
        <v>1974.3566292880639</v>
      </c>
      <c r="L562" s="304">
        <f t="shared" ca="1" si="232"/>
        <v>1990.3485534850083</v>
      </c>
      <c r="M562" s="306">
        <f t="shared" ca="1" si="248"/>
        <v>1.4050187072984985</v>
      </c>
      <c r="N562" s="304">
        <f t="shared" ca="1" si="249"/>
        <v>80.501642065130724</v>
      </c>
      <c r="P562" s="310">
        <f t="shared" ca="1" si="250"/>
        <v>23</v>
      </c>
      <c r="Q562" s="304">
        <f t="shared" ca="1" si="251"/>
        <v>0</v>
      </c>
      <c r="R562" s="306">
        <f t="shared" ca="1" si="252"/>
        <v>0</v>
      </c>
      <c r="S562" s="307">
        <f t="shared" ca="1" si="253"/>
        <v>9.137999999999975</v>
      </c>
      <c r="T562" s="304">
        <f t="shared" ca="1" si="233"/>
        <v>89.643779999999765</v>
      </c>
      <c r="U562" s="311">
        <f t="shared" ca="1" si="234"/>
        <v>0</v>
      </c>
      <c r="V562" s="306">
        <f t="shared" ca="1" si="235"/>
        <v>1.0048718832428236</v>
      </c>
      <c r="W562" s="304">
        <f t="shared" ca="1" si="236"/>
        <v>49.193662973160713</v>
      </c>
      <c r="Y562" s="314" t="str">
        <f t="shared" ca="1" si="254"/>
        <v/>
      </c>
      <c r="Z562" s="315" t="str">
        <f t="shared" ca="1" si="255"/>
        <v/>
      </c>
      <c r="AA562" s="316" t="str">
        <f t="shared" ca="1" si="256"/>
        <v/>
      </c>
      <c r="AC562" s="310" t="e">
        <f t="shared" ca="1" si="257"/>
        <v>#N/A</v>
      </c>
      <c r="AD562" s="323" t="e">
        <f t="shared" ca="1" si="258"/>
        <v>#N/A</v>
      </c>
      <c r="AE562" s="324">
        <f t="shared" ca="1" si="237"/>
        <v>1974.3566292880639</v>
      </c>
      <c r="AG562" s="306">
        <f t="shared" ca="1" si="259"/>
        <v>-15.189180277460011</v>
      </c>
      <c r="AH562" s="304">
        <f t="shared" ca="1" si="260"/>
        <v>-5.5117666541370491</v>
      </c>
    </row>
    <row r="563" spans="1:34" x14ac:dyDescent="0.2">
      <c r="A563" s="347">
        <f t="shared" ca="1" si="238"/>
        <v>0.1</v>
      </c>
      <c r="B563" s="304">
        <f t="shared" ca="1" si="239"/>
        <v>10.899999999999917</v>
      </c>
      <c r="D563" s="306">
        <f t="shared" ca="1" si="240"/>
        <v>-0.88836788863456795</v>
      </c>
      <c r="E563" s="307">
        <f t="shared" ca="1" si="241"/>
        <v>-15.119611966720051</v>
      </c>
      <c r="F563" s="304">
        <f t="shared" ca="1" si="242"/>
        <v>15.145687951682525</v>
      </c>
      <c r="G563" s="306">
        <f t="shared" ca="1" si="243"/>
        <v>22.366864669093225</v>
      </c>
      <c r="H563" s="307">
        <f t="shared" ca="1" si="244"/>
        <v>132.70164862382609</v>
      </c>
      <c r="I563" s="304">
        <f t="shared" ca="1" si="245"/>
        <v>134.5734155864632</v>
      </c>
      <c r="J563" s="306">
        <f t="shared" ca="1" si="246"/>
        <v>254.04117744483116</v>
      </c>
      <c r="K563" s="307">
        <f t="shared" ca="1" si="247"/>
        <v>1987.7023922102801</v>
      </c>
      <c r="L563" s="304">
        <f t="shared" ca="1" si="232"/>
        <v>2003.870684409557</v>
      </c>
      <c r="M563" s="306">
        <f t="shared" ca="1" si="248"/>
        <v>1.4038157653185708</v>
      </c>
      <c r="N563" s="304">
        <f t="shared" ca="1" si="249"/>
        <v>80.432718566681743</v>
      </c>
      <c r="P563" s="310">
        <f t="shared" ca="1" si="250"/>
        <v>23</v>
      </c>
      <c r="Q563" s="304">
        <f t="shared" ca="1" si="251"/>
        <v>0</v>
      </c>
      <c r="R563" s="306">
        <f t="shared" ca="1" si="252"/>
        <v>0</v>
      </c>
      <c r="S563" s="307">
        <f t="shared" ca="1" si="253"/>
        <v>9.137999999999975</v>
      </c>
      <c r="T563" s="304">
        <f t="shared" ca="1" si="233"/>
        <v>89.643779999999765</v>
      </c>
      <c r="U563" s="311">
        <f t="shared" ca="1" si="234"/>
        <v>0</v>
      </c>
      <c r="V563" s="306">
        <f t="shared" ca="1" si="235"/>
        <v>1.0035184293452841</v>
      </c>
      <c r="W563" s="304">
        <f t="shared" ca="1" si="236"/>
        <v>48.046173668786196</v>
      </c>
      <c r="Y563" s="314" t="str">
        <f t="shared" ca="1" si="254"/>
        <v/>
      </c>
      <c r="Z563" s="315" t="str">
        <f t="shared" ca="1" si="255"/>
        <v/>
      </c>
      <c r="AA563" s="316" t="str">
        <f t="shared" ca="1" si="256"/>
        <v/>
      </c>
      <c r="AC563" s="310" t="e">
        <f t="shared" ca="1" si="257"/>
        <v>#N/A</v>
      </c>
      <c r="AD563" s="323" t="e">
        <f t="shared" ca="1" si="258"/>
        <v>#N/A</v>
      </c>
      <c r="AE563" s="324">
        <f t="shared" ca="1" si="237"/>
        <v>1987.7023922102801</v>
      </c>
      <c r="AG563" s="306">
        <f t="shared" ca="1" si="259"/>
        <v>-15.058924977977837</v>
      </c>
      <c r="AH563" s="304">
        <f t="shared" ca="1" si="260"/>
        <v>-5.3834168278792784</v>
      </c>
    </row>
    <row r="564" spans="1:34" x14ac:dyDescent="0.2">
      <c r="A564" s="347">
        <f t="shared" ca="1" si="238"/>
        <v>0.1</v>
      </c>
      <c r="B564" s="304">
        <f t="shared" ca="1" si="239"/>
        <v>10.999999999999917</v>
      </c>
      <c r="D564" s="306">
        <f t="shared" ca="1" si="240"/>
        <v>-0.87388339613728161</v>
      </c>
      <c r="E564" s="307">
        <f t="shared" ca="1" si="241"/>
        <v>-14.994712702833496</v>
      </c>
      <c r="F564" s="304">
        <f t="shared" ca="1" si="242"/>
        <v>15.020155832432652</v>
      </c>
      <c r="G564" s="306">
        <f t="shared" ca="1" si="243"/>
        <v>22.279476329479497</v>
      </c>
      <c r="H564" s="307">
        <f t="shared" ca="1" si="244"/>
        <v>131.20217735354274</v>
      </c>
      <c r="I564" s="304">
        <f t="shared" ca="1" si="245"/>
        <v>133.08037574273044</v>
      </c>
      <c r="J564" s="306">
        <f t="shared" ca="1" si="246"/>
        <v>256.2734944947598</v>
      </c>
      <c r="K564" s="307">
        <f t="shared" ca="1" si="247"/>
        <v>2000.8975835091485</v>
      </c>
      <c r="L564" s="304">
        <f t="shared" ca="1" si="232"/>
        <v>2017.2424850952614</v>
      </c>
      <c r="M564" s="306">
        <f t="shared" ca="1" si="248"/>
        <v>1.4025905824025084</v>
      </c>
      <c r="N564" s="304">
        <f t="shared" ca="1" si="249"/>
        <v>80.362520756459844</v>
      </c>
      <c r="P564" s="310">
        <f t="shared" ca="1" si="250"/>
        <v>23</v>
      </c>
      <c r="Q564" s="304">
        <f t="shared" ca="1" si="251"/>
        <v>0</v>
      </c>
      <c r="R564" s="306">
        <f t="shared" ca="1" si="252"/>
        <v>0</v>
      </c>
      <c r="S564" s="307">
        <f t="shared" ca="1" si="253"/>
        <v>9.137999999999975</v>
      </c>
      <c r="T564" s="304">
        <f t="shared" ca="1" si="233"/>
        <v>89.643779999999765</v>
      </c>
      <c r="U564" s="311">
        <f t="shared" ca="1" si="234"/>
        <v>0</v>
      </c>
      <c r="V564" s="306">
        <f t="shared" ca="1" si="235"/>
        <v>1.0021818599223027</v>
      </c>
      <c r="W564" s="304">
        <f t="shared" ca="1" si="236"/>
        <v>46.923400531783649</v>
      </c>
      <c r="Y564" s="314" t="str">
        <f t="shared" ca="1" si="254"/>
        <v/>
      </c>
      <c r="Z564" s="315" t="str">
        <f t="shared" ca="1" si="255"/>
        <v/>
      </c>
      <c r="AA564" s="316" t="str">
        <f t="shared" ca="1" si="256"/>
        <v/>
      </c>
      <c r="AC564" s="310">
        <f t="shared" ca="1" si="257"/>
        <v>10.999999999999917</v>
      </c>
      <c r="AD564" s="323">
        <f t="shared" ca="1" si="258"/>
        <v>256.2734944947598</v>
      </c>
      <c r="AE564" s="324">
        <f t="shared" ca="1" si="237"/>
        <v>2000.8975835091485</v>
      </c>
      <c r="AG564" s="306">
        <f t="shared" ca="1" si="259"/>
        <v>-14.931397254115067</v>
      </c>
      <c r="AH564" s="304">
        <f t="shared" ca="1" si="260"/>
        <v>-5.2578434743692632</v>
      </c>
    </row>
    <row r="565" spans="1:34" x14ac:dyDescent="0.2">
      <c r="A565" s="347">
        <f t="shared" ca="1" si="238"/>
        <v>0.1</v>
      </c>
      <c r="B565" s="304">
        <f t="shared" ca="1" si="239"/>
        <v>11.099999999999916</v>
      </c>
      <c r="D565" s="306">
        <f t="shared" ca="1" si="240"/>
        <v>-0.8596650771681652</v>
      </c>
      <c r="E565" s="307">
        <f t="shared" ca="1" si="241"/>
        <v>-14.872503635690242</v>
      </c>
      <c r="F565" s="304">
        <f t="shared" ca="1" si="242"/>
        <v>14.897328231549508</v>
      </c>
      <c r="G565" s="306">
        <f t="shared" ca="1" si="243"/>
        <v>22.193509821762682</v>
      </c>
      <c r="H565" s="307">
        <f t="shared" ca="1" si="244"/>
        <v>129.71492698997372</v>
      </c>
      <c r="I565" s="304">
        <f t="shared" ca="1" si="245"/>
        <v>131.59982584419666</v>
      </c>
      <c r="J565" s="306">
        <f t="shared" ca="1" si="246"/>
        <v>258.49714380232189</v>
      </c>
      <c r="K565" s="307">
        <f t="shared" ca="1" si="247"/>
        <v>2013.9434387263243</v>
      </c>
      <c r="L565" s="304">
        <f t="shared" ca="1" si="232"/>
        <v>2030.4652047604191</v>
      </c>
      <c r="M565" s="306">
        <f t="shared" ca="1" si="248"/>
        <v>1.4013426106197051</v>
      </c>
      <c r="N565" s="304">
        <f t="shared" ca="1" si="249"/>
        <v>80.291017240353796</v>
      </c>
      <c r="P565" s="310">
        <f t="shared" ca="1" si="250"/>
        <v>23</v>
      </c>
      <c r="Q565" s="304">
        <f t="shared" ca="1" si="251"/>
        <v>0</v>
      </c>
      <c r="R565" s="306">
        <f t="shared" ca="1" si="252"/>
        <v>0</v>
      </c>
      <c r="S565" s="307">
        <f t="shared" ca="1" si="253"/>
        <v>9.137999999999975</v>
      </c>
      <c r="T565" s="304">
        <f t="shared" ca="1" si="233"/>
        <v>89.643779999999765</v>
      </c>
      <c r="U565" s="311">
        <f t="shared" ca="1" si="234"/>
        <v>0</v>
      </c>
      <c r="V565" s="306">
        <f t="shared" ca="1" si="235"/>
        <v>1.0008619922589856</v>
      </c>
      <c r="W565" s="304">
        <f t="shared" ca="1" si="236"/>
        <v>45.824710489704529</v>
      </c>
      <c r="Y565" s="314" t="str">
        <f t="shared" ca="1" si="254"/>
        <v/>
      </c>
      <c r="Z565" s="315" t="str">
        <f t="shared" ca="1" si="255"/>
        <v/>
      </c>
      <c r="AA565" s="316" t="str">
        <f t="shared" ca="1" si="256"/>
        <v/>
      </c>
      <c r="AC565" s="310" t="e">
        <f t="shared" ca="1" si="257"/>
        <v>#N/A</v>
      </c>
      <c r="AD565" s="323" t="e">
        <f t="shared" ca="1" si="258"/>
        <v>#N/A</v>
      </c>
      <c r="AE565" s="324">
        <f t="shared" ca="1" si="237"/>
        <v>2013.9434387263243</v>
      </c>
      <c r="AG565" s="306">
        <f t="shared" ca="1" si="259"/>
        <v>-14.806523775138391</v>
      </c>
      <c r="AH565" s="304">
        <f t="shared" ca="1" si="260"/>
        <v>-5.1349748885734057</v>
      </c>
    </row>
    <row r="566" spans="1:34" x14ac:dyDescent="0.2">
      <c r="A566" s="347">
        <f t="shared" ca="1" si="238"/>
        <v>0.1</v>
      </c>
      <c r="B566" s="304">
        <f t="shared" ca="1" si="239"/>
        <v>11.199999999999916</v>
      </c>
      <c r="D566" s="306">
        <f t="shared" ca="1" si="240"/>
        <v>-0.84570568757849141</v>
      </c>
      <c r="E566" s="307">
        <f t="shared" ca="1" si="241"/>
        <v>-14.752915852438917</v>
      </c>
      <c r="F566" s="304">
        <f t="shared" ca="1" si="242"/>
        <v>14.777135861158824</v>
      </c>
      <c r="G566" s="306">
        <f t="shared" ca="1" si="243"/>
        <v>22.108939253004831</v>
      </c>
      <c r="H566" s="307">
        <f t="shared" ca="1" si="244"/>
        <v>128.23963540472982</v>
      </c>
      <c r="I566" s="304">
        <f t="shared" ca="1" si="245"/>
        <v>130.13150765141813</v>
      </c>
      <c r="J566" s="306">
        <f t="shared" ca="1" si="246"/>
        <v>260.71226625606027</v>
      </c>
      <c r="K566" s="307">
        <f t="shared" ca="1" si="247"/>
        <v>2026.8411668460594</v>
      </c>
      <c r="L566" s="304">
        <f t="shared" ca="1" si="232"/>
        <v>2043.540066012474</v>
      </c>
      <c r="M566" s="306">
        <f t="shared" ca="1" si="248"/>
        <v>1.4000712834215241</v>
      </c>
      <c r="N566" s="304">
        <f t="shared" ca="1" si="249"/>
        <v>80.218175557517839</v>
      </c>
      <c r="P566" s="310">
        <f t="shared" ca="1" si="250"/>
        <v>23</v>
      </c>
      <c r="Q566" s="304">
        <f t="shared" ca="1" si="251"/>
        <v>0</v>
      </c>
      <c r="R566" s="306">
        <f t="shared" ca="1" si="252"/>
        <v>0</v>
      </c>
      <c r="S566" s="307">
        <f t="shared" ca="1" si="253"/>
        <v>9.137999999999975</v>
      </c>
      <c r="T566" s="304">
        <f t="shared" ca="1" si="233"/>
        <v>89.643779999999765</v>
      </c>
      <c r="U566" s="311">
        <f t="shared" ca="1" si="234"/>
        <v>0</v>
      </c>
      <c r="V566" s="306">
        <f t="shared" ca="1" si="235"/>
        <v>0.99955864773533132</v>
      </c>
      <c r="W566" s="304">
        <f t="shared" ca="1" si="236"/>
        <v>44.749491753625911</v>
      </c>
      <c r="Y566" s="314" t="str">
        <f t="shared" ca="1" si="254"/>
        <v/>
      </c>
      <c r="Z566" s="315" t="str">
        <f t="shared" ca="1" si="255"/>
        <v/>
      </c>
      <c r="AA566" s="316" t="str">
        <f t="shared" ca="1" si="256"/>
        <v/>
      </c>
      <c r="AC566" s="310" t="e">
        <f t="shared" ca="1" si="257"/>
        <v>#N/A</v>
      </c>
      <c r="AD566" s="323" t="e">
        <f t="shared" ca="1" si="258"/>
        <v>#N/A</v>
      </c>
      <c r="AE566" s="324">
        <f t="shared" ca="1" si="237"/>
        <v>2026.8411668460594</v>
      </c>
      <c r="AG566" s="306">
        <f t="shared" ca="1" si="259"/>
        <v>-14.684233567754006</v>
      </c>
      <c r="AH566" s="304">
        <f t="shared" ca="1" si="260"/>
        <v>-5.0147417913881212</v>
      </c>
    </row>
    <row r="567" spans="1:34" x14ac:dyDescent="0.2">
      <c r="A567" s="347">
        <f t="shared" ca="1" si="238"/>
        <v>0.1</v>
      </c>
      <c r="B567" s="304">
        <f t="shared" ca="1" si="239"/>
        <v>11.299999999999915</v>
      </c>
      <c r="D567" s="306">
        <f t="shared" ca="1" si="240"/>
        <v>-0.83199822250574917</v>
      </c>
      <c r="E567" s="307">
        <f t="shared" ca="1" si="241"/>
        <v>-14.635882756768602</v>
      </c>
      <c r="F567" s="304">
        <f t="shared" ca="1" si="242"/>
        <v>14.65951176240632</v>
      </c>
      <c r="G567" s="306">
        <f t="shared" ca="1" si="243"/>
        <v>22.025739430754257</v>
      </c>
      <c r="H567" s="307">
        <f t="shared" ca="1" si="244"/>
        <v>126.77604712905297</v>
      </c>
      <c r="I567" s="304">
        <f t="shared" ca="1" si="245"/>
        <v>128.67516980031283</v>
      </c>
      <c r="J567" s="306">
        <f t="shared" ca="1" si="246"/>
        <v>262.91900019024825</v>
      </c>
      <c r="K567" s="307">
        <f t="shared" ca="1" si="247"/>
        <v>2039.5919509727485</v>
      </c>
      <c r="L567" s="304">
        <f t="shared" ca="1" si="232"/>
        <v>2056.4682655304609</v>
      </c>
      <c r="M567" s="306">
        <f t="shared" ca="1" si="248"/>
        <v>1.3987760148621429</v>
      </c>
      <c r="N567" s="304">
        <f t="shared" ca="1" si="249"/>
        <v>80.143962135729296</v>
      </c>
      <c r="P567" s="310">
        <f t="shared" ca="1" si="250"/>
        <v>23</v>
      </c>
      <c r="Q567" s="304">
        <f t="shared" ca="1" si="251"/>
        <v>0</v>
      </c>
      <c r="R567" s="306">
        <f t="shared" ca="1" si="252"/>
        <v>0</v>
      </c>
      <c r="S567" s="307">
        <f t="shared" ca="1" si="253"/>
        <v>9.137999999999975</v>
      </c>
      <c r="T567" s="304">
        <f t="shared" ca="1" si="233"/>
        <v>89.643779999999765</v>
      </c>
      <c r="U567" s="311">
        <f t="shared" ca="1" si="234"/>
        <v>0</v>
      </c>
      <c r="V567" s="306">
        <f t="shared" ca="1" si="235"/>
        <v>0.99827165171664234</v>
      </c>
      <c r="W567" s="304">
        <f t="shared" ca="1" si="236"/>
        <v>43.697152974902814</v>
      </c>
      <c r="Y567" s="314" t="str">
        <f t="shared" ca="1" si="254"/>
        <v/>
      </c>
      <c r="Z567" s="315" t="str">
        <f t="shared" ca="1" si="255"/>
        <v/>
      </c>
      <c r="AA567" s="316" t="str">
        <f t="shared" ca="1" si="256"/>
        <v/>
      </c>
      <c r="AC567" s="310" t="e">
        <f t="shared" ca="1" si="257"/>
        <v>#N/A</v>
      </c>
      <c r="AD567" s="323" t="e">
        <f t="shared" ca="1" si="258"/>
        <v>#N/A</v>
      </c>
      <c r="AE567" s="324">
        <f t="shared" ca="1" si="237"/>
        <v>2039.5919509727485</v>
      </c>
      <c r="AG567" s="306">
        <f t="shared" ca="1" si="259"/>
        <v>-14.564457915843651</v>
      </c>
      <c r="AH567" s="304">
        <f t="shared" ca="1" si="260"/>
        <v>-4.8970772328327898</v>
      </c>
    </row>
    <row r="568" spans="1:34" x14ac:dyDescent="0.2">
      <c r="A568" s="347">
        <f t="shared" ca="1" si="238"/>
        <v>0.1</v>
      </c>
      <c r="B568" s="304">
        <f t="shared" ca="1" si="239"/>
        <v>11.399999999999915</v>
      </c>
      <c r="D568" s="306">
        <f t="shared" ca="1" si="240"/>
        <v>-0.81853590686548805</v>
      </c>
      <c r="E568" s="307">
        <f t="shared" ca="1" si="241"/>
        <v>-14.521339977113662</v>
      </c>
      <c r="F568" s="304">
        <f t="shared" ca="1" si="242"/>
        <v>14.544391213170373</v>
      </c>
      <c r="G568" s="306">
        <f t="shared" ca="1" si="243"/>
        <v>21.943885840067708</v>
      </c>
      <c r="H568" s="307">
        <f t="shared" ca="1" si="244"/>
        <v>125.3239131313416</v>
      </c>
      <c r="I568" s="304">
        <f t="shared" ca="1" si="245"/>
        <v>127.23056758622897</v>
      </c>
      <c r="J568" s="306">
        <f t="shared" ca="1" si="246"/>
        <v>265.11748145378937</v>
      </c>
      <c r="K568" s="307">
        <f t="shared" ca="1" si="247"/>
        <v>2052.1969489857684</v>
      </c>
      <c r="L568" s="304">
        <f t="shared" ca="1" si="232"/>
        <v>2069.2509747246459</v>
      </c>
      <c r="M568" s="306">
        <f t="shared" ca="1" si="248"/>
        <v>1.3974561987801208</v>
      </c>
      <c r="N568" s="304">
        <f t="shared" ca="1" si="249"/>
        <v>80.068342244495952</v>
      </c>
      <c r="P568" s="310">
        <f t="shared" ca="1" si="250"/>
        <v>23</v>
      </c>
      <c r="Q568" s="304">
        <f t="shared" ca="1" si="251"/>
        <v>0</v>
      </c>
      <c r="R568" s="306">
        <f t="shared" ca="1" si="252"/>
        <v>0</v>
      </c>
      <c r="S568" s="307">
        <f t="shared" ca="1" si="253"/>
        <v>9.137999999999975</v>
      </c>
      <c r="T568" s="304">
        <f t="shared" ca="1" si="233"/>
        <v>89.643779999999765</v>
      </c>
      <c r="U568" s="311">
        <f t="shared" ca="1" si="234"/>
        <v>0</v>
      </c>
      <c r="V568" s="306">
        <f t="shared" ca="1" si="235"/>
        <v>0.99700083344773593</v>
      </c>
      <c r="W568" s="304">
        <f t="shared" ca="1" si="236"/>
        <v>42.667122441096573</v>
      </c>
      <c r="Y568" s="314" t="str">
        <f t="shared" ca="1" si="254"/>
        <v/>
      </c>
      <c r="Z568" s="315" t="str">
        <f t="shared" ca="1" si="255"/>
        <v/>
      </c>
      <c r="AA568" s="316" t="str">
        <f t="shared" ca="1" si="256"/>
        <v/>
      </c>
      <c r="AC568" s="310" t="e">
        <f t="shared" ca="1" si="257"/>
        <v>#N/A</v>
      </c>
      <c r="AD568" s="323" t="e">
        <f t="shared" ca="1" si="258"/>
        <v>#N/A</v>
      </c>
      <c r="AE568" s="324">
        <f t="shared" ca="1" si="237"/>
        <v>2052.1969489857684</v>
      </c>
      <c r="AG568" s="306">
        <f t="shared" ca="1" si="259"/>
        <v>-14.447130264524262</v>
      </c>
      <c r="AH568" s="304">
        <f t="shared" ca="1" si="260"/>
        <v>-4.781916499770511</v>
      </c>
    </row>
    <row r="569" spans="1:34" x14ac:dyDescent="0.2">
      <c r="A569" s="347">
        <f t="shared" ca="1" si="238"/>
        <v>0.1</v>
      </c>
      <c r="B569" s="304">
        <f t="shared" ca="1" si="239"/>
        <v>11.499999999999915</v>
      </c>
      <c r="D569" s="306">
        <f t="shared" ca="1" si="240"/>
        <v>-0.80531218628677104</v>
      </c>
      <c r="E569" s="307">
        <f t="shared" ca="1" si="241"/>
        <v>-14.409225279122335</v>
      </c>
      <c r="F569" s="304">
        <f t="shared" ca="1" si="242"/>
        <v>14.431711640061275</v>
      </c>
      <c r="G569" s="306">
        <f t="shared" ca="1" si="243"/>
        <v>21.863354621439029</v>
      </c>
      <c r="H569" s="307">
        <f t="shared" ca="1" si="244"/>
        <v>123.88299060342936</v>
      </c>
      <c r="I569" s="304">
        <f t="shared" ca="1" si="245"/>
        <v>125.7974627572121</v>
      </c>
      <c r="J569" s="306">
        <f t="shared" ca="1" si="246"/>
        <v>267.30784347686472</v>
      </c>
      <c r="K569" s="307">
        <f t="shared" ca="1" si="247"/>
        <v>2064.6572941725067</v>
      </c>
      <c r="L569" s="304">
        <f t="shared" ca="1" si="232"/>
        <v>2081.8893403742641</v>
      </c>
      <c r="M569" s="306">
        <f t="shared" ca="1" si="248"/>
        <v>1.3961112079383917</v>
      </c>
      <c r="N569" s="304">
        <f t="shared" ca="1" si="249"/>
        <v>79.991279945781116</v>
      </c>
      <c r="P569" s="310">
        <f t="shared" ca="1" si="250"/>
        <v>23</v>
      </c>
      <c r="Q569" s="304">
        <f t="shared" ca="1" si="251"/>
        <v>0</v>
      </c>
      <c r="R569" s="306">
        <f t="shared" ca="1" si="252"/>
        <v>0</v>
      </c>
      <c r="S569" s="307">
        <f t="shared" ca="1" si="253"/>
        <v>9.137999999999975</v>
      </c>
      <c r="T569" s="304">
        <f t="shared" ca="1" si="233"/>
        <v>89.643779999999765</v>
      </c>
      <c r="U569" s="311">
        <f t="shared" ca="1" si="234"/>
        <v>0</v>
      </c>
      <c r="V569" s="306">
        <f t="shared" ca="1" si="235"/>
        <v>0.99574602595080342</v>
      </c>
      <c r="W569" s="304">
        <f t="shared" ca="1" si="236"/>
        <v>41.658847309011826</v>
      </c>
      <c r="Y569" s="314" t="str">
        <f t="shared" ca="1" si="254"/>
        <v/>
      </c>
      <c r="Z569" s="315" t="str">
        <f t="shared" ca="1" si="255"/>
        <v/>
      </c>
      <c r="AA569" s="316" t="str">
        <f t="shared" ca="1" si="256"/>
        <v/>
      </c>
      <c r="AC569" s="310" t="e">
        <f t="shared" ca="1" si="257"/>
        <v>#N/A</v>
      </c>
      <c r="AD569" s="323" t="e">
        <f t="shared" ca="1" si="258"/>
        <v>#N/A</v>
      </c>
      <c r="AE569" s="324">
        <f t="shared" ca="1" si="237"/>
        <v>2064.6572941725067</v>
      </c>
      <c r="AG569" s="306">
        <f t="shared" ca="1" si="259"/>
        <v>-14.332186128276929</v>
      </c>
      <c r="AH569" s="304">
        <f t="shared" ca="1" si="260"/>
        <v>-4.6691970279160309</v>
      </c>
    </row>
    <row r="570" spans="1:34" x14ac:dyDescent="0.2">
      <c r="A570" s="347">
        <f t="shared" ca="1" si="238"/>
        <v>0.1</v>
      </c>
      <c r="B570" s="304">
        <f t="shared" ca="1" si="239"/>
        <v>11.599999999999914</v>
      </c>
      <c r="D570" s="306">
        <f t="shared" ca="1" si="240"/>
        <v>-0.79232071846799057</v>
      </c>
      <c r="E570" s="307">
        <f t="shared" ca="1" si="241"/>
        <v>-14.299478482164051</v>
      </c>
      <c r="F570" s="304">
        <f t="shared" ca="1" si="242"/>
        <v>14.32141253448089</v>
      </c>
      <c r="G570" s="306">
        <f t="shared" ca="1" si="243"/>
        <v>21.784122549592229</v>
      </c>
      <c r="H570" s="307">
        <f t="shared" ca="1" si="244"/>
        <v>122.45304275521296</v>
      </c>
      <c r="I570" s="304">
        <f t="shared" ca="1" si="245"/>
        <v>124.37562331608902</v>
      </c>
      <c r="J570" s="306">
        <f t="shared" ca="1" si="246"/>
        <v>269.49021733541628</v>
      </c>
      <c r="K570" s="307">
        <f t="shared" ca="1" si="247"/>
        <v>2076.9740958404386</v>
      </c>
      <c r="L570" s="304">
        <f t="shared" ca="1" si="232"/>
        <v>2094.3844852442203</v>
      </c>
      <c r="M570" s="306">
        <f t="shared" ca="1" si="248"/>
        <v>1.394740393120226</v>
      </c>
      <c r="N570" s="304">
        <f t="shared" ca="1" si="249"/>
        <v>79.912738042206229</v>
      </c>
      <c r="P570" s="310">
        <f t="shared" ca="1" si="250"/>
        <v>23</v>
      </c>
      <c r="Q570" s="304">
        <f t="shared" ca="1" si="251"/>
        <v>0</v>
      </c>
      <c r="R570" s="306">
        <f t="shared" ca="1" si="252"/>
        <v>0</v>
      </c>
      <c r="S570" s="307">
        <f t="shared" ca="1" si="253"/>
        <v>9.137999999999975</v>
      </c>
      <c r="T570" s="304">
        <f t="shared" ca="1" si="233"/>
        <v>89.643779999999765</v>
      </c>
      <c r="U570" s="311">
        <f t="shared" ca="1" si="234"/>
        <v>0</v>
      </c>
      <c r="V570" s="306">
        <f t="shared" ca="1" si="235"/>
        <v>0.99450706592676463</v>
      </c>
      <c r="W570" s="304">
        <f t="shared" ca="1" si="236"/>
        <v>40.671792872896354</v>
      </c>
      <c r="Y570" s="314" t="str">
        <f t="shared" ca="1" si="254"/>
        <v/>
      </c>
      <c r="Z570" s="315" t="str">
        <f t="shared" ca="1" si="255"/>
        <v/>
      </c>
      <c r="AA570" s="316" t="str">
        <f t="shared" ca="1" si="256"/>
        <v/>
      </c>
      <c r="AC570" s="310" t="e">
        <f t="shared" ca="1" si="257"/>
        <v>#N/A</v>
      </c>
      <c r="AD570" s="323" t="e">
        <f t="shared" ca="1" si="258"/>
        <v>#N/A</v>
      </c>
      <c r="AE570" s="324">
        <f t="shared" ca="1" si="237"/>
        <v>2076.9740958404386</v>
      </c>
      <c r="AG570" s="306">
        <f t="shared" ca="1" si="259"/>
        <v>-14.219563002904012</v>
      </c>
      <c r="AH570" s="304">
        <f t="shared" ca="1" si="260"/>
        <v>-4.5588583179045674</v>
      </c>
    </row>
    <row r="571" spans="1:34" x14ac:dyDescent="0.2">
      <c r="A571" s="347">
        <f t="shared" ca="1" si="238"/>
        <v>0.1</v>
      </c>
      <c r="B571" s="304">
        <f t="shared" ca="1" si="239"/>
        <v>11.699999999999914</v>
      </c>
      <c r="D571" s="306">
        <f t="shared" ca="1" si="240"/>
        <v>-0.77955536493119959</v>
      </c>
      <c r="E571" s="307">
        <f t="shared" ca="1" si="241"/>
        <v>-14.192041379663593</v>
      </c>
      <c r="F571" s="304">
        <f t="shared" ca="1" si="242"/>
        <v>14.213435372529638</v>
      </c>
      <c r="G571" s="306">
        <f t="shared" ca="1" si="243"/>
        <v>21.706167013099108</v>
      </c>
      <c r="H571" s="307">
        <f t="shared" ca="1" si="244"/>
        <v>121.0338386172466</v>
      </c>
      <c r="I571" s="304">
        <f t="shared" ca="1" si="245"/>
        <v>122.96482333100896</v>
      </c>
      <c r="J571" s="306">
        <f t="shared" ca="1" si="246"/>
        <v>271.66473181355082</v>
      </c>
      <c r="K571" s="307">
        <f t="shared" ca="1" si="247"/>
        <v>2089.1484399090614</v>
      </c>
      <c r="L571" s="304">
        <f t="shared" ca="1" si="232"/>
        <v>2106.7375086815618</v>
      </c>
      <c r="M571" s="306">
        <f t="shared" ca="1" si="248"/>
        <v>1.3933430821785475</v>
      </c>
      <c r="N571" s="304">
        <f t="shared" ca="1" si="249"/>
        <v>79.832678022580609</v>
      </c>
      <c r="P571" s="310">
        <f t="shared" ca="1" si="250"/>
        <v>23</v>
      </c>
      <c r="Q571" s="304">
        <f t="shared" ca="1" si="251"/>
        <v>0</v>
      </c>
      <c r="R571" s="306">
        <f t="shared" ca="1" si="252"/>
        <v>0</v>
      </c>
      <c r="S571" s="307">
        <f t="shared" ca="1" si="253"/>
        <v>9.137999999999975</v>
      </c>
      <c r="T571" s="304">
        <f t="shared" ca="1" si="233"/>
        <v>89.643779999999765</v>
      </c>
      <c r="U571" s="311">
        <f t="shared" ca="1" si="234"/>
        <v>0</v>
      </c>
      <c r="V571" s="306">
        <f t="shared" ca="1" si="235"/>
        <v>0.99328379365998443</v>
      </c>
      <c r="W571" s="304">
        <f t="shared" ca="1" si="236"/>
        <v>39.705441865973228</v>
      </c>
      <c r="Y571" s="314" t="str">
        <f t="shared" ca="1" si="254"/>
        <v/>
      </c>
      <c r="Z571" s="315" t="str">
        <f t="shared" ca="1" si="255"/>
        <v/>
      </c>
      <c r="AA571" s="316" t="str">
        <f t="shared" ca="1" si="256"/>
        <v/>
      </c>
      <c r="AC571" s="310" t="e">
        <f t="shared" ca="1" si="257"/>
        <v>#N/A</v>
      </c>
      <c r="AD571" s="323" t="e">
        <f t="shared" ca="1" si="258"/>
        <v>#N/A</v>
      </c>
      <c r="AE571" s="324">
        <f t="shared" ca="1" si="237"/>
        <v>2089.1484399090614</v>
      </c>
      <c r="AG571" s="306">
        <f t="shared" ca="1" si="259"/>
        <v>-14.109200281085528</v>
      </c>
      <c r="AH571" s="304">
        <f t="shared" ca="1" si="260"/>
        <v>-4.4508418552086306</v>
      </c>
    </row>
    <row r="572" spans="1:34" x14ac:dyDescent="0.2">
      <c r="A572" s="347">
        <f t="shared" ca="1" si="238"/>
        <v>0.1</v>
      </c>
      <c r="B572" s="304">
        <f t="shared" ca="1" si="239"/>
        <v>11.799999999999914</v>
      </c>
      <c r="D572" s="306">
        <f t="shared" ca="1" si="240"/>
        <v>-0.76701018315439995</v>
      </c>
      <c r="E572" s="307">
        <f t="shared" ca="1" si="241"/>
        <v>-14.086857663062826</v>
      </c>
      <c r="F572" s="304">
        <f t="shared" ca="1" si="242"/>
        <v>14.107723538560515</v>
      </c>
      <c r="G572" s="306">
        <f t="shared" ca="1" si="243"/>
        <v>21.629465994783668</v>
      </c>
      <c r="H572" s="307">
        <f t="shared" ca="1" si="244"/>
        <v>119.62515285094032</v>
      </c>
      <c r="I572" s="304">
        <f t="shared" ca="1" si="245"/>
        <v>121.56484275410527</v>
      </c>
      <c r="J572" s="306">
        <f t="shared" ca="1" si="246"/>
        <v>273.83151346394493</v>
      </c>
      <c r="K572" s="307">
        <f t="shared" ca="1" si="247"/>
        <v>2101.1813894824709</v>
      </c>
      <c r="L572" s="304">
        <f t="shared" ca="1" si="232"/>
        <v>2118.9494871925194</v>
      </c>
      <c r="M572" s="306">
        <f t="shared" ca="1" si="248"/>
        <v>1.391918579035808</v>
      </c>
      <c r="N572" s="304">
        <f t="shared" ca="1" si="249"/>
        <v>79.7510600045985</v>
      </c>
      <c r="P572" s="310">
        <f t="shared" ca="1" si="250"/>
        <v>23</v>
      </c>
      <c r="Q572" s="304">
        <f t="shared" ca="1" si="251"/>
        <v>0</v>
      </c>
      <c r="R572" s="306">
        <f t="shared" ca="1" si="252"/>
        <v>0</v>
      </c>
      <c r="S572" s="307">
        <f t="shared" ca="1" si="253"/>
        <v>9.137999999999975</v>
      </c>
      <c r="T572" s="304">
        <f t="shared" ca="1" si="233"/>
        <v>89.643779999999765</v>
      </c>
      <c r="U572" s="311">
        <f t="shared" ca="1" si="234"/>
        <v>0</v>
      </c>
      <c r="V572" s="306">
        <f t="shared" ca="1" si="235"/>
        <v>0.99207605292620982</v>
      </c>
      <c r="W572" s="304">
        <f t="shared" ca="1" si="236"/>
        <v>38.759293793580831</v>
      </c>
      <c r="Y572" s="314" t="str">
        <f t="shared" ca="1" si="254"/>
        <v/>
      </c>
      <c r="Z572" s="315" t="str">
        <f t="shared" ca="1" si="255"/>
        <v/>
      </c>
      <c r="AA572" s="316" t="str">
        <f t="shared" ca="1" si="256"/>
        <v/>
      </c>
      <c r="AC572" s="310" t="e">
        <f t="shared" ca="1" si="257"/>
        <v>#N/A</v>
      </c>
      <c r="AD572" s="323" t="e">
        <f t="shared" ca="1" si="258"/>
        <v>#N/A</v>
      </c>
      <c r="AE572" s="324">
        <f t="shared" ca="1" si="237"/>
        <v>2101.1813894824709</v>
      </c>
      <c r="AG572" s="306">
        <f t="shared" ca="1" si="259"/>
        <v>-14.001039171317291</v>
      </c>
      <c r="AH572" s="304">
        <f t="shared" ca="1" si="260"/>
        <v>-4.3450910337024879</v>
      </c>
    </row>
    <row r="573" spans="1:34" x14ac:dyDescent="0.2">
      <c r="A573" s="347">
        <f t="shared" ca="1" si="238"/>
        <v>0.1</v>
      </c>
      <c r="B573" s="304">
        <f t="shared" ca="1" si="239"/>
        <v>11.899999999999913</v>
      </c>
      <c r="D573" s="306">
        <f t="shared" ca="1" si="240"/>
        <v>-0.75467941906244729</v>
      </c>
      <c r="E573" s="307">
        <f t="shared" ca="1" si="241"/>
        <v>-13.983872849222276</v>
      </c>
      <c r="F573" s="304">
        <f t="shared" ca="1" si="242"/>
        <v>14.004222252191386</v>
      </c>
      <c r="G573" s="306">
        <f t="shared" ca="1" si="243"/>
        <v>21.553998052877425</v>
      </c>
      <c r="H573" s="307">
        <f t="shared" ca="1" si="244"/>
        <v>118.2267655660181</v>
      </c>
      <c r="I573" s="304">
        <f t="shared" ca="1" si="245"/>
        <v>120.17546724796058</v>
      </c>
      <c r="J573" s="306">
        <f t="shared" ca="1" si="246"/>
        <v>275.99068666632797</v>
      </c>
      <c r="K573" s="307">
        <f t="shared" ca="1" si="247"/>
        <v>2113.0739854033186</v>
      </c>
      <c r="L573" s="304">
        <f t="shared" ca="1" si="232"/>
        <v>2131.021475000854</v>
      </c>
      <c r="M573" s="306">
        <f t="shared" ca="1" si="248"/>
        <v>1.3904661626314341</v>
      </c>
      <c r="N573" s="304">
        <f t="shared" ca="1" si="249"/>
        <v>79.667842674532309</v>
      </c>
      <c r="P573" s="310">
        <f t="shared" ca="1" si="250"/>
        <v>23</v>
      </c>
      <c r="Q573" s="304">
        <f t="shared" ca="1" si="251"/>
        <v>0</v>
      </c>
      <c r="R573" s="306">
        <f t="shared" ca="1" si="252"/>
        <v>0</v>
      </c>
      <c r="S573" s="307">
        <f t="shared" ca="1" si="253"/>
        <v>9.137999999999975</v>
      </c>
      <c r="T573" s="304">
        <f t="shared" ca="1" si="233"/>
        <v>89.643779999999765</v>
      </c>
      <c r="U573" s="311">
        <f t="shared" ca="1" si="234"/>
        <v>0</v>
      </c>
      <c r="V573" s="306">
        <f t="shared" ca="1" si="235"/>
        <v>0.99088369090360506</v>
      </c>
      <c r="W573" s="304">
        <f t="shared" ca="1" si="236"/>
        <v>37.83286429629706</v>
      </c>
      <c r="Y573" s="314" t="str">
        <f t="shared" ca="1" si="254"/>
        <v/>
      </c>
      <c r="Z573" s="315" t="str">
        <f t="shared" ca="1" si="255"/>
        <v/>
      </c>
      <c r="AA573" s="316" t="str">
        <f t="shared" ca="1" si="256"/>
        <v/>
      </c>
      <c r="AC573" s="310" t="e">
        <f t="shared" ca="1" si="257"/>
        <v>#N/A</v>
      </c>
      <c r="AD573" s="323" t="e">
        <f t="shared" ca="1" si="258"/>
        <v>#N/A</v>
      </c>
      <c r="AE573" s="324">
        <f t="shared" ca="1" si="237"/>
        <v>2113.0739854033186</v>
      </c>
      <c r="AG573" s="306">
        <f t="shared" ca="1" si="259"/>
        <v>-13.895022620023592</v>
      </c>
      <c r="AH573" s="304">
        <f t="shared" ca="1" si="260"/>
        <v>-4.241551082685592</v>
      </c>
    </row>
    <row r="574" spans="1:34" x14ac:dyDescent="0.2">
      <c r="A574" s="347">
        <f t="shared" ca="1" si="238"/>
        <v>0.1</v>
      </c>
      <c r="B574" s="304">
        <f t="shared" ca="1" si="239"/>
        <v>11.999999999999913</v>
      </c>
      <c r="D574" s="306">
        <f t="shared" ca="1" si="240"/>
        <v>-0.74255749985837549</v>
      </c>
      <c r="E574" s="307">
        <f t="shared" ca="1" si="241"/>
        <v>-13.883034211085715</v>
      </c>
      <c r="F574" s="304">
        <f t="shared" ca="1" si="242"/>
        <v>13.902878498597774</v>
      </c>
      <c r="G574" s="306">
        <f t="shared" ca="1" si="243"/>
        <v>21.479742302891587</v>
      </c>
      <c r="H574" s="307">
        <f t="shared" ca="1" si="244"/>
        <v>116.83846214490953</v>
      </c>
      <c r="I574" s="304">
        <f t="shared" ca="1" si="245"/>
        <v>118.79648801957947</v>
      </c>
      <c r="J574" s="306">
        <f t="shared" ca="1" si="246"/>
        <v>278.14237368411642</v>
      </c>
      <c r="K574" s="307">
        <f t="shared" ca="1" si="247"/>
        <v>2124.8272467888651</v>
      </c>
      <c r="L574" s="304">
        <f t="shared" ca="1" si="232"/>
        <v>2142.9545045882292</v>
      </c>
      <c r="M574" s="306">
        <f t="shared" ca="1" si="248"/>
        <v>1.3889850858136548</v>
      </c>
      <c r="N574" s="304">
        <f t="shared" ca="1" si="249"/>
        <v>79.582983223738893</v>
      </c>
      <c r="P574" s="310">
        <f t="shared" ca="1" si="250"/>
        <v>23</v>
      </c>
      <c r="Q574" s="304">
        <f t="shared" ca="1" si="251"/>
        <v>0</v>
      </c>
      <c r="R574" s="306">
        <f t="shared" ca="1" si="252"/>
        <v>0</v>
      </c>
      <c r="S574" s="307">
        <f t="shared" ca="1" si="253"/>
        <v>9.137999999999975</v>
      </c>
      <c r="T574" s="304">
        <f t="shared" ca="1" si="233"/>
        <v>89.643779999999765</v>
      </c>
      <c r="U574" s="311">
        <f t="shared" ca="1" si="234"/>
        <v>0</v>
      </c>
      <c r="V574" s="306">
        <f t="shared" ca="1" si="235"/>
        <v>0.98970655808676322</v>
      </c>
      <c r="W574" s="304">
        <f t="shared" ca="1" si="236"/>
        <v>36.925684541517626</v>
      </c>
      <c r="Y574" s="314" t="str">
        <f t="shared" ca="1" si="254"/>
        <v/>
      </c>
      <c r="Z574" s="315" t="str">
        <f t="shared" ca="1" si="255"/>
        <v/>
      </c>
      <c r="AA574" s="316" t="str">
        <f t="shared" ca="1" si="256"/>
        <v/>
      </c>
      <c r="AC574" s="310">
        <f t="shared" ca="1" si="257"/>
        <v>11.999999999999913</v>
      </c>
      <c r="AD574" s="323">
        <f t="shared" ca="1" si="258"/>
        <v>278.14237368411642</v>
      </c>
      <c r="AE574" s="324">
        <f t="shared" ca="1" si="237"/>
        <v>2124.8272467888651</v>
      </c>
      <c r="AG574" s="306">
        <f t="shared" ca="1" si="259"/>
        <v>-13.791095236646669</v>
      </c>
      <c r="AH574" s="304">
        <f t="shared" ca="1" si="260"/>
        <v>-4.1401689971872582</v>
      </c>
    </row>
    <row r="575" spans="1:34" x14ac:dyDescent="0.2">
      <c r="A575" s="347">
        <f t="shared" ca="1" si="238"/>
        <v>0.1</v>
      </c>
      <c r="B575" s="304">
        <f t="shared" ca="1" si="239"/>
        <v>12.099999999999913</v>
      </c>
      <c r="D575" s="306">
        <f t="shared" ca="1" si="240"/>
        <v>-0.73063902717801787</v>
      </c>
      <c r="E575" s="307">
        <f t="shared" ca="1" si="241"/>
        <v>-13.784290711441187</v>
      </c>
      <c r="F575" s="304">
        <f t="shared" ca="1" si="242"/>
        <v>13.803640961918687</v>
      </c>
      <c r="G575" s="306">
        <f t="shared" ca="1" si="243"/>
        <v>21.406678400173785</v>
      </c>
      <c r="H575" s="307">
        <f t="shared" ca="1" si="244"/>
        <v>115.4600330737654</v>
      </c>
      <c r="I575" s="304">
        <f t="shared" ca="1" si="245"/>
        <v>117.42770166159035</v>
      </c>
      <c r="J575" s="306">
        <f t="shared" ca="1" si="246"/>
        <v>280.28669471926969</v>
      </c>
      <c r="K575" s="307">
        <f t="shared" ca="1" si="247"/>
        <v>2136.4421715497988</v>
      </c>
      <c r="L575" s="304">
        <f t="shared" ca="1" si="232"/>
        <v>2154.7495872172881</v>
      </c>
      <c r="M575" s="306">
        <f t="shared" ca="1" si="248"/>
        <v>1.387474574172298</v>
      </c>
      <c r="N575" s="304">
        <f t="shared" ca="1" si="249"/>
        <v>79.49643728178377</v>
      </c>
      <c r="P575" s="310">
        <f t="shared" ca="1" si="250"/>
        <v>23</v>
      </c>
      <c r="Q575" s="304">
        <f t="shared" ca="1" si="251"/>
        <v>0</v>
      </c>
      <c r="R575" s="306">
        <f t="shared" ca="1" si="252"/>
        <v>0</v>
      </c>
      <c r="S575" s="307">
        <f t="shared" ca="1" si="253"/>
        <v>9.137999999999975</v>
      </c>
      <c r="T575" s="304">
        <f t="shared" ca="1" si="233"/>
        <v>89.643779999999765</v>
      </c>
      <c r="U575" s="311">
        <f t="shared" ca="1" si="234"/>
        <v>0</v>
      </c>
      <c r="V575" s="306">
        <f t="shared" ca="1" si="235"/>
        <v>0.98854450820357154</v>
      </c>
      <c r="W575" s="304">
        <f t="shared" ca="1" si="236"/>
        <v>36.037300642045338</v>
      </c>
      <c r="Y575" s="314" t="str">
        <f t="shared" ca="1" si="254"/>
        <v/>
      </c>
      <c r="Z575" s="315" t="str">
        <f t="shared" ca="1" si="255"/>
        <v/>
      </c>
      <c r="AA575" s="316" t="str">
        <f t="shared" ca="1" si="256"/>
        <v/>
      </c>
      <c r="AC575" s="310" t="e">
        <f t="shared" ca="1" si="257"/>
        <v>#N/A</v>
      </c>
      <c r="AD575" s="323" t="e">
        <f t="shared" ca="1" si="258"/>
        <v>#N/A</v>
      </c>
      <c r="AE575" s="324">
        <f t="shared" ca="1" si="237"/>
        <v>2136.4421715497988</v>
      </c>
      <c r="AG575" s="306">
        <f t="shared" ca="1" si="259"/>
        <v>-13.689203221524034</v>
      </c>
      <c r="AH575" s="304">
        <f t="shared" ca="1" si="260"/>
        <v>-4.040893471385175</v>
      </c>
    </row>
    <row r="576" spans="1:34" x14ac:dyDescent="0.2">
      <c r="A576" s="347">
        <f t="shared" ca="1" si="238"/>
        <v>0.1</v>
      </c>
      <c r="B576" s="304">
        <f t="shared" ca="1" si="239"/>
        <v>12.199999999999912</v>
      </c>
      <c r="D576" s="306">
        <f t="shared" ca="1" si="240"/>
        <v>-0.718918770551774</v>
      </c>
      <c r="E576" s="307">
        <f t="shared" ca="1" si="241"/>
        <v>-13.687592939621345</v>
      </c>
      <c r="F576" s="304">
        <f t="shared" ca="1" si="242"/>
        <v>13.706459961617506</v>
      </c>
      <c r="G576" s="306">
        <f t="shared" ca="1" si="243"/>
        <v>21.334786523118609</v>
      </c>
      <c r="H576" s="307">
        <f t="shared" ca="1" si="244"/>
        <v>114.09127377980327</v>
      </c>
      <c r="I576" s="304">
        <f t="shared" ca="1" si="245"/>
        <v>116.06891000041772</v>
      </c>
      <c r="J576" s="306">
        <f t="shared" ca="1" si="246"/>
        <v>282.42376796543431</v>
      </c>
      <c r="K576" s="307">
        <f t="shared" ca="1" si="247"/>
        <v>2147.9197368924774</v>
      </c>
      <c r="L576" s="304">
        <f t="shared" ca="1" si="232"/>
        <v>2166.4077134380873</v>
      </c>
      <c r="M576" s="306">
        <f t="shared" ca="1" si="248"/>
        <v>1.3859338248089053</v>
      </c>
      <c r="N576" s="304">
        <f t="shared" ca="1" si="249"/>
        <v>79.408158845973901</v>
      </c>
      <c r="P576" s="310">
        <f t="shared" ca="1" si="250"/>
        <v>23</v>
      </c>
      <c r="Q576" s="304">
        <f t="shared" ca="1" si="251"/>
        <v>0</v>
      </c>
      <c r="R576" s="306">
        <f t="shared" ca="1" si="252"/>
        <v>0</v>
      </c>
      <c r="S576" s="307">
        <f t="shared" ca="1" si="253"/>
        <v>9.137999999999975</v>
      </c>
      <c r="T576" s="304">
        <f t="shared" ca="1" si="233"/>
        <v>89.643779999999765</v>
      </c>
      <c r="U576" s="311">
        <f t="shared" ca="1" si="234"/>
        <v>0</v>
      </c>
      <c r="V576" s="306">
        <f t="shared" ca="1" si="235"/>
        <v>0.98739739813483163</v>
      </c>
      <c r="W576" s="304">
        <f t="shared" ca="1" si="236"/>
        <v>35.16727310033064</v>
      </c>
      <c r="Y576" s="314" t="str">
        <f t="shared" ca="1" si="254"/>
        <v/>
      </c>
      <c r="Z576" s="315" t="str">
        <f t="shared" ca="1" si="255"/>
        <v/>
      </c>
      <c r="AA576" s="316" t="str">
        <f t="shared" ca="1" si="256"/>
        <v/>
      </c>
      <c r="AC576" s="310" t="e">
        <f t="shared" ca="1" si="257"/>
        <v>#N/A</v>
      </c>
      <c r="AD576" s="323" t="e">
        <f t="shared" ca="1" si="258"/>
        <v>#N/A</v>
      </c>
      <c r="AE576" s="324">
        <f t="shared" ca="1" si="237"/>
        <v>2147.9197368924774</v>
      </c>
      <c r="AG576" s="306">
        <f t="shared" ca="1" si="259"/>
        <v>-13.589294296372392</v>
      </c>
      <c r="AH576" s="304">
        <f t="shared" ca="1" si="260"/>
        <v>-3.9436748349798028</v>
      </c>
    </row>
    <row r="577" spans="1:34" x14ac:dyDescent="0.2">
      <c r="A577" s="347">
        <f t="shared" ca="1" si="238"/>
        <v>0.1</v>
      </c>
      <c r="B577" s="304">
        <f t="shared" ca="1" si="239"/>
        <v>12.299999999999912</v>
      </c>
      <c r="D577" s="306">
        <f t="shared" ca="1" si="240"/>
        <v>-0.70739166115835017</v>
      </c>
      <c r="E577" s="307">
        <f t="shared" ca="1" si="241"/>
        <v>-13.592893050995002</v>
      </c>
      <c r="F577" s="304">
        <f t="shared" ca="1" si="242"/>
        <v>13.611287391649057</v>
      </c>
      <c r="G577" s="306">
        <f t="shared" ca="1" si="243"/>
        <v>21.264047357002774</v>
      </c>
      <c r="H577" s="307">
        <f t="shared" ca="1" si="244"/>
        <v>112.73198447470378</v>
      </c>
      <c r="I577" s="304">
        <f t="shared" ca="1" si="245"/>
        <v>114.71991995118246</v>
      </c>
      <c r="J577" s="306">
        <f t="shared" ca="1" si="246"/>
        <v>284.55370965944036</v>
      </c>
      <c r="K577" s="307">
        <f t="shared" ca="1" si="247"/>
        <v>2159.2608998052028</v>
      </c>
      <c r="L577" s="304">
        <f t="shared" ca="1" si="232"/>
        <v>2177.9298535785128</v>
      </c>
      <c r="M577" s="306">
        <f t="shared" ca="1" si="248"/>
        <v>1.3843620050402567</v>
      </c>
      <c r="N577" s="304">
        <f t="shared" ca="1" si="249"/>
        <v>79.318100207075105</v>
      </c>
      <c r="P577" s="310">
        <f t="shared" ca="1" si="250"/>
        <v>23</v>
      </c>
      <c r="Q577" s="304">
        <f t="shared" ca="1" si="251"/>
        <v>0</v>
      </c>
      <c r="R577" s="306">
        <f t="shared" ca="1" si="252"/>
        <v>0</v>
      </c>
      <c r="S577" s="307">
        <f t="shared" ca="1" si="253"/>
        <v>9.137999999999975</v>
      </c>
      <c r="T577" s="304">
        <f t="shared" ca="1" si="233"/>
        <v>89.643779999999765</v>
      </c>
      <c r="U577" s="311">
        <f t="shared" ca="1" si="234"/>
        <v>0</v>
      </c>
      <c r="V577" s="306">
        <f t="shared" ca="1" si="235"/>
        <v>0.9862650878365149</v>
      </c>
      <c r="W577" s="304">
        <f t="shared" ca="1" si="236"/>
        <v>34.315176277079097</v>
      </c>
      <c r="Y577" s="314" t="str">
        <f t="shared" ca="1" si="254"/>
        <v/>
      </c>
      <c r="Z577" s="315" t="str">
        <f t="shared" ca="1" si="255"/>
        <v/>
      </c>
      <c r="AA577" s="316" t="str">
        <f t="shared" ca="1" si="256"/>
        <v/>
      </c>
      <c r="AC577" s="310" t="e">
        <f t="shared" ca="1" si="257"/>
        <v>#N/A</v>
      </c>
      <c r="AD577" s="323" t="e">
        <f t="shared" ca="1" si="258"/>
        <v>#N/A</v>
      </c>
      <c r="AE577" s="324">
        <f t="shared" ca="1" si="237"/>
        <v>2159.2608998052028</v>
      </c>
      <c r="AG577" s="306">
        <f t="shared" ca="1" si="259"/>
        <v>-13.491317637204212</v>
      </c>
      <c r="AH577" s="304">
        <f t="shared" ca="1" si="260"/>
        <v>-3.8484649923758738</v>
      </c>
    </row>
    <row r="578" spans="1:34" x14ac:dyDescent="0.2">
      <c r="A578" s="347">
        <f t="shared" ca="1" si="238"/>
        <v>0.1</v>
      </c>
      <c r="B578" s="304">
        <f t="shared" ca="1" si="239"/>
        <v>12.399999999999912</v>
      </c>
      <c r="D578" s="306">
        <f t="shared" ca="1" si="240"/>
        <v>-0.69605278585614516</v>
      </c>
      <c r="E578" s="307">
        <f t="shared" ca="1" si="241"/>
        <v>-13.500144709110046</v>
      </c>
      <c r="F578" s="304">
        <f t="shared" ca="1" si="242"/>
        <v>13.518076662292239</v>
      </c>
      <c r="G578" s="306">
        <f t="shared" ca="1" si="243"/>
        <v>21.194442078417158</v>
      </c>
      <c r="H578" s="307">
        <f t="shared" ca="1" si="244"/>
        <v>111.38197000379277</v>
      </c>
      <c r="I578" s="304">
        <f t="shared" ca="1" si="245"/>
        <v>113.38054337910528</v>
      </c>
      <c r="J578" s="306">
        <f t="shared" ca="1" si="246"/>
        <v>286.67663413121136</v>
      </c>
      <c r="K578" s="307">
        <f t="shared" ca="1" si="247"/>
        <v>2170.4665975291277</v>
      </c>
      <c r="L578" s="304">
        <f t="shared" ca="1" si="232"/>
        <v>2189.3169582192681</v>
      </c>
      <c r="M578" s="306">
        <f t="shared" ca="1" si="248"/>
        <v>1.3827582510311229</v>
      </c>
      <c r="N578" s="304">
        <f t="shared" ca="1" si="249"/>
        <v>79.226211870974552</v>
      </c>
      <c r="P578" s="310">
        <f t="shared" ca="1" si="250"/>
        <v>23</v>
      </c>
      <c r="Q578" s="304">
        <f t="shared" ca="1" si="251"/>
        <v>0</v>
      </c>
      <c r="R578" s="306">
        <f t="shared" ca="1" si="252"/>
        <v>0</v>
      </c>
      <c r="S578" s="307">
        <f t="shared" ca="1" si="253"/>
        <v>9.137999999999975</v>
      </c>
      <c r="T578" s="304">
        <f t="shared" ca="1" si="233"/>
        <v>89.643779999999765</v>
      </c>
      <c r="U578" s="311">
        <f t="shared" ca="1" si="234"/>
        <v>0</v>
      </c>
      <c r="V578" s="306">
        <f t="shared" ca="1" si="235"/>
        <v>0.98514744026456313</v>
      </c>
      <c r="W578" s="304">
        <f t="shared" ca="1" si="236"/>
        <v>33.480597883015008</v>
      </c>
      <c r="Y578" s="314" t="str">
        <f t="shared" ca="1" si="254"/>
        <v/>
      </c>
      <c r="Z578" s="315" t="str">
        <f t="shared" ca="1" si="255"/>
        <v/>
      </c>
      <c r="AA578" s="316" t="str">
        <f t="shared" ca="1" si="256"/>
        <v/>
      </c>
      <c r="AC578" s="310" t="e">
        <f t="shared" ca="1" si="257"/>
        <v>#N/A</v>
      </c>
      <c r="AD578" s="323" t="e">
        <f t="shared" ca="1" si="258"/>
        <v>#N/A</v>
      </c>
      <c r="AE578" s="324">
        <f t="shared" ca="1" si="237"/>
        <v>2170.4665975291277</v>
      </c>
      <c r="AG578" s="306">
        <f t="shared" ca="1" si="259"/>
        <v>-13.395223809509185</v>
      </c>
      <c r="AH578" s="304">
        <f t="shared" ca="1" si="260"/>
        <v>-3.7552173645304432</v>
      </c>
    </row>
    <row r="579" spans="1:34" x14ac:dyDescent="0.2">
      <c r="A579" s="347">
        <f t="shared" ca="1" si="238"/>
        <v>0.1</v>
      </c>
      <c r="B579" s="304">
        <f t="shared" ca="1" si="239"/>
        <v>12.499999999999911</v>
      </c>
      <c r="D579" s="306">
        <f t="shared" ca="1" si="240"/>
        <v>-0.68489738147880774</v>
      </c>
      <c r="E579" s="307">
        <f t="shared" ca="1" si="241"/>
        <v>-13.409303030355868</v>
      </c>
      <c r="F579" s="304">
        <f t="shared" ca="1" si="242"/>
        <v>13.426782644515685</v>
      </c>
      <c r="G579" s="306">
        <f t="shared" ca="1" si="243"/>
        <v>21.125952340269276</v>
      </c>
      <c r="H579" s="307">
        <f t="shared" ca="1" si="244"/>
        <v>110.04103970075718</v>
      </c>
      <c r="I579" s="304">
        <f t="shared" ca="1" si="245"/>
        <v>112.05059696720471</v>
      </c>
      <c r="J579" s="306">
        <f t="shared" ca="1" si="246"/>
        <v>288.79265385214569</v>
      </c>
      <c r="K579" s="307">
        <f t="shared" ca="1" si="247"/>
        <v>2181.5377480143552</v>
      </c>
      <c r="L579" s="304">
        <f t="shared" ca="1" si="232"/>
        <v>2200.5699586540095</v>
      </c>
      <c r="M579" s="306">
        <f t="shared" ca="1" si="248"/>
        <v>1.3811216663517574</v>
      </c>
      <c r="N579" s="304">
        <f t="shared" ca="1" si="249"/>
        <v>79.132442476031144</v>
      </c>
      <c r="P579" s="310">
        <f t="shared" ca="1" si="250"/>
        <v>23</v>
      </c>
      <c r="Q579" s="304">
        <f t="shared" ca="1" si="251"/>
        <v>0</v>
      </c>
      <c r="R579" s="306">
        <f t="shared" ca="1" si="252"/>
        <v>0</v>
      </c>
      <c r="S579" s="307">
        <f t="shared" ca="1" si="253"/>
        <v>9.137999999999975</v>
      </c>
      <c r="T579" s="304">
        <f t="shared" ca="1" si="233"/>
        <v>89.643779999999765</v>
      </c>
      <c r="U579" s="311">
        <f t="shared" ca="1" si="234"/>
        <v>0</v>
      </c>
      <c r="V579" s="306">
        <f t="shared" ca="1" si="235"/>
        <v>0.98404432130213249</v>
      </c>
      <c r="W579" s="304">
        <f t="shared" ca="1" si="236"/>
        <v>32.663138492657339</v>
      </c>
      <c r="Y579" s="314" t="str">
        <f t="shared" ca="1" si="254"/>
        <v/>
      </c>
      <c r="Z579" s="315" t="str">
        <f t="shared" ca="1" si="255"/>
        <v/>
      </c>
      <c r="AA579" s="316" t="str">
        <f t="shared" ca="1" si="256"/>
        <v/>
      </c>
      <c r="AC579" s="310" t="e">
        <f t="shared" ca="1" si="257"/>
        <v>#N/A</v>
      </c>
      <c r="AD579" s="323" t="e">
        <f t="shared" ca="1" si="258"/>
        <v>#N/A</v>
      </c>
      <c r="AE579" s="324">
        <f t="shared" ca="1" si="237"/>
        <v>2181.5377480143552</v>
      </c>
      <c r="AG579" s="306">
        <f t="shared" ca="1" si="259"/>
        <v>-13.300964705538686</v>
      </c>
      <c r="AH579" s="304">
        <f t="shared" ca="1" si="260"/>
        <v>-3.6638868333349857</v>
      </c>
    </row>
    <row r="580" spans="1:34" x14ac:dyDescent="0.2">
      <c r="A580" s="347">
        <f t="shared" ca="1" si="238"/>
        <v>0.1</v>
      </c>
      <c r="B580" s="304">
        <f t="shared" ca="1" si="239"/>
        <v>12.599999999999911</v>
      </c>
      <c r="D580" s="306">
        <f t="shared" ca="1" si="240"/>
        <v>-0.67392082938226539</v>
      </c>
      <c r="E580" s="307">
        <f t="shared" ca="1" si="241"/>
        <v>-13.320324531020686</v>
      </c>
      <c r="F580" s="304">
        <f t="shared" ca="1" si="242"/>
        <v>13.337361616751146</v>
      </c>
      <c r="G580" s="306">
        <f t="shared" ca="1" si="243"/>
        <v>21.058560257331049</v>
      </c>
      <c r="H580" s="307">
        <f t="shared" ca="1" si="244"/>
        <v>108.70900724765511</v>
      </c>
      <c r="I580" s="304">
        <f t="shared" ca="1" si="245"/>
        <v>110.72990209009657</v>
      </c>
      <c r="J580" s="306">
        <f t="shared" ca="1" si="246"/>
        <v>290.90187948202572</v>
      </c>
      <c r="K580" s="307">
        <f t="shared" ca="1" si="247"/>
        <v>2192.475250361776</v>
      </c>
      <c r="L580" s="304">
        <f t="shared" ref="L580:L643" ca="1" si="261">SQRT(pos_x^2+pos_z^2)</f>
        <v>2211.6897673351723</v>
      </c>
      <c r="M580" s="306">
        <f t="shared" ca="1" si="248"/>
        <v>1.3794513204553285</v>
      </c>
      <c r="N580" s="304">
        <f t="shared" ca="1" si="249"/>
        <v>79.036738705838772</v>
      </c>
      <c r="P580" s="310">
        <f t="shared" ca="1" si="250"/>
        <v>23</v>
      </c>
      <c r="Q580" s="304">
        <f t="shared" ca="1" si="251"/>
        <v>0</v>
      </c>
      <c r="R580" s="306">
        <f t="shared" ca="1" si="252"/>
        <v>0</v>
      </c>
      <c r="S580" s="307">
        <f t="shared" ca="1" si="253"/>
        <v>9.137999999999975</v>
      </c>
      <c r="T580" s="304">
        <f t="shared" ref="T580:T643" ca="1" si="262">m*g</f>
        <v>89.643779999999765</v>
      </c>
      <c r="U580" s="311">
        <f t="shared" ref="U580:U643" ca="1" si="263">IF(pos_xz&lt;L_rampe,Poids*COS(Beta),0)</f>
        <v>0</v>
      </c>
      <c r="V580" s="306">
        <f t="shared" ref="V580:V643" ca="1" si="264">Rho_moyen*(20000-Alt_rampe-pos_z)/(20000+Alt_rampe+pos_z)</f>
        <v>0.98295559968918833</v>
      </c>
      <c r="W580" s="304">
        <f t="shared" ref="W580:W643" ca="1" si="265">1/2*Rho*Sref*Cx*vit_xz^2</f>
        <v>31.862411079027432</v>
      </c>
      <c r="Y580" s="314" t="str">
        <f t="shared" ca="1" si="254"/>
        <v/>
      </c>
      <c r="Z580" s="315" t="str">
        <f t="shared" ca="1" si="255"/>
        <v/>
      </c>
      <c r="AA580" s="316" t="str">
        <f t="shared" ca="1" si="256"/>
        <v/>
      </c>
      <c r="AC580" s="310" t="e">
        <f t="shared" ca="1" si="257"/>
        <v>#N/A</v>
      </c>
      <c r="AD580" s="323" t="e">
        <f t="shared" ca="1" si="258"/>
        <v>#N/A</v>
      </c>
      <c r="AE580" s="324">
        <f t="shared" ref="AE580:AE643" ca="1" si="266">IF(t&lt;T_para, pos_z, NA())</f>
        <v>2192.475250361776</v>
      </c>
      <c r="AG580" s="306">
        <f t="shared" ca="1" si="259"/>
        <v>-13.208493483536174</v>
      </c>
      <c r="AH580" s="304">
        <f t="shared" ca="1" si="260"/>
        <v>-3.5744296884063722</v>
      </c>
    </row>
    <row r="581" spans="1:34" x14ac:dyDescent="0.2">
      <c r="A581" s="347">
        <f t="shared" ref="A581:A644" ca="1" si="267">IF(B580+0.01&lt;=T_ini+ROUNDUP(Temps_fin_propu,0), 0.01, IF(K580&gt;0, 0.1, 0.0001))</f>
        <v>0.1</v>
      </c>
      <c r="B581" s="304">
        <f t="shared" ref="B581:B644" ca="1" si="268">B580+pas</f>
        <v>12.69999999999991</v>
      </c>
      <c r="D581" s="306">
        <f t="shared" ref="D581:D644" ca="1" si="269">IF(AND(L580&lt;L_rampe,Poussee&lt;Poids*SIN(M580)),0,(-W580+Poussee)/m*COS(M580)-U580/m*SIN(M580))</f>
        <v>-0.66311865023123062</v>
      </c>
      <c r="E581" s="307">
        <f t="shared" ref="E581:E644" ca="1" si="270">IF(AND(L580&lt;L_rampe,Poussee&lt;Poids*SIN(M580)),0,(-W580+Poussee)/m*SIN(M580)+U580/m*COS(M580)-Poids/m)</f>
        <v>-13.233167076626085</v>
      </c>
      <c r="F581" s="304">
        <f t="shared" ref="F581:F644" ca="1" si="271">SQRT(acc_x^2+acc_z^2)</f>
        <v>13.249771213956302</v>
      </c>
      <c r="G581" s="306">
        <f t="shared" ref="G581:G644" ca="1" si="272">G580+acc_x*pas</f>
        <v>20.992248392307925</v>
      </c>
      <c r="H581" s="307">
        <f t="shared" ref="H581:H644" ca="1" si="273">H580+acc_z*pas</f>
        <v>107.3856905399925</v>
      </c>
      <c r="I581" s="304">
        <f t="shared" ref="I581:I644" ca="1" si="274">SQRT(vit_x^2+vit_z^2)</f>
        <v>109.41828469371738</v>
      </c>
      <c r="J581" s="306">
        <f t="shared" ref="J581:J644" ca="1" si="275">J580+0.5*(vit_x+G580)*pas*(K580&gt;=0)</f>
        <v>293.00441991450765</v>
      </c>
      <c r="K581" s="307">
        <f t="shared" ref="K581:K644" ca="1" si="276">K580+0.5*(vit_z+H580)*pas</f>
        <v>2203.2799852511585</v>
      </c>
      <c r="L581" s="304">
        <f t="shared" ca="1" si="261"/>
        <v>2222.6772783060032</v>
      </c>
      <c r="M581" s="306">
        <f t="shared" ref="M581:M644" ca="1" si="277">IF(AND(L580&gt;L_rampe,G581&gt;0),ATAN2(G581,H581),$M$4)</f>
        <v>1.3777462470701305</v>
      </c>
      <c r="N581" s="304">
        <f t="shared" ref="N581:N644" ca="1" si="278">DEGREES(Beta)</f>
        <v>78.939045197106836</v>
      </c>
      <c r="P581" s="310">
        <f t="shared" ref="P581:P644" ca="1" si="279">MATCH(t-pas/2-T_ini,CdP_t)</f>
        <v>23</v>
      </c>
      <c r="Q581" s="304">
        <f t="shared" ref="Q581:Q644" ca="1" si="280">(INDEX(CdP,2,i_P+1)-INDEX(CdP,2,i_P+0))/(INDEX(CdP,1,i_P+1)-INDEX(CdP,1,i_P+0))*(t-pas/2-T_ini-INDEX(CdP,1,i_P+0))+INDEX(CdP,2,i_P+0)</f>
        <v>0</v>
      </c>
      <c r="R581" s="306">
        <f t="shared" ref="R581:R644" ca="1" si="281">Poussee/(g*ISP)</f>
        <v>0</v>
      </c>
      <c r="S581" s="307">
        <f t="shared" ref="S581:S644" ca="1" si="282">S580-Débit*pas</f>
        <v>9.137999999999975</v>
      </c>
      <c r="T581" s="304">
        <f t="shared" ca="1" si="262"/>
        <v>89.643779999999765</v>
      </c>
      <c r="U581" s="311">
        <f t="shared" ca="1" si="263"/>
        <v>0</v>
      </c>
      <c r="V581" s="306">
        <f t="shared" ca="1" si="264"/>
        <v>0.98188114695436612</v>
      </c>
      <c r="W581" s="304">
        <f t="shared" ca="1" si="265"/>
        <v>31.07804056826815</v>
      </c>
      <c r="Y581" s="314" t="str">
        <f t="shared" ref="Y581:Y644" ca="1" si="283">IF(AND(pos_z&lt;=0,K580&gt;0),"Impact balistique","") &amp; IF(AND(H582&lt;0,vit_z&gt;=0),"Apogée","") &amp; IF(AND(Poussee=0,Q580&gt;0),"Fin de propulsion","") &amp; IF(AND(L582&gt;L_rampe,pos_xz&lt;=L_rampe),"Sortie de rampe","")</f>
        <v/>
      </c>
      <c r="Z581" s="315" t="str">
        <f t="shared" ref="Z581:Z644" ca="1" si="284">IF(ABS(t-T_para)&lt;pas/2,"Para","")</f>
        <v/>
      </c>
      <c r="AA581" s="316" t="str">
        <f t="shared" ref="AA581:AA644" ca="1" si="285">IF(ABS(t-T_satellite)&lt;pas/2,"Satellite","")</f>
        <v/>
      </c>
      <c r="AC581" s="310" t="e">
        <f t="shared" ref="AC581:AC644" ca="1" si="286">IF(ABS(t-ROUND(t,0))&lt;0.001,t,NA())</f>
        <v>#N/A</v>
      </c>
      <c r="AD581" s="323" t="e">
        <f t="shared" ref="AD581:AD644" ca="1" si="287">IF(ABS(t-ROUND(t,0))&lt;0.001,pos_x,NA())</f>
        <v>#N/A</v>
      </c>
      <c r="AE581" s="324">
        <f t="shared" ca="1" si="266"/>
        <v>2203.2799852511585</v>
      </c>
      <c r="AG581" s="306">
        <f t="shared" ref="AG581:AG644" ca="1" si="288">IF(AND(L580&lt;L_rampe,Poussee&lt;Poids*SIN(M580)),0,(-W580+Poussee)/m-Poids*SIN(M580)/m)</f>
        <v>-13.11776450876083</v>
      </c>
      <c r="AH581" s="304">
        <f t="shared" ref="AH581:AH644" ca="1" si="289">IF(AND(L580&lt;L_rampe,Poussee&lt;Poids*SIN(M580)), g*SIN(M580), (-W580+Poussee)/m)</f>
        <v>-3.4868035761684744</v>
      </c>
    </row>
    <row r="582" spans="1:34" x14ac:dyDescent="0.2">
      <c r="A582" s="347">
        <f t="shared" ca="1" si="267"/>
        <v>0.1</v>
      </c>
      <c r="B582" s="304">
        <f t="shared" ca="1" si="268"/>
        <v>12.79999999999991</v>
      </c>
      <c r="D582" s="306">
        <f t="shared" ca="1" si="269"/>
        <v>-0.6524864990139293</v>
      </c>
      <c r="E582" s="307">
        <f t="shared" ca="1" si="270"/>
        <v>-13.14778983342763</v>
      </c>
      <c r="F582" s="304">
        <f t="shared" ca="1" si="271"/>
        <v>13.163970378855248</v>
      </c>
      <c r="G582" s="306">
        <f t="shared" ca="1" si="272"/>
        <v>20.926999742406533</v>
      </c>
      <c r="H582" s="307">
        <f t="shared" ca="1" si="273"/>
        <v>106.07091155664973</v>
      </c>
      <c r="I582" s="304">
        <f t="shared" ca="1" si="274"/>
        <v>108.1155751808096</v>
      </c>
      <c r="J582" s="306">
        <f t="shared" ca="1" si="275"/>
        <v>295.10038232124339</v>
      </c>
      <c r="K582" s="307">
        <f t="shared" ca="1" si="276"/>
        <v>2213.9528153559904</v>
      </c>
      <c r="L582" s="304">
        <f t="shared" ca="1" si="261"/>
        <v>2233.5333676193109</v>
      </c>
      <c r="M582" s="306">
        <f t="shared" ca="1" si="277"/>
        <v>1.3760054425010468</v>
      </c>
      <c r="N582" s="304">
        <f t="shared" ca="1" si="278"/>
        <v>78.839304442341259</v>
      </c>
      <c r="P582" s="310">
        <f t="shared" ca="1" si="279"/>
        <v>23</v>
      </c>
      <c r="Q582" s="304">
        <f t="shared" ca="1" si="280"/>
        <v>0</v>
      </c>
      <c r="R582" s="306">
        <f t="shared" ca="1" si="281"/>
        <v>0</v>
      </c>
      <c r="S582" s="307">
        <f t="shared" ca="1" si="282"/>
        <v>9.137999999999975</v>
      </c>
      <c r="T582" s="304">
        <f t="shared" ca="1" si="262"/>
        <v>89.643779999999765</v>
      </c>
      <c r="U582" s="311">
        <f t="shared" ca="1" si="263"/>
        <v>0</v>
      </c>
      <c r="V582" s="306">
        <f t="shared" ca="1" si="264"/>
        <v>0.98082083734901215</v>
      </c>
      <c r="W582" s="304">
        <f t="shared" ca="1" si="265"/>
        <v>30.309663413209684</v>
      </c>
      <c r="Y582" s="314" t="str">
        <f t="shared" ca="1" si="283"/>
        <v/>
      </c>
      <c r="Z582" s="315" t="str">
        <f t="shared" ca="1" si="284"/>
        <v/>
      </c>
      <c r="AA582" s="316" t="str">
        <f t="shared" ca="1" si="285"/>
        <v/>
      </c>
      <c r="AC582" s="310" t="e">
        <f t="shared" ca="1" si="286"/>
        <v>#N/A</v>
      </c>
      <c r="AD582" s="323" t="e">
        <f t="shared" ca="1" si="287"/>
        <v>#N/A</v>
      </c>
      <c r="AE582" s="324">
        <f t="shared" ca="1" si="266"/>
        <v>2213.9528153559904</v>
      </c>
      <c r="AG582" s="306">
        <f t="shared" ca="1" si="288"/>
        <v>-13.028733296155403</v>
      </c>
      <c r="AH582" s="304">
        <f t="shared" ca="1" si="289"/>
        <v>-3.4009674511127419</v>
      </c>
    </row>
    <row r="583" spans="1:34" x14ac:dyDescent="0.2">
      <c r="A583" s="347">
        <f t="shared" ca="1" si="267"/>
        <v>0.1</v>
      </c>
      <c r="B583" s="304">
        <f t="shared" ca="1" si="268"/>
        <v>12.89999999999991</v>
      </c>
      <c r="D583" s="306">
        <f t="shared" ca="1" si="269"/>
        <v>-0.64202016027439635</v>
      </c>
      <c r="E583" s="307">
        <f t="shared" ca="1" si="270"/>
        <v>-13.064153221976403</v>
      </c>
      <c r="F583" s="304">
        <f t="shared" ca="1" si="271"/>
        <v>13.079919315250962</v>
      </c>
      <c r="G583" s="306">
        <f t="shared" ca="1" si="272"/>
        <v>20.862797726379092</v>
      </c>
      <c r="H583" s="307">
        <f t="shared" ca="1" si="273"/>
        <v>104.7644962344521</v>
      </c>
      <c r="I583" s="304">
        <f t="shared" ca="1" si="274"/>
        <v>106.82160830202069</v>
      </c>
      <c r="J583" s="306">
        <f t="shared" ca="1" si="275"/>
        <v>297.18987219468266</v>
      </c>
      <c r="K583" s="307">
        <f t="shared" ca="1" si="276"/>
        <v>2224.4945857455455</v>
      </c>
      <c r="L583" s="304">
        <f t="shared" ca="1" si="261"/>
        <v>2244.2588937433975</v>
      </c>
      <c r="M583" s="306">
        <f t="shared" ca="1" si="277"/>
        <v>1.3742278638343213</v>
      </c>
      <c r="N583" s="304">
        <f t="shared" ca="1" si="278"/>
        <v>78.737456686985382</v>
      </c>
      <c r="P583" s="310">
        <f t="shared" ca="1" si="279"/>
        <v>23</v>
      </c>
      <c r="Q583" s="304">
        <f t="shared" ca="1" si="280"/>
        <v>0</v>
      </c>
      <c r="R583" s="306">
        <f t="shared" ca="1" si="281"/>
        <v>0</v>
      </c>
      <c r="S583" s="307">
        <f t="shared" ca="1" si="282"/>
        <v>9.137999999999975</v>
      </c>
      <c r="T583" s="304">
        <f t="shared" ca="1" si="262"/>
        <v>89.643779999999765</v>
      </c>
      <c r="U583" s="311">
        <f t="shared" ca="1" si="263"/>
        <v>0</v>
      </c>
      <c r="V583" s="306">
        <f t="shared" ca="1" si="264"/>
        <v>0.97977454778332096</v>
      </c>
      <c r="W583" s="304">
        <f t="shared" ca="1" si="265"/>
        <v>29.55692718496967</v>
      </c>
      <c r="Y583" s="314" t="str">
        <f t="shared" ca="1" si="283"/>
        <v/>
      </c>
      <c r="Z583" s="315" t="str">
        <f t="shared" ca="1" si="284"/>
        <v/>
      </c>
      <c r="AA583" s="316" t="str">
        <f t="shared" ca="1" si="285"/>
        <v/>
      </c>
      <c r="AC583" s="310" t="e">
        <f t="shared" ca="1" si="286"/>
        <v>#N/A</v>
      </c>
      <c r="AD583" s="323" t="e">
        <f t="shared" ca="1" si="287"/>
        <v>#N/A</v>
      </c>
      <c r="AE583" s="324">
        <f t="shared" ca="1" si="266"/>
        <v>2224.4945857455455</v>
      </c>
      <c r="AG583" s="306">
        <f t="shared" ca="1" si="288"/>
        <v>-12.94135645451213</v>
      </c>
      <c r="AH583" s="304">
        <f t="shared" ca="1" si="289"/>
        <v>-3.3168815291321696</v>
      </c>
    </row>
    <row r="584" spans="1:34" x14ac:dyDescent="0.2">
      <c r="A584" s="347">
        <f t="shared" ca="1" si="267"/>
        <v>0.1</v>
      </c>
      <c r="B584" s="304">
        <f t="shared" ca="1" si="268"/>
        <v>12.999999999999909</v>
      </c>
      <c r="D584" s="306">
        <f t="shared" ca="1" si="269"/>
        <v>-0.6317155435523365</v>
      </c>
      <c r="E584" s="307">
        <f t="shared" ca="1" si="270"/>
        <v>-12.982218872642061</v>
      </c>
      <c r="F584" s="304">
        <f t="shared" ca="1" si="271"/>
        <v>12.997579443309794</v>
      </c>
      <c r="G584" s="306">
        <f t="shared" ca="1" si="272"/>
        <v>20.79962617202386</v>
      </c>
      <c r="H584" s="307">
        <f t="shared" ca="1" si="273"/>
        <v>103.46627434718789</v>
      </c>
      <c r="I584" s="304">
        <f t="shared" ca="1" si="274"/>
        <v>105.53622305248322</v>
      </c>
      <c r="J584" s="306">
        <f t="shared" ca="1" si="275"/>
        <v>299.27299338960279</v>
      </c>
      <c r="K584" s="307">
        <f t="shared" ca="1" si="276"/>
        <v>2234.9061242746275</v>
      </c>
      <c r="L584" s="304">
        <f t="shared" ca="1" si="261"/>
        <v>2254.8546979556377</v>
      </c>
      <c r="M584" s="306">
        <f t="shared" ca="1" si="277"/>
        <v>1.372412427039261</v>
      </c>
      <c r="N584" s="304">
        <f t="shared" ca="1" si="278"/>
        <v>78.633439820655681</v>
      </c>
      <c r="P584" s="310">
        <f t="shared" ca="1" si="279"/>
        <v>23</v>
      </c>
      <c r="Q584" s="304">
        <f t="shared" ca="1" si="280"/>
        <v>0</v>
      </c>
      <c r="R584" s="306">
        <f t="shared" ca="1" si="281"/>
        <v>0</v>
      </c>
      <c r="S584" s="307">
        <f t="shared" ca="1" si="282"/>
        <v>9.137999999999975</v>
      </c>
      <c r="T584" s="304">
        <f t="shared" ca="1" si="262"/>
        <v>89.643779999999765</v>
      </c>
      <c r="U584" s="311">
        <f t="shared" ca="1" si="263"/>
        <v>0</v>
      </c>
      <c r="V584" s="306">
        <f t="shared" ca="1" si="264"/>
        <v>0.97874215776449724</v>
      </c>
      <c r="W584" s="304">
        <f t="shared" ca="1" si="265"/>
        <v>28.819490181725058</v>
      </c>
      <c r="Y584" s="314" t="str">
        <f t="shared" ca="1" si="283"/>
        <v/>
      </c>
      <c r="Z584" s="315" t="str">
        <f t="shared" ca="1" si="284"/>
        <v/>
      </c>
      <c r="AA584" s="316" t="str">
        <f t="shared" ca="1" si="285"/>
        <v/>
      </c>
      <c r="AC584" s="310">
        <f t="shared" ca="1" si="286"/>
        <v>12.999999999999909</v>
      </c>
      <c r="AD584" s="323">
        <f t="shared" ca="1" si="287"/>
        <v>299.27299338960279</v>
      </c>
      <c r="AE584" s="324">
        <f t="shared" ca="1" si="266"/>
        <v>2234.9061242746275</v>
      </c>
      <c r="AG584" s="306">
        <f t="shared" ca="1" si="288"/>
        <v>-12.855591631992935</v>
      </c>
      <c r="AH584" s="304">
        <f t="shared" ca="1" si="289"/>
        <v>-3.2345072428288191</v>
      </c>
    </row>
    <row r="585" spans="1:34" x14ac:dyDescent="0.2">
      <c r="A585" s="347">
        <f t="shared" ca="1" si="267"/>
        <v>0.1</v>
      </c>
      <c r="B585" s="304">
        <f t="shared" ca="1" si="268"/>
        <v>13.099999999999909</v>
      </c>
      <c r="D585" s="306">
        <f t="shared" ca="1" si="269"/>
        <v>-0.62156867902109936</v>
      </c>
      <c r="E585" s="307">
        <f t="shared" ca="1" si="270"/>
        <v>-12.901949583003423</v>
      </c>
      <c r="F585" s="304">
        <f t="shared" ca="1" si="271"/>
        <v>12.91691335672351</v>
      </c>
      <c r="G585" s="306">
        <f t="shared" ca="1" si="272"/>
        <v>20.737469304121749</v>
      </c>
      <c r="H585" s="307">
        <f t="shared" ca="1" si="273"/>
        <v>102.17607938888754</v>
      </c>
      <c r="I585" s="304">
        <f t="shared" ca="1" si="274"/>
        <v>104.25926257375717</v>
      </c>
      <c r="J585" s="306">
        <f t="shared" ca="1" si="275"/>
        <v>301.34984816341006</v>
      </c>
      <c r="K585" s="307">
        <f t="shared" ca="1" si="276"/>
        <v>2245.1882419614312</v>
      </c>
      <c r="L585" s="304">
        <f t="shared" ca="1" si="261"/>
        <v>2265.3216047241444</v>
      </c>
      <c r="M585" s="306">
        <f t="shared" ca="1" si="277"/>
        <v>1.3705580049600123</v>
      </c>
      <c r="N585" s="304">
        <f t="shared" ca="1" si="278"/>
        <v>78.527189262078849</v>
      </c>
      <c r="P585" s="310">
        <f t="shared" ca="1" si="279"/>
        <v>23</v>
      </c>
      <c r="Q585" s="304">
        <f t="shared" ca="1" si="280"/>
        <v>0</v>
      </c>
      <c r="R585" s="306">
        <f t="shared" ca="1" si="281"/>
        <v>0</v>
      </c>
      <c r="S585" s="307">
        <f t="shared" ca="1" si="282"/>
        <v>9.137999999999975</v>
      </c>
      <c r="T585" s="304">
        <f t="shared" ca="1" si="262"/>
        <v>89.643779999999765</v>
      </c>
      <c r="U585" s="311">
        <f t="shared" ca="1" si="263"/>
        <v>0</v>
      </c>
      <c r="V585" s="306">
        <f t="shared" ca="1" si="264"/>
        <v>0.977723549336866</v>
      </c>
      <c r="W585" s="304">
        <f t="shared" ca="1" si="265"/>
        <v>28.097021053839455</v>
      </c>
      <c r="Y585" s="314" t="str">
        <f t="shared" ca="1" si="283"/>
        <v/>
      </c>
      <c r="Z585" s="315" t="str">
        <f t="shared" ca="1" si="284"/>
        <v/>
      </c>
      <c r="AA585" s="316" t="str">
        <f t="shared" ca="1" si="285"/>
        <v/>
      </c>
      <c r="AC585" s="310" t="e">
        <f t="shared" ca="1" si="286"/>
        <v>#N/A</v>
      </c>
      <c r="AD585" s="323" t="e">
        <f t="shared" ca="1" si="287"/>
        <v>#N/A</v>
      </c>
      <c r="AE585" s="324">
        <f t="shared" ca="1" si="266"/>
        <v>2245.1882419614312</v>
      </c>
      <c r="AG585" s="306">
        <f t="shared" ca="1" si="288"/>
        <v>-12.771397462861753</v>
      </c>
      <c r="AH585" s="304">
        <f t="shared" ca="1" si="289"/>
        <v>-3.1538071987004965</v>
      </c>
    </row>
    <row r="586" spans="1:34" x14ac:dyDescent="0.2">
      <c r="A586" s="347">
        <f t="shared" ca="1" si="267"/>
        <v>0.1</v>
      </c>
      <c r="B586" s="304">
        <f t="shared" ca="1" si="268"/>
        <v>13.199999999999909</v>
      </c>
      <c r="D586" s="306">
        <f t="shared" ca="1" si="269"/>
        <v>-0.61157571331488381</v>
      </c>
      <c r="E586" s="307">
        <f t="shared" ca="1" si="270"/>
        <v>-12.82330927701757</v>
      </c>
      <c r="F586" s="304">
        <f t="shared" ca="1" si="271"/>
        <v>12.83788478165938</v>
      </c>
      <c r="G586" s="306">
        <f t="shared" ca="1" si="272"/>
        <v>20.676311732790261</v>
      </c>
      <c r="H586" s="307">
        <f t="shared" ca="1" si="273"/>
        <v>100.89374846118579</v>
      </c>
      <c r="I586" s="304">
        <f t="shared" ca="1" si="274"/>
        <v>102.99057406103023</v>
      </c>
      <c r="J586" s="306">
        <f t="shared" ca="1" si="275"/>
        <v>303.42053721525565</v>
      </c>
      <c r="K586" s="307">
        <f t="shared" ca="1" si="276"/>
        <v>2255.3417333539351</v>
      </c>
      <c r="L586" s="304">
        <f t="shared" ca="1" si="261"/>
        <v>2275.6604220779354</v>
      </c>
      <c r="M586" s="306">
        <f t="shared" ca="1" si="277"/>
        <v>1.3686634251900311</v>
      </c>
      <c r="N586" s="304">
        <f t="shared" ca="1" si="278"/>
        <v>78.418637837308069</v>
      </c>
      <c r="P586" s="310">
        <f t="shared" ca="1" si="279"/>
        <v>23</v>
      </c>
      <c r="Q586" s="304">
        <f t="shared" ca="1" si="280"/>
        <v>0</v>
      </c>
      <c r="R586" s="306">
        <f t="shared" ca="1" si="281"/>
        <v>0</v>
      </c>
      <c r="S586" s="307">
        <f t="shared" ca="1" si="282"/>
        <v>9.137999999999975</v>
      </c>
      <c r="T586" s="304">
        <f t="shared" ca="1" si="262"/>
        <v>89.643779999999765</v>
      </c>
      <c r="U586" s="311">
        <f t="shared" ca="1" si="263"/>
        <v>0</v>
      </c>
      <c r="V586" s="306">
        <f t="shared" ca="1" si="264"/>
        <v>0.97671860702385971</v>
      </c>
      <c r="W586" s="304">
        <f t="shared" ca="1" si="265"/>
        <v>27.389198444572987</v>
      </c>
      <c r="Y586" s="314" t="str">
        <f t="shared" ca="1" si="283"/>
        <v/>
      </c>
      <c r="Z586" s="315" t="str">
        <f t="shared" ca="1" si="284"/>
        <v/>
      </c>
      <c r="AA586" s="316" t="str">
        <f t="shared" ca="1" si="285"/>
        <v/>
      </c>
      <c r="AC586" s="310" t="e">
        <f t="shared" ca="1" si="286"/>
        <v>#N/A</v>
      </c>
      <c r="AD586" s="323" t="e">
        <f t="shared" ca="1" si="287"/>
        <v>#N/A</v>
      </c>
      <c r="AE586" s="324">
        <f t="shared" ca="1" si="266"/>
        <v>2255.3417333539351</v>
      </c>
      <c r="AG586" s="306">
        <f t="shared" ca="1" si="288"/>
        <v>-12.688733515287758</v>
      </c>
      <c r="AH586" s="304">
        <f t="shared" ca="1" si="289"/>
        <v>-3.0747451361172611</v>
      </c>
    </row>
    <row r="587" spans="1:34" x14ac:dyDescent="0.2">
      <c r="A587" s="347">
        <f t="shared" ca="1" si="267"/>
        <v>0.1</v>
      </c>
      <c r="B587" s="304">
        <f t="shared" ca="1" si="268"/>
        <v>13.299999999999908</v>
      </c>
      <c r="D587" s="306">
        <f t="shared" ca="1" si="269"/>
        <v>-0.60173290553680103</v>
      </c>
      <c r="E587" s="307">
        <f t="shared" ca="1" si="270"/>
        <v>-12.746262965883208</v>
      </c>
      <c r="F587" s="304">
        <f t="shared" ca="1" si="271"/>
        <v>12.760458537413596</v>
      </c>
      <c r="G587" s="306">
        <f t="shared" ca="1" si="272"/>
        <v>20.616138442236579</v>
      </c>
      <c r="H587" s="307">
        <f t="shared" ca="1" si="273"/>
        <v>99.619122164597471</v>
      </c>
      <c r="I587" s="304">
        <f t="shared" ca="1" si="274"/>
        <v>101.73000867548602</v>
      </c>
      <c r="J587" s="306">
        <f t="shared" ca="1" si="275"/>
        <v>305.48515972400702</v>
      </c>
      <c r="K587" s="307">
        <f t="shared" ca="1" si="276"/>
        <v>2265.3673768852241</v>
      </c>
      <c r="L587" s="304">
        <f t="shared" ca="1" si="261"/>
        <v>2285.8719419660069</v>
      </c>
      <c r="M587" s="306">
        <f t="shared" ca="1" si="277"/>
        <v>1.3667274678213166</v>
      </c>
      <c r="N587" s="304">
        <f t="shared" ca="1" si="278"/>
        <v>78.30771565076347</v>
      </c>
      <c r="P587" s="310">
        <f t="shared" ca="1" si="279"/>
        <v>23</v>
      </c>
      <c r="Q587" s="304">
        <f t="shared" ca="1" si="280"/>
        <v>0</v>
      </c>
      <c r="R587" s="306">
        <f t="shared" ca="1" si="281"/>
        <v>0</v>
      </c>
      <c r="S587" s="307">
        <f t="shared" ca="1" si="282"/>
        <v>9.137999999999975</v>
      </c>
      <c r="T587" s="304">
        <f t="shared" ca="1" si="262"/>
        <v>89.643779999999765</v>
      </c>
      <c r="U587" s="311">
        <f t="shared" ca="1" si="263"/>
        <v>0</v>
      </c>
      <c r="V587" s="306">
        <f t="shared" ca="1" si="264"/>
        <v>0.97572721777181715</v>
      </c>
      <c r="W587" s="304">
        <f t="shared" ca="1" si="265"/>
        <v>26.695710645643455</v>
      </c>
      <c r="Y587" s="314" t="str">
        <f t="shared" ca="1" si="283"/>
        <v/>
      </c>
      <c r="Z587" s="315" t="str">
        <f t="shared" ca="1" si="284"/>
        <v/>
      </c>
      <c r="AA587" s="316" t="str">
        <f t="shared" ca="1" si="285"/>
        <v/>
      </c>
      <c r="AC587" s="310" t="e">
        <f t="shared" ca="1" si="286"/>
        <v>#N/A</v>
      </c>
      <c r="AD587" s="323" t="e">
        <f t="shared" ca="1" si="287"/>
        <v>#N/A</v>
      </c>
      <c r="AE587" s="324">
        <f t="shared" ca="1" si="266"/>
        <v>2265.3673768852241</v>
      </c>
      <c r="AG587" s="306">
        <f t="shared" ca="1" si="288"/>
        <v>-12.607560240078502</v>
      </c>
      <c r="AH587" s="304">
        <f t="shared" ca="1" si="289"/>
        <v>-2.9972858880031805</v>
      </c>
    </row>
    <row r="588" spans="1:34" x14ac:dyDescent="0.2">
      <c r="A588" s="347">
        <f t="shared" ca="1" si="267"/>
        <v>0.1</v>
      </c>
      <c r="B588" s="304">
        <f t="shared" ca="1" si="268"/>
        <v>13.399999999999908</v>
      </c>
      <c r="D588" s="306">
        <f t="shared" ca="1" si="269"/>
        <v>-0.59203662343991115</v>
      </c>
      <c r="E588" s="307">
        <f t="shared" ca="1" si="270"/>
        <v>-12.670776710518538</v>
      </c>
      <c r="F588" s="304">
        <f t="shared" ca="1" si="271"/>
        <v>12.684600498687892</v>
      </c>
      <c r="G588" s="306">
        <f t="shared" ca="1" si="272"/>
        <v>20.55693477989259</v>
      </c>
      <c r="H588" s="307">
        <f t="shared" ca="1" si="273"/>
        <v>98.35204449354562</v>
      </c>
      <c r="I588" s="304">
        <f t="shared" ca="1" si="274"/>
        <v>100.47742146176491</v>
      </c>
      <c r="J588" s="306">
        <f t="shared" ca="1" si="275"/>
        <v>307.54381338511348</v>
      </c>
      <c r="K588" s="307">
        <f t="shared" ca="1" si="276"/>
        <v>2275.2659352181313</v>
      </c>
      <c r="L588" s="304">
        <f t="shared" ca="1" si="261"/>
        <v>2295.9569406057021</v>
      </c>
      <c r="M588" s="306">
        <f t="shared" ca="1" si="277"/>
        <v>1.3647488630598601</v>
      </c>
      <c r="N588" s="304">
        <f t="shared" ca="1" si="278"/>
        <v>78.194349948607524</v>
      </c>
      <c r="P588" s="310">
        <f t="shared" ca="1" si="279"/>
        <v>23</v>
      </c>
      <c r="Q588" s="304">
        <f t="shared" ca="1" si="280"/>
        <v>0</v>
      </c>
      <c r="R588" s="306">
        <f t="shared" ca="1" si="281"/>
        <v>0</v>
      </c>
      <c r="S588" s="307">
        <f t="shared" ca="1" si="282"/>
        <v>9.137999999999975</v>
      </c>
      <c r="T588" s="304">
        <f t="shared" ca="1" si="262"/>
        <v>89.643779999999765</v>
      </c>
      <c r="U588" s="311">
        <f t="shared" ca="1" si="263"/>
        <v>0</v>
      </c>
      <c r="V588" s="306">
        <f t="shared" ca="1" si="264"/>
        <v>0.97474927089552443</v>
      </c>
      <c r="W588" s="304">
        <f t="shared" ca="1" si="265"/>
        <v>26.016255266945681</v>
      </c>
      <c r="Y588" s="314" t="str">
        <f t="shared" ca="1" si="283"/>
        <v/>
      </c>
      <c r="Z588" s="315" t="str">
        <f t="shared" ca="1" si="284"/>
        <v/>
      </c>
      <c r="AA588" s="316" t="str">
        <f t="shared" ca="1" si="285"/>
        <v/>
      </c>
      <c r="AC588" s="310" t="e">
        <f t="shared" ca="1" si="286"/>
        <v>#N/A</v>
      </c>
      <c r="AD588" s="323" t="e">
        <f t="shared" ca="1" si="287"/>
        <v>#N/A</v>
      </c>
      <c r="AE588" s="324">
        <f t="shared" ca="1" si="266"/>
        <v>2275.2659352181313</v>
      </c>
      <c r="AG588" s="306">
        <f t="shared" ca="1" si="288"/>
        <v>-12.527838920201543</v>
      </c>
      <c r="AH588" s="304">
        <f t="shared" ca="1" si="289"/>
        <v>-2.9213953431433057</v>
      </c>
    </row>
    <row r="589" spans="1:34" x14ac:dyDescent="0.2">
      <c r="A589" s="347">
        <f t="shared" ca="1" si="267"/>
        <v>0.1</v>
      </c>
      <c r="B589" s="304">
        <f t="shared" ca="1" si="268"/>
        <v>13.499999999999908</v>
      </c>
      <c r="D589" s="306">
        <f t="shared" ca="1" si="269"/>
        <v>-0.58248333977382938</v>
      </c>
      <c r="E589" s="307">
        <f t="shared" ca="1" si="270"/>
        <v>-12.596817585578002</v>
      </c>
      <c r="F589" s="304">
        <f t="shared" ca="1" si="271"/>
        <v>12.610277559413245</v>
      </c>
      <c r="G589" s="306">
        <f t="shared" ca="1" si="272"/>
        <v>20.498686445915208</v>
      </c>
      <c r="H589" s="307">
        <f t="shared" ca="1" si="273"/>
        <v>97.092362734987816</v>
      </c>
      <c r="I589" s="304">
        <f t="shared" ca="1" si="274"/>
        <v>99.23267127045608</v>
      </c>
      <c r="J589" s="306">
        <f t="shared" ca="1" si="275"/>
        <v>309.59659444640386</v>
      </c>
      <c r="K589" s="307">
        <f t="shared" ca="1" si="276"/>
        <v>2285.038155579558</v>
      </c>
      <c r="L589" s="304">
        <f t="shared" ca="1" si="261"/>
        <v>2305.9161788207393</v>
      </c>
      <c r="M589" s="306">
        <f t="shared" ca="1" si="277"/>
        <v>1.3627262886981086</v>
      </c>
      <c r="N589" s="304">
        <f t="shared" ca="1" si="278"/>
        <v>78.078464973927794</v>
      </c>
      <c r="P589" s="310">
        <f t="shared" ca="1" si="279"/>
        <v>23</v>
      </c>
      <c r="Q589" s="304">
        <f t="shared" ca="1" si="280"/>
        <v>0</v>
      </c>
      <c r="R589" s="306">
        <f t="shared" ca="1" si="281"/>
        <v>0</v>
      </c>
      <c r="S589" s="307">
        <f t="shared" ca="1" si="282"/>
        <v>9.137999999999975</v>
      </c>
      <c r="T589" s="304">
        <f t="shared" ca="1" si="262"/>
        <v>89.643779999999765</v>
      </c>
      <c r="U589" s="311">
        <f t="shared" ca="1" si="263"/>
        <v>0</v>
      </c>
      <c r="V589" s="306">
        <f t="shared" ca="1" si="264"/>
        <v>0.97378465802544545</v>
      </c>
      <c r="W589" s="304">
        <f t="shared" ca="1" si="265"/>
        <v>25.350538919772699</v>
      </c>
      <c r="Y589" s="314" t="str">
        <f t="shared" ca="1" si="283"/>
        <v/>
      </c>
      <c r="Z589" s="315" t="str">
        <f t="shared" ca="1" si="284"/>
        <v/>
      </c>
      <c r="AA589" s="316" t="str">
        <f t="shared" ca="1" si="285"/>
        <v/>
      </c>
      <c r="AC589" s="310" t="e">
        <f t="shared" ca="1" si="286"/>
        <v>#N/A</v>
      </c>
      <c r="AD589" s="323" t="e">
        <f t="shared" ca="1" si="287"/>
        <v>#N/A</v>
      </c>
      <c r="AE589" s="324">
        <f t="shared" ca="1" si="266"/>
        <v>2285.038155579558</v>
      </c>
      <c r="AG589" s="306">
        <f t="shared" ca="1" si="288"/>
        <v>-12.449531620951868</v>
      </c>
      <c r="AH589" s="304">
        <f t="shared" ca="1" si="289"/>
        <v>-2.8470404100400253</v>
      </c>
    </row>
    <row r="590" spans="1:34" x14ac:dyDescent="0.2">
      <c r="A590" s="347">
        <f t="shared" ca="1" si="267"/>
        <v>0.1</v>
      </c>
      <c r="B590" s="304">
        <f t="shared" ca="1" si="268"/>
        <v>13.599999999999907</v>
      </c>
      <c r="D590" s="306">
        <f t="shared" ca="1" si="269"/>
        <v>-0.57306962878992751</v>
      </c>
      <c r="E590" s="307">
        <f t="shared" ca="1" si="270"/>
        <v>-12.52435364493631</v>
      </c>
      <c r="F590" s="304">
        <f t="shared" ca="1" si="271"/>
        <v>12.537457598048771</v>
      </c>
      <c r="G590" s="306">
        <f t="shared" ca="1" si="272"/>
        <v>20.441379483036215</v>
      </c>
      <c r="H590" s="307">
        <f t="shared" ca="1" si="273"/>
        <v>95.839927370494181</v>
      </c>
      <c r="I590" s="304">
        <f t="shared" ca="1" si="274"/>
        <v>97.995620685574991</v>
      </c>
      <c r="J590" s="306">
        <f t="shared" ca="1" si="275"/>
        <v>311.64359774285145</v>
      </c>
      <c r="K590" s="307">
        <f t="shared" ca="1" si="276"/>
        <v>2294.6847700848321</v>
      </c>
      <c r="L590" s="304">
        <f t="shared" ca="1" si="261"/>
        <v>2315.7504023692595</v>
      </c>
      <c r="M590" s="306">
        <f t="shared" ca="1" si="277"/>
        <v>1.3606583674345194</v>
      </c>
      <c r="N590" s="304">
        <f t="shared" ca="1" si="278"/>
        <v>77.959981813158777</v>
      </c>
      <c r="P590" s="310">
        <f t="shared" ca="1" si="279"/>
        <v>23</v>
      </c>
      <c r="Q590" s="304">
        <f t="shared" ca="1" si="280"/>
        <v>0</v>
      </c>
      <c r="R590" s="306">
        <f t="shared" ca="1" si="281"/>
        <v>0</v>
      </c>
      <c r="S590" s="307">
        <f t="shared" ca="1" si="282"/>
        <v>9.137999999999975</v>
      </c>
      <c r="T590" s="304">
        <f t="shared" ca="1" si="262"/>
        <v>89.643779999999765</v>
      </c>
      <c r="U590" s="311">
        <f t="shared" ca="1" si="263"/>
        <v>0</v>
      </c>
      <c r="V590" s="306">
        <f t="shared" ca="1" si="264"/>
        <v>0.97283327305656975</v>
      </c>
      <c r="W590" s="304">
        <f t="shared" ca="1" si="265"/>
        <v>24.698276912916491</v>
      </c>
      <c r="Y590" s="314" t="str">
        <f t="shared" ca="1" si="283"/>
        <v/>
      </c>
      <c r="Z590" s="315" t="str">
        <f t="shared" ca="1" si="284"/>
        <v/>
      </c>
      <c r="AA590" s="316" t="str">
        <f t="shared" ca="1" si="285"/>
        <v/>
      </c>
      <c r="AC590" s="310" t="e">
        <f t="shared" ca="1" si="286"/>
        <v>#N/A</v>
      </c>
      <c r="AD590" s="323" t="e">
        <f t="shared" ca="1" si="287"/>
        <v>#N/A</v>
      </c>
      <c r="AE590" s="324">
        <f t="shared" ca="1" si="266"/>
        <v>2294.6847700848321</v>
      </c>
      <c r="AG590" s="306">
        <f t="shared" ca="1" si="288"/>
        <v>-12.372601140620509</v>
      </c>
      <c r="AH590" s="304">
        <f t="shared" ca="1" si="289"/>
        <v>-2.7741889822469652</v>
      </c>
    </row>
    <row r="591" spans="1:34" x14ac:dyDescent="0.2">
      <c r="A591" s="347">
        <f t="shared" ca="1" si="267"/>
        <v>0.1</v>
      </c>
      <c r="B591" s="304">
        <f t="shared" ca="1" si="268"/>
        <v>13.699999999999907</v>
      </c>
      <c r="D591" s="306">
        <f t="shared" ca="1" si="269"/>
        <v>-0.56379216289859291</v>
      </c>
      <c r="E591" s="307">
        <f t="shared" ca="1" si="270"/>
        <v>-12.453353888571771</v>
      </c>
      <c r="F591" s="304">
        <f t="shared" ca="1" si="271"/>
        <v>12.466109444287401</v>
      </c>
      <c r="G591" s="306">
        <f t="shared" ca="1" si="272"/>
        <v>20.385000266746356</v>
      </c>
      <c r="H591" s="307">
        <f t="shared" ca="1" si="273"/>
        <v>94.594591981637009</v>
      </c>
      <c r="I591" s="304">
        <f t="shared" ca="1" si="274"/>
        <v>96.766135956994958</v>
      </c>
      <c r="J591" s="306">
        <f t="shared" ca="1" si="275"/>
        <v>313.6849167303406</v>
      </c>
      <c r="K591" s="307">
        <f t="shared" ca="1" si="276"/>
        <v>2304.2064960524385</v>
      </c>
      <c r="L591" s="304">
        <f t="shared" ca="1" si="261"/>
        <v>2325.4603422622322</v>
      </c>
      <c r="M591" s="306">
        <f t="shared" ca="1" si="277"/>
        <v>1.3585436640295101</v>
      </c>
      <c r="N591" s="304">
        <f t="shared" ca="1" si="278"/>
        <v>77.8388182331298</v>
      </c>
      <c r="P591" s="310">
        <f t="shared" ca="1" si="279"/>
        <v>23</v>
      </c>
      <c r="Q591" s="304">
        <f t="shared" ca="1" si="280"/>
        <v>0</v>
      </c>
      <c r="R591" s="306">
        <f t="shared" ca="1" si="281"/>
        <v>0</v>
      </c>
      <c r="S591" s="307">
        <f t="shared" ca="1" si="282"/>
        <v>9.137999999999975</v>
      </c>
      <c r="T591" s="304">
        <f t="shared" ca="1" si="262"/>
        <v>89.643779999999765</v>
      </c>
      <c r="U591" s="311">
        <f t="shared" ca="1" si="263"/>
        <v>0</v>
      </c>
      <c r="V591" s="306">
        <f t="shared" ca="1" si="264"/>
        <v>0.97189501209883356</v>
      </c>
      <c r="W591" s="304">
        <f t="shared" ca="1" si="265"/>
        <v>24.059192961058589</v>
      </c>
      <c r="Y591" s="314" t="str">
        <f t="shared" ca="1" si="283"/>
        <v/>
      </c>
      <c r="Z591" s="315" t="str">
        <f t="shared" ca="1" si="284"/>
        <v/>
      </c>
      <c r="AA591" s="316" t="str">
        <f t="shared" ca="1" si="285"/>
        <v/>
      </c>
      <c r="AC591" s="310" t="e">
        <f t="shared" ca="1" si="286"/>
        <v>#N/A</v>
      </c>
      <c r="AD591" s="323" t="e">
        <f t="shared" ca="1" si="287"/>
        <v>#N/A</v>
      </c>
      <c r="AE591" s="324">
        <f t="shared" ca="1" si="266"/>
        <v>2304.2064960524385</v>
      </c>
      <c r="AG591" s="306">
        <f t="shared" ca="1" si="288"/>
        <v>-12.297010961516733</v>
      </c>
      <c r="AH591" s="304">
        <f t="shared" ca="1" si="289"/>
        <v>-2.7028099051123395</v>
      </c>
    </row>
    <row r="592" spans="1:34" x14ac:dyDescent="0.2">
      <c r="A592" s="347">
        <f t="shared" ca="1" si="267"/>
        <v>0.1</v>
      </c>
      <c r="B592" s="304">
        <f t="shared" ca="1" si="268"/>
        <v>13.799999999999907</v>
      </c>
      <c r="D592" s="306">
        <f t="shared" ca="1" si="269"/>
        <v>-0.55464770947240483</v>
      </c>
      <c r="E592" s="307">
        <f t="shared" ca="1" si="270"/>
        <v>-12.38378823078455</v>
      </c>
      <c r="F592" s="304">
        <f t="shared" ca="1" si="271"/>
        <v>12.396202847103661</v>
      </c>
      <c r="G592" s="306">
        <f t="shared" ca="1" si="272"/>
        <v>20.329535495799117</v>
      </c>
      <c r="H592" s="307">
        <f t="shared" ca="1" si="273"/>
        <v>93.35621315855856</v>
      </c>
      <c r="I592" s="304">
        <f t="shared" ca="1" si="274"/>
        <v>95.544086937817241</v>
      </c>
      <c r="J592" s="306">
        <f t="shared" ca="1" si="275"/>
        <v>315.72064351846785</v>
      </c>
      <c r="K592" s="307">
        <f t="shared" ca="1" si="276"/>
        <v>2313.6040363094485</v>
      </c>
      <c r="L592" s="304">
        <f t="shared" ca="1" si="261"/>
        <v>2335.0467150725458</v>
      </c>
      <c r="M592" s="306">
        <f t="shared" ca="1" si="277"/>
        <v>1.3563806822862596</v>
      </c>
      <c r="N592" s="304">
        <f t="shared" ca="1" si="278"/>
        <v>77.714888508077692</v>
      </c>
      <c r="P592" s="310">
        <f t="shared" ca="1" si="279"/>
        <v>23</v>
      </c>
      <c r="Q592" s="304">
        <f t="shared" ca="1" si="280"/>
        <v>0</v>
      </c>
      <c r="R592" s="306">
        <f t="shared" ca="1" si="281"/>
        <v>0</v>
      </c>
      <c r="S592" s="307">
        <f t="shared" ca="1" si="282"/>
        <v>9.137999999999975</v>
      </c>
      <c r="T592" s="304">
        <f t="shared" ca="1" si="262"/>
        <v>89.643779999999765</v>
      </c>
      <c r="U592" s="311">
        <f t="shared" ca="1" si="263"/>
        <v>0</v>
      </c>
      <c r="V592" s="306">
        <f t="shared" ca="1" si="264"/>
        <v>0.97096977342905044</v>
      </c>
      <c r="W592" s="304">
        <f t="shared" ca="1" si="265"/>
        <v>23.433018904891007</v>
      </c>
      <c r="Y592" s="314" t="str">
        <f t="shared" ca="1" si="283"/>
        <v/>
      </c>
      <c r="Z592" s="315" t="str">
        <f t="shared" ca="1" si="284"/>
        <v/>
      </c>
      <c r="AA592" s="316" t="str">
        <f t="shared" ca="1" si="285"/>
        <v/>
      </c>
      <c r="AC592" s="310" t="e">
        <f t="shared" ca="1" si="286"/>
        <v>#N/A</v>
      </c>
      <c r="AD592" s="323" t="e">
        <f t="shared" ca="1" si="287"/>
        <v>#N/A</v>
      </c>
      <c r="AE592" s="324">
        <f t="shared" ca="1" si="266"/>
        <v>2313.6040363094485</v>
      </c>
      <c r="AG592" s="306">
        <f t="shared" ca="1" si="288"/>
        <v>-12.222725201192768</v>
      </c>
      <c r="AH592" s="304">
        <f t="shared" ca="1" si="289"/>
        <v>-2.6328729438672198</v>
      </c>
    </row>
    <row r="593" spans="1:34" x14ac:dyDescent="0.2">
      <c r="A593" s="347">
        <f t="shared" ca="1" si="267"/>
        <v>0.1</v>
      </c>
      <c r="B593" s="304">
        <f t="shared" ca="1" si="268"/>
        <v>13.899999999999906</v>
      </c>
      <c r="D593" s="306">
        <f t="shared" ca="1" si="269"/>
        <v>-0.54563312778947426</v>
      </c>
      <c r="E593" s="307">
        <f t="shared" ca="1" si="270"/>
        <v>-12.315627469688673</v>
      </c>
      <c r="F593" s="304">
        <f t="shared" ca="1" si="271"/>
        <v>12.327708444082036</v>
      </c>
      <c r="G593" s="306">
        <f t="shared" ca="1" si="272"/>
        <v>20.274972183020171</v>
      </c>
      <c r="H593" s="307">
        <f t="shared" ca="1" si="273"/>
        <v>92.124650411589698</v>
      </c>
      <c r="I593" s="304">
        <f t="shared" ca="1" si="274"/>
        <v>94.329347026680182</v>
      </c>
      <c r="J593" s="306">
        <f t="shared" ca="1" si="275"/>
        <v>317.7508689024088</v>
      </c>
      <c r="K593" s="307">
        <f t="shared" ca="1" si="276"/>
        <v>2322.8780794879558</v>
      </c>
      <c r="L593" s="304">
        <f t="shared" ca="1" si="261"/>
        <v>2344.5102232350982</v>
      </c>
      <c r="M593" s="306">
        <f t="shared" ca="1" si="277"/>
        <v>1.3541678618438919</v>
      </c>
      <c r="N593" s="304">
        <f t="shared" ca="1" si="278"/>
        <v>77.588103235909756</v>
      </c>
      <c r="P593" s="310">
        <f t="shared" ca="1" si="279"/>
        <v>23</v>
      </c>
      <c r="Q593" s="304">
        <f t="shared" ca="1" si="280"/>
        <v>0</v>
      </c>
      <c r="R593" s="306">
        <f t="shared" ca="1" si="281"/>
        <v>0</v>
      </c>
      <c r="S593" s="307">
        <f t="shared" ca="1" si="282"/>
        <v>9.137999999999975</v>
      </c>
      <c r="T593" s="304">
        <f t="shared" ca="1" si="262"/>
        <v>89.643779999999765</v>
      </c>
      <c r="U593" s="311">
        <f t="shared" ca="1" si="263"/>
        <v>0</v>
      </c>
      <c r="V593" s="306">
        <f t="shared" ca="1" si="264"/>
        <v>0.97005745744430305</v>
      </c>
      <c r="W593" s="304">
        <f t="shared" ca="1" si="265"/>
        <v>22.819494442436937</v>
      </c>
      <c r="Y593" s="314" t="str">
        <f t="shared" ca="1" si="283"/>
        <v/>
      </c>
      <c r="Z593" s="315" t="str">
        <f t="shared" ca="1" si="284"/>
        <v/>
      </c>
      <c r="AA593" s="316" t="str">
        <f t="shared" ca="1" si="285"/>
        <v/>
      </c>
      <c r="AC593" s="310" t="e">
        <f t="shared" ca="1" si="286"/>
        <v>#N/A</v>
      </c>
      <c r="AD593" s="323" t="e">
        <f t="shared" ca="1" si="287"/>
        <v>#N/A</v>
      </c>
      <c r="AE593" s="324">
        <f t="shared" ca="1" si="266"/>
        <v>2322.8780794879558</v>
      </c>
      <c r="AG593" s="306">
        <f t="shared" ca="1" si="288"/>
        <v>-12.14970856371507</v>
      </c>
      <c r="AH593" s="304">
        <f t="shared" ca="1" si="289"/>
        <v>-2.5643487529974909</v>
      </c>
    </row>
    <row r="594" spans="1:34" x14ac:dyDescent="0.2">
      <c r="A594" s="347">
        <f t="shared" ca="1" si="267"/>
        <v>0.1</v>
      </c>
      <c r="B594" s="304">
        <f t="shared" ca="1" si="268"/>
        <v>13.999999999999906</v>
      </c>
      <c r="D594" s="306">
        <f t="shared" ca="1" si="269"/>
        <v>-0.53674536611158141</v>
      </c>
      <c r="E594" s="307">
        <f t="shared" ca="1" si="270"/>
        <v>-12.248843257919798</v>
      </c>
      <c r="F594" s="304">
        <f t="shared" ca="1" si="271"/>
        <v>12.260597731967621</v>
      </c>
      <c r="G594" s="306">
        <f t="shared" ca="1" si="272"/>
        <v>20.221297646409013</v>
      </c>
      <c r="H594" s="307">
        <f t="shared" ca="1" si="273"/>
        <v>90.899766085797722</v>
      </c>
      <c r="I594" s="304">
        <f t="shared" ca="1" si="274"/>
        <v>93.121793115024403</v>
      </c>
      <c r="J594" s="306">
        <f t="shared" ca="1" si="275"/>
        <v>319.77568239388023</v>
      </c>
      <c r="K594" s="307">
        <f t="shared" ca="1" si="276"/>
        <v>2332.0293003128254</v>
      </c>
      <c r="L594" s="304">
        <f t="shared" ca="1" si="261"/>
        <v>2353.8515553381862</v>
      </c>
      <c r="M594" s="306">
        <f t="shared" ca="1" si="277"/>
        <v>1.3519035747695838</v>
      </c>
      <c r="N594" s="304">
        <f t="shared" ca="1" si="278"/>
        <v>77.45836914294587</v>
      </c>
      <c r="P594" s="310">
        <f t="shared" ca="1" si="279"/>
        <v>23</v>
      </c>
      <c r="Q594" s="304">
        <f t="shared" ca="1" si="280"/>
        <v>0</v>
      </c>
      <c r="R594" s="306">
        <f t="shared" ca="1" si="281"/>
        <v>0</v>
      </c>
      <c r="S594" s="307">
        <f t="shared" ca="1" si="282"/>
        <v>9.137999999999975</v>
      </c>
      <c r="T594" s="304">
        <f t="shared" ca="1" si="262"/>
        <v>89.643779999999765</v>
      </c>
      <c r="U594" s="311">
        <f t="shared" ca="1" si="263"/>
        <v>0</v>
      </c>
      <c r="V594" s="306">
        <f t="shared" ca="1" si="264"/>
        <v>0.96915796661674702</v>
      </c>
      <c r="W594" s="304">
        <f t="shared" ca="1" si="265"/>
        <v>22.218366871067619</v>
      </c>
      <c r="Y594" s="314" t="str">
        <f t="shared" ca="1" si="283"/>
        <v/>
      </c>
      <c r="Z594" s="315" t="str">
        <f t="shared" ca="1" si="284"/>
        <v/>
      </c>
      <c r="AA594" s="316" t="str">
        <f t="shared" ca="1" si="285"/>
        <v/>
      </c>
      <c r="AC594" s="310">
        <f t="shared" ca="1" si="286"/>
        <v>13.999999999999906</v>
      </c>
      <c r="AD594" s="323">
        <f t="shared" ca="1" si="287"/>
        <v>319.77568239388023</v>
      </c>
      <c r="AE594" s="324">
        <f t="shared" ca="1" si="266"/>
        <v>2332.0293003128254</v>
      </c>
      <c r="AG594" s="306">
        <f t="shared" ca="1" si="288"/>
        <v>-12.077926290820768</v>
      </c>
      <c r="AH594" s="304">
        <f t="shared" ca="1" si="289"/>
        <v>-2.4972088468414313</v>
      </c>
    </row>
    <row r="595" spans="1:34" x14ac:dyDescent="0.2">
      <c r="A595" s="347">
        <f t="shared" ca="1" si="267"/>
        <v>0.1</v>
      </c>
      <c r="B595" s="304">
        <f t="shared" ca="1" si="268"/>
        <v>14.099999999999905</v>
      </c>
      <c r="D595" s="306">
        <f t="shared" ca="1" si="269"/>
        <v>-0.52798145889207304</v>
      </c>
      <c r="E595" s="307">
        <f t="shared" ca="1" si="270"/>
        <v>-12.183408074503594</v>
      </c>
      <c r="F595" s="304">
        <f t="shared" ca="1" si="271"/>
        <v>12.19484303838361</v>
      </c>
      <c r="G595" s="306">
        <f t="shared" ca="1" si="272"/>
        <v>20.168499500519808</v>
      </c>
      <c r="H595" s="307">
        <f t="shared" ca="1" si="273"/>
        <v>89.681425278347362</v>
      </c>
      <c r="I595" s="304">
        <f t="shared" ca="1" si="274"/>
        <v>91.921305539348538</v>
      </c>
      <c r="J595" s="306">
        <f t="shared" ca="1" si="275"/>
        <v>321.79517225122669</v>
      </c>
      <c r="K595" s="307">
        <f t="shared" ca="1" si="276"/>
        <v>2341.0583598810326</v>
      </c>
      <c r="L595" s="304">
        <f t="shared" ca="1" si="261"/>
        <v>2363.0713864064851</v>
      </c>
      <c r="M595" s="306">
        <f t="shared" ca="1" si="277"/>
        <v>1.3495861219350358</v>
      </c>
      <c r="N595" s="304">
        <f t="shared" ca="1" si="278"/>
        <v>77.325588876305645</v>
      </c>
      <c r="P595" s="310">
        <f t="shared" ca="1" si="279"/>
        <v>23</v>
      </c>
      <c r="Q595" s="304">
        <f t="shared" ca="1" si="280"/>
        <v>0</v>
      </c>
      <c r="R595" s="306">
        <f t="shared" ca="1" si="281"/>
        <v>0</v>
      </c>
      <c r="S595" s="307">
        <f t="shared" ca="1" si="282"/>
        <v>9.137999999999975</v>
      </c>
      <c r="T595" s="304">
        <f t="shared" ca="1" si="262"/>
        <v>89.643779999999765</v>
      </c>
      <c r="U595" s="311">
        <f t="shared" ca="1" si="263"/>
        <v>0</v>
      </c>
      <c r="V595" s="306">
        <f t="shared" ca="1" si="264"/>
        <v>0.96827120544977296</v>
      </c>
      <c r="W595" s="304">
        <f t="shared" ca="1" si="265"/>
        <v>21.629390839737397</v>
      </c>
      <c r="Y595" s="314" t="str">
        <f t="shared" ca="1" si="283"/>
        <v/>
      </c>
      <c r="Z595" s="315" t="str">
        <f t="shared" ca="1" si="284"/>
        <v/>
      </c>
      <c r="AA595" s="316" t="str">
        <f t="shared" ca="1" si="285"/>
        <v/>
      </c>
      <c r="AC595" s="310" t="e">
        <f t="shared" ca="1" si="286"/>
        <v>#N/A</v>
      </c>
      <c r="AD595" s="323" t="e">
        <f t="shared" ca="1" si="287"/>
        <v>#N/A</v>
      </c>
      <c r="AE595" s="324">
        <f t="shared" ca="1" si="266"/>
        <v>2341.0583598810326</v>
      </c>
      <c r="AG595" s="306">
        <f t="shared" ca="1" si="288"/>
        <v>-12.007344112791086</v>
      </c>
      <c r="AH595" s="304">
        <f t="shared" ca="1" si="289"/>
        <v>-2.4314255713578112</v>
      </c>
    </row>
    <row r="596" spans="1:34" x14ac:dyDescent="0.2">
      <c r="A596" s="347">
        <f t="shared" ca="1" si="267"/>
        <v>0.1</v>
      </c>
      <c r="B596" s="304">
        <f t="shared" ca="1" si="268"/>
        <v>14.199999999999905</v>
      </c>
      <c r="D596" s="306">
        <f t="shared" ca="1" si="269"/>
        <v>-0.51933852410885994</v>
      </c>
      <c r="E596" s="307">
        <f t="shared" ca="1" si="270"/>
        <v>-12.119295197832418</v>
      </c>
      <c r="F596" s="304">
        <f t="shared" ca="1" si="271"/>
        <v>12.130417494663053</v>
      </c>
      <c r="G596" s="306">
        <f t="shared" ca="1" si="272"/>
        <v>20.116565648108921</v>
      </c>
      <c r="H596" s="307">
        <f t="shared" ca="1" si="273"/>
        <v>88.469495758564122</v>
      </c>
      <c r="I596" s="304">
        <f t="shared" ca="1" si="274"/>
        <v>90.727768038507762</v>
      </c>
      <c r="J596" s="306">
        <f t="shared" ca="1" si="275"/>
        <v>323.80942550865814</v>
      </c>
      <c r="K596" s="307">
        <f t="shared" ca="1" si="276"/>
        <v>2349.9659059328783</v>
      </c>
      <c r="L596" s="304">
        <f t="shared" ca="1" si="261"/>
        <v>2372.1703781758974</v>
      </c>
      <c r="M596" s="306">
        <f t="shared" ca="1" si="277"/>
        <v>1.3472137291615665</v>
      </c>
      <c r="N596" s="304">
        <f t="shared" ca="1" si="278"/>
        <v>77.189660783038519</v>
      </c>
      <c r="P596" s="310">
        <f t="shared" ca="1" si="279"/>
        <v>23</v>
      </c>
      <c r="Q596" s="304">
        <f t="shared" ca="1" si="280"/>
        <v>0</v>
      </c>
      <c r="R596" s="306">
        <f t="shared" ca="1" si="281"/>
        <v>0</v>
      </c>
      <c r="S596" s="307">
        <f t="shared" ca="1" si="282"/>
        <v>9.137999999999975</v>
      </c>
      <c r="T596" s="304">
        <f t="shared" ca="1" si="262"/>
        <v>89.643779999999765</v>
      </c>
      <c r="U596" s="311">
        <f t="shared" ca="1" si="263"/>
        <v>0</v>
      </c>
      <c r="V596" s="306">
        <f t="shared" ca="1" si="264"/>
        <v>0.967397080435491</v>
      </c>
      <c r="W596" s="304">
        <f t="shared" ca="1" si="265"/>
        <v>21.052328110983126</v>
      </c>
      <c r="Y596" s="314" t="str">
        <f t="shared" ca="1" si="283"/>
        <v/>
      </c>
      <c r="Z596" s="315" t="str">
        <f t="shared" ca="1" si="284"/>
        <v/>
      </c>
      <c r="AA596" s="316" t="str">
        <f t="shared" ca="1" si="285"/>
        <v/>
      </c>
      <c r="AC596" s="310" t="e">
        <f t="shared" ca="1" si="286"/>
        <v>#N/A</v>
      </c>
      <c r="AD596" s="323" t="e">
        <f t="shared" ca="1" si="287"/>
        <v>#N/A</v>
      </c>
      <c r="AE596" s="324">
        <f t="shared" ca="1" si="266"/>
        <v>2349.9659059328783</v>
      </c>
      <c r="AG596" s="306">
        <f t="shared" ca="1" si="288"/>
        <v>-11.937928198865627</v>
      </c>
      <c r="AH596" s="304">
        <f t="shared" ca="1" si="289"/>
        <v>-2.3669720770121971</v>
      </c>
    </row>
    <row r="597" spans="1:34" x14ac:dyDescent="0.2">
      <c r="A597" s="347">
        <f t="shared" ca="1" si="267"/>
        <v>0.1</v>
      </c>
      <c r="B597" s="304">
        <f t="shared" ca="1" si="268"/>
        <v>14.299999999999905</v>
      </c>
      <c r="D597" s="306">
        <f t="shared" ca="1" si="269"/>
        <v>-0.51081376071817131</v>
      </c>
      <c r="E597" s="307">
        <f t="shared" ca="1" si="270"/>
        <v>-12.056478679700515</v>
      </c>
      <c r="F597" s="304">
        <f t="shared" ca="1" si="271"/>
        <v>12.067295009744814</v>
      </c>
      <c r="G597" s="306">
        <f t="shared" ca="1" si="272"/>
        <v>20.065484272037104</v>
      </c>
      <c r="H597" s="307">
        <f t="shared" ca="1" si="273"/>
        <v>87.263847890594064</v>
      </c>
      <c r="I597" s="304">
        <f t="shared" ca="1" si="274"/>
        <v>89.541067716127358</v>
      </c>
      <c r="J597" s="306">
        <f t="shared" ca="1" si="275"/>
        <v>325.81852800466544</v>
      </c>
      <c r="K597" s="307">
        <f t="shared" ca="1" si="276"/>
        <v>2358.7525731153364</v>
      </c>
      <c r="L597" s="304">
        <f t="shared" ca="1" si="261"/>
        <v>2381.1491793605346</v>
      </c>
      <c r="M597" s="306">
        <f t="shared" ca="1" si="277"/>
        <v>1.3447845431167922</v>
      </c>
      <c r="N597" s="304">
        <f t="shared" ca="1" si="278"/>
        <v>77.050478675020869</v>
      </c>
      <c r="P597" s="310">
        <f t="shared" ca="1" si="279"/>
        <v>23</v>
      </c>
      <c r="Q597" s="304">
        <f t="shared" ca="1" si="280"/>
        <v>0</v>
      </c>
      <c r="R597" s="306">
        <f t="shared" ca="1" si="281"/>
        <v>0</v>
      </c>
      <c r="S597" s="307">
        <f t="shared" ca="1" si="282"/>
        <v>9.137999999999975</v>
      </c>
      <c r="T597" s="304">
        <f t="shared" ca="1" si="262"/>
        <v>89.643779999999765</v>
      </c>
      <c r="U597" s="311">
        <f t="shared" ca="1" si="263"/>
        <v>0</v>
      </c>
      <c r="V597" s="306">
        <f t="shared" ca="1" si="264"/>
        <v>0.96653550001347999</v>
      </c>
      <c r="W597" s="304">
        <f t="shared" ca="1" si="265"/>
        <v>20.486947332256811</v>
      </c>
      <c r="Y597" s="314" t="str">
        <f t="shared" ca="1" si="283"/>
        <v/>
      </c>
      <c r="Z597" s="315" t="str">
        <f t="shared" ca="1" si="284"/>
        <v/>
      </c>
      <c r="AA597" s="316" t="str">
        <f t="shared" ca="1" si="285"/>
        <v/>
      </c>
      <c r="AC597" s="310" t="e">
        <f t="shared" ca="1" si="286"/>
        <v>#N/A</v>
      </c>
      <c r="AD597" s="323" t="e">
        <f t="shared" ca="1" si="287"/>
        <v>#N/A</v>
      </c>
      <c r="AE597" s="324">
        <f t="shared" ca="1" si="266"/>
        <v>2358.7525731153364</v>
      </c>
      <c r="AG597" s="306">
        <f t="shared" ca="1" si="288"/>
        <v>-11.869645107012381</v>
      </c>
      <c r="AH597" s="304">
        <f t="shared" ca="1" si="289"/>
        <v>-2.3038222927317995</v>
      </c>
    </row>
    <row r="598" spans="1:34" x14ac:dyDescent="0.2">
      <c r="A598" s="347">
        <f t="shared" ca="1" si="267"/>
        <v>0.1</v>
      </c>
      <c r="B598" s="304">
        <f t="shared" ca="1" si="268"/>
        <v>14.399999999999904</v>
      </c>
      <c r="D598" s="306">
        <f t="shared" ca="1" si="269"/>
        <v>-0.50240444622505298</v>
      </c>
      <c r="E598" s="307">
        <f t="shared" ca="1" si="270"/>
        <v>-11.99493332035042</v>
      </c>
      <c r="F598" s="304">
        <f t="shared" ca="1" si="271"/>
        <v>12.005450245086164</v>
      </c>
      <c r="G598" s="306">
        <f t="shared" ca="1" si="272"/>
        <v>20.015243827414597</v>
      </c>
      <c r="H598" s="307">
        <f t="shared" ca="1" si="273"/>
        <v>86.064354558559018</v>
      </c>
      <c r="I598" s="304">
        <f t="shared" ca="1" si="274"/>
        <v>88.361095008223032</v>
      </c>
      <c r="J598" s="306">
        <f t="shared" ca="1" si="275"/>
        <v>327.82256440963801</v>
      </c>
      <c r="K598" s="307">
        <f t="shared" ca="1" si="276"/>
        <v>2367.4189832377942</v>
      </c>
      <c r="L598" s="304">
        <f t="shared" ca="1" si="261"/>
        <v>2390.0084259120895</v>
      </c>
      <c r="M598" s="306">
        <f t="shared" ca="1" si="277"/>
        <v>1.3422966269444472</v>
      </c>
      <c r="N598" s="304">
        <f t="shared" ca="1" si="278"/>
        <v>76.907931578563165</v>
      </c>
      <c r="P598" s="310">
        <f t="shared" ca="1" si="279"/>
        <v>23</v>
      </c>
      <c r="Q598" s="304">
        <f t="shared" ca="1" si="280"/>
        <v>0</v>
      </c>
      <c r="R598" s="306">
        <f t="shared" ca="1" si="281"/>
        <v>0</v>
      </c>
      <c r="S598" s="307">
        <f t="shared" ca="1" si="282"/>
        <v>9.137999999999975</v>
      </c>
      <c r="T598" s="304">
        <f t="shared" ca="1" si="262"/>
        <v>89.643779999999765</v>
      </c>
      <c r="U598" s="311">
        <f t="shared" ca="1" si="263"/>
        <v>0</v>
      </c>
      <c r="V598" s="306">
        <f t="shared" ca="1" si="264"/>
        <v>0.96568637453077322</v>
      </c>
      <c r="W598" s="304">
        <f t="shared" ca="1" si="265"/>
        <v>19.933023816182121</v>
      </c>
      <c r="Y598" s="314" t="str">
        <f t="shared" ca="1" si="283"/>
        <v/>
      </c>
      <c r="Z598" s="315" t="str">
        <f t="shared" ca="1" si="284"/>
        <v/>
      </c>
      <c r="AA598" s="316" t="str">
        <f t="shared" ca="1" si="285"/>
        <v/>
      </c>
      <c r="AC598" s="310" t="e">
        <f t="shared" ca="1" si="286"/>
        <v>#N/A</v>
      </c>
      <c r="AD598" s="323" t="e">
        <f t="shared" ca="1" si="287"/>
        <v>#N/A</v>
      </c>
      <c r="AE598" s="324">
        <f t="shared" ca="1" si="266"/>
        <v>2367.4189832377942</v>
      </c>
      <c r="AG598" s="306">
        <f t="shared" ca="1" si="288"/>
        <v>-11.80246173285764</v>
      </c>
      <c r="AH598" s="304">
        <f t="shared" ca="1" si="289"/>
        <v>-2.241950900881688</v>
      </c>
    </row>
    <row r="599" spans="1:34" x14ac:dyDescent="0.2">
      <c r="A599" s="347">
        <f t="shared" ca="1" si="267"/>
        <v>0.1</v>
      </c>
      <c r="B599" s="304">
        <f t="shared" ca="1" si="268"/>
        <v>14.499999999999904</v>
      </c>
      <c r="D599" s="306">
        <f t="shared" ca="1" si="269"/>
        <v>-0.49410793436691547</v>
      </c>
      <c r="E599" s="307">
        <f t="shared" ca="1" si="270"/>
        <v>-11.934634644485591</v>
      </c>
      <c r="F599" s="304">
        <f t="shared" ca="1" si="271"/>
        <v>11.944858590546815</v>
      </c>
      <c r="G599" s="306">
        <f t="shared" ca="1" si="272"/>
        <v>19.965833033977905</v>
      </c>
      <c r="H599" s="307">
        <f t="shared" ca="1" si="273"/>
        <v>84.870891094110462</v>
      </c>
      <c r="I599" s="304">
        <f t="shared" ca="1" si="274"/>
        <v>87.187743656141492</v>
      </c>
      <c r="J599" s="306">
        <f t="shared" ca="1" si="275"/>
        <v>329.82161825270765</v>
      </c>
      <c r="K599" s="307">
        <f t="shared" ca="1" si="276"/>
        <v>2375.9657455204278</v>
      </c>
      <c r="L599" s="304">
        <f t="shared" ca="1" si="261"/>
        <v>2398.7487412718483</v>
      </c>
      <c r="M599" s="306">
        <f t="shared" ca="1" si="277"/>
        <v>1.3397479556073519</v>
      </c>
      <c r="N599" s="304">
        <f t="shared" ca="1" si="278"/>
        <v>76.761903467581647</v>
      </c>
      <c r="P599" s="310">
        <f t="shared" ca="1" si="279"/>
        <v>23</v>
      </c>
      <c r="Q599" s="304">
        <f t="shared" ca="1" si="280"/>
        <v>0</v>
      </c>
      <c r="R599" s="306">
        <f t="shared" ca="1" si="281"/>
        <v>0</v>
      </c>
      <c r="S599" s="307">
        <f t="shared" ca="1" si="282"/>
        <v>9.137999999999975</v>
      </c>
      <c r="T599" s="304">
        <f t="shared" ca="1" si="262"/>
        <v>89.643779999999765</v>
      </c>
      <c r="U599" s="311">
        <f t="shared" ca="1" si="263"/>
        <v>0</v>
      </c>
      <c r="V599" s="306">
        <f t="shared" ca="1" si="264"/>
        <v>0.96484961620302756</v>
      </c>
      <c r="W599" s="304">
        <f t="shared" ca="1" si="265"/>
        <v>19.390339329345256</v>
      </c>
      <c r="Y599" s="314" t="str">
        <f t="shared" ca="1" si="283"/>
        <v/>
      </c>
      <c r="Z599" s="315" t="str">
        <f t="shared" ca="1" si="284"/>
        <v/>
      </c>
      <c r="AA599" s="316" t="str">
        <f t="shared" ca="1" si="285"/>
        <v/>
      </c>
      <c r="AC599" s="310" t="e">
        <f t="shared" ca="1" si="286"/>
        <v>#N/A</v>
      </c>
      <c r="AD599" s="323" t="e">
        <f t="shared" ca="1" si="287"/>
        <v>#N/A</v>
      </c>
      <c r="AE599" s="324">
        <f t="shared" ca="1" si="266"/>
        <v>2375.9657455204278</v>
      </c>
      <c r="AG599" s="306">
        <f t="shared" ca="1" si="288"/>
        <v>-11.736345257568114</v>
      </c>
      <c r="AH599" s="304">
        <f t="shared" ca="1" si="289"/>
        <v>-2.1813333132175723</v>
      </c>
    </row>
    <row r="600" spans="1:34" x14ac:dyDescent="0.2">
      <c r="A600" s="347">
        <f t="shared" ca="1" si="267"/>
        <v>0.1</v>
      </c>
      <c r="B600" s="304">
        <f t="shared" ca="1" si="268"/>
        <v>14.599999999999904</v>
      </c>
      <c r="D600" s="306">
        <f t="shared" ca="1" si="269"/>
        <v>-0.48592165290674977</v>
      </c>
      <c r="E600" s="307">
        <f t="shared" ca="1" si="270"/>
        <v>-11.875558878206363</v>
      </c>
      <c r="F600" s="304">
        <f t="shared" ca="1" si="271"/>
        <v>11.885496141201241</v>
      </c>
      <c r="G600" s="306">
        <f t="shared" ca="1" si="272"/>
        <v>19.91724086868723</v>
      </c>
      <c r="H600" s="307">
        <f t="shared" ca="1" si="273"/>
        <v>83.683335206289826</v>
      </c>
      <c r="I600" s="304">
        <f t="shared" ca="1" si="274"/>
        <v>86.020910684958295</v>
      </c>
      <c r="J600" s="306">
        <f t="shared" ca="1" si="275"/>
        <v>331.81577194784091</v>
      </c>
      <c r="K600" s="307">
        <f t="shared" ca="1" si="276"/>
        <v>2384.393456835448</v>
      </c>
      <c r="L600" s="304">
        <f t="shared" ca="1" si="261"/>
        <v>2407.3707366155795</v>
      </c>
      <c r="M600" s="306">
        <f t="shared" ca="1" si="277"/>
        <v>1.3371364109218649</v>
      </c>
      <c r="N600" s="304">
        <f t="shared" ca="1" si="278"/>
        <v>76.612272979093405</v>
      </c>
      <c r="P600" s="310">
        <f t="shared" ca="1" si="279"/>
        <v>23</v>
      </c>
      <c r="Q600" s="304">
        <f t="shared" ca="1" si="280"/>
        <v>0</v>
      </c>
      <c r="R600" s="306">
        <f t="shared" ca="1" si="281"/>
        <v>0</v>
      </c>
      <c r="S600" s="307">
        <f t="shared" ca="1" si="282"/>
        <v>9.137999999999975</v>
      </c>
      <c r="T600" s="304">
        <f t="shared" ca="1" si="262"/>
        <v>89.643779999999765</v>
      </c>
      <c r="U600" s="311">
        <f t="shared" ca="1" si="263"/>
        <v>0</v>
      </c>
      <c r="V600" s="306">
        <f t="shared" ca="1" si="264"/>
        <v>0.9640251390768434</v>
      </c>
      <c r="W600" s="304">
        <f t="shared" ca="1" si="265"/>
        <v>18.858681889250544</v>
      </c>
      <c r="Y600" s="314" t="str">
        <f t="shared" ca="1" si="283"/>
        <v/>
      </c>
      <c r="Z600" s="315" t="str">
        <f t="shared" ca="1" si="284"/>
        <v/>
      </c>
      <c r="AA600" s="316" t="str">
        <f t="shared" ca="1" si="285"/>
        <v/>
      </c>
      <c r="AC600" s="310" t="e">
        <f t="shared" ca="1" si="286"/>
        <v>#N/A</v>
      </c>
      <c r="AD600" s="323" t="e">
        <f t="shared" ca="1" si="287"/>
        <v>#N/A</v>
      </c>
      <c r="AE600" s="324">
        <f t="shared" ca="1" si="266"/>
        <v>2384.393456835448</v>
      </c>
      <c r="AG600" s="306">
        <f t="shared" ca="1" si="288"/>
        <v>-11.671263094463628</v>
      </c>
      <c r="AH600" s="304">
        <f t="shared" ca="1" si="289"/>
        <v>-2.1219456477725225</v>
      </c>
    </row>
    <row r="601" spans="1:34" x14ac:dyDescent="0.2">
      <c r="A601" s="347">
        <f t="shared" ca="1" si="267"/>
        <v>0.1</v>
      </c>
      <c r="B601" s="304">
        <f t="shared" ca="1" si="268"/>
        <v>14.699999999999903</v>
      </c>
      <c r="D601" s="306">
        <f t="shared" ca="1" si="269"/>
        <v>-0.47784310153293968</v>
      </c>
      <c r="E601" s="307">
        <f t="shared" ca="1" si="270"/>
        <v>-11.8176829268285</v>
      </c>
      <c r="F601" s="304">
        <f t="shared" ca="1" si="271"/>
        <v>11.827339675038358</v>
      </c>
      <c r="G601" s="306">
        <f t="shared" ca="1" si="272"/>
        <v>19.869456558533937</v>
      </c>
      <c r="H601" s="307">
        <f t="shared" ca="1" si="273"/>
        <v>82.501566913606979</v>
      </c>
      <c r="I601" s="304">
        <f t="shared" ca="1" si="274"/>
        <v>84.86049638749374</v>
      </c>
      <c r="J601" s="306">
        <f t="shared" ca="1" si="275"/>
        <v>333.80510681920197</v>
      </c>
      <c r="K601" s="307">
        <f t="shared" ca="1" si="276"/>
        <v>2392.7027019414427</v>
      </c>
      <c r="L601" s="304">
        <f t="shared" ca="1" si="261"/>
        <v>2415.8750110915216</v>
      </c>
      <c r="M601" s="306">
        <f t="shared" ca="1" si="277"/>
        <v>1.3344597762603108</v>
      </c>
      <c r="N601" s="304">
        <f t="shared" ca="1" si="278"/>
        <v>76.458913109687927</v>
      </c>
      <c r="P601" s="310">
        <f t="shared" ca="1" si="279"/>
        <v>23</v>
      </c>
      <c r="Q601" s="304">
        <f t="shared" ca="1" si="280"/>
        <v>0</v>
      </c>
      <c r="R601" s="306">
        <f t="shared" ca="1" si="281"/>
        <v>0</v>
      </c>
      <c r="S601" s="307">
        <f t="shared" ca="1" si="282"/>
        <v>9.137999999999975</v>
      </c>
      <c r="T601" s="304">
        <f t="shared" ca="1" si="262"/>
        <v>89.643779999999765</v>
      </c>
      <c r="U601" s="311">
        <f t="shared" ca="1" si="263"/>
        <v>0</v>
      </c>
      <c r="V601" s="306">
        <f t="shared" ca="1" si="264"/>
        <v>0.96321285899319842</v>
      </c>
      <c r="W601" s="304">
        <f t="shared" ca="1" si="265"/>
        <v>18.337845569088742</v>
      </c>
      <c r="Y601" s="314" t="str">
        <f t="shared" ca="1" si="283"/>
        <v/>
      </c>
      <c r="Z601" s="315" t="str">
        <f t="shared" ca="1" si="284"/>
        <v/>
      </c>
      <c r="AA601" s="316" t="str">
        <f t="shared" ca="1" si="285"/>
        <v/>
      </c>
      <c r="AC601" s="310" t="e">
        <f t="shared" ca="1" si="286"/>
        <v>#N/A</v>
      </c>
      <c r="AD601" s="323" t="e">
        <f t="shared" ca="1" si="287"/>
        <v>#N/A</v>
      </c>
      <c r="AE601" s="324">
        <f t="shared" ca="1" si="266"/>
        <v>2392.7027019414427</v>
      </c>
      <c r="AG601" s="306">
        <f t="shared" ca="1" si="288"/>
        <v>-11.607182834123396</v>
      </c>
      <c r="AH601" s="304">
        <f t="shared" ca="1" si="289"/>
        <v>-2.0637647066371847</v>
      </c>
    </row>
    <row r="602" spans="1:34" x14ac:dyDescent="0.2">
      <c r="A602" s="347">
        <f t="shared" ca="1" si="267"/>
        <v>0.1</v>
      </c>
      <c r="B602" s="304">
        <f t="shared" ca="1" si="268"/>
        <v>14.799999999999903</v>
      </c>
      <c r="D602" s="306">
        <f t="shared" ca="1" si="269"/>
        <v>-0.46986984986289809</v>
      </c>
      <c r="E602" s="307">
        <f t="shared" ca="1" si="270"/>
        <v>-11.76098435354543</v>
      </c>
      <c r="F602" s="304">
        <f t="shared" ca="1" si="271"/>
        <v>11.770366631509427</v>
      </c>
      <c r="G602" s="306">
        <f t="shared" ca="1" si="272"/>
        <v>19.822469573547647</v>
      </c>
      <c r="H602" s="307">
        <f t="shared" ca="1" si="273"/>
        <v>81.325468478252432</v>
      </c>
      <c r="I602" s="304">
        <f t="shared" ca="1" si="274"/>
        <v>83.706404314135085</v>
      </c>
      <c r="J602" s="306">
        <f t="shared" ca="1" si="275"/>
        <v>335.78970312580606</v>
      </c>
      <c r="K602" s="307">
        <f t="shared" ca="1" si="276"/>
        <v>2400.8940537110357</v>
      </c>
      <c r="L602" s="304">
        <f t="shared" ca="1" si="261"/>
        <v>2424.2621520516973</v>
      </c>
      <c r="M602" s="306">
        <f t="shared" ca="1" si="277"/>
        <v>1.3317157308958734</v>
      </c>
      <c r="N602" s="304">
        <f t="shared" ca="1" si="278"/>
        <v>76.301690891513232</v>
      </c>
      <c r="P602" s="310">
        <f t="shared" ca="1" si="279"/>
        <v>23</v>
      </c>
      <c r="Q602" s="304">
        <f t="shared" ca="1" si="280"/>
        <v>0</v>
      </c>
      <c r="R602" s="306">
        <f t="shared" ca="1" si="281"/>
        <v>0</v>
      </c>
      <c r="S602" s="307">
        <f t="shared" ca="1" si="282"/>
        <v>9.137999999999975</v>
      </c>
      <c r="T602" s="304">
        <f t="shared" ca="1" si="262"/>
        <v>89.643779999999765</v>
      </c>
      <c r="U602" s="311">
        <f t="shared" ca="1" si="263"/>
        <v>0</v>
      </c>
      <c r="V602" s="306">
        <f t="shared" ca="1" si="264"/>
        <v>0.9624126935519538</v>
      </c>
      <c r="W602" s="304">
        <f t="shared" ca="1" si="265"/>
        <v>17.827630309983554</v>
      </c>
      <c r="Y602" s="314" t="str">
        <f t="shared" ca="1" si="283"/>
        <v/>
      </c>
      <c r="Z602" s="315" t="str">
        <f t="shared" ca="1" si="284"/>
        <v/>
      </c>
      <c r="AA602" s="316" t="str">
        <f t="shared" ca="1" si="285"/>
        <v/>
      </c>
      <c r="AC602" s="310" t="e">
        <f t="shared" ca="1" si="286"/>
        <v>#N/A</v>
      </c>
      <c r="AD602" s="323" t="e">
        <f t="shared" ca="1" si="287"/>
        <v>#N/A</v>
      </c>
      <c r="AE602" s="324">
        <f t="shared" ca="1" si="266"/>
        <v>2400.8940537110357</v>
      </c>
      <c r="AG602" s="306">
        <f t="shared" ca="1" si="288"/>
        <v>-11.544072187731182</v>
      </c>
      <c r="AH602" s="304">
        <f t="shared" ca="1" si="289"/>
        <v>-2.0067679545949653</v>
      </c>
    </row>
    <row r="603" spans="1:34" x14ac:dyDescent="0.2">
      <c r="A603" s="347">
        <f t="shared" ca="1" si="267"/>
        <v>0.1</v>
      </c>
      <c r="B603" s="304">
        <f t="shared" ca="1" si="268"/>
        <v>14.899999999999903</v>
      </c>
      <c r="D603" s="306">
        <f t="shared" ca="1" si="269"/>
        <v>-0.46199953554806794</v>
      </c>
      <c r="E603" s="307">
        <f t="shared" ca="1" si="270"/>
        <v>-11.705441358897104</v>
      </c>
      <c r="F603" s="304">
        <f t="shared" ca="1" si="271"/>
        <v>11.714555090886957</v>
      </c>
      <c r="G603" s="306">
        <f t="shared" ca="1" si="272"/>
        <v>19.776269619992838</v>
      </c>
      <c r="H603" s="307">
        <f t="shared" ca="1" si="273"/>
        <v>80.154924342362719</v>
      </c>
      <c r="I603" s="304">
        <f t="shared" ca="1" si="274"/>
        <v>82.558541268681239</v>
      </c>
      <c r="J603" s="306">
        <f t="shared" ca="1" si="275"/>
        <v>337.7696400854831</v>
      </c>
      <c r="K603" s="307">
        <f t="shared" ca="1" si="276"/>
        <v>2408.9680733520663</v>
      </c>
      <c r="L603" s="304">
        <f t="shared" ca="1" si="261"/>
        <v>2432.5327352767613</v>
      </c>
      <c r="M603" s="306">
        <f t="shared" ca="1" si="277"/>
        <v>1.3289018439622475</v>
      </c>
      <c r="N603" s="304">
        <f t="shared" ca="1" si="278"/>
        <v>76.140467046189457</v>
      </c>
      <c r="P603" s="310">
        <f t="shared" ca="1" si="279"/>
        <v>23</v>
      </c>
      <c r="Q603" s="304">
        <f t="shared" ca="1" si="280"/>
        <v>0</v>
      </c>
      <c r="R603" s="306">
        <f t="shared" ca="1" si="281"/>
        <v>0</v>
      </c>
      <c r="S603" s="307">
        <f t="shared" ca="1" si="282"/>
        <v>9.137999999999975</v>
      </c>
      <c r="T603" s="304">
        <f t="shared" ca="1" si="262"/>
        <v>89.643779999999765</v>
      </c>
      <c r="U603" s="311">
        <f t="shared" ca="1" si="263"/>
        <v>0</v>
      </c>
      <c r="V603" s="306">
        <f t="shared" ca="1" si="264"/>
        <v>0.96162456207740465</v>
      </c>
      <c r="W603" s="304">
        <f t="shared" ca="1" si="265"/>
        <v>17.327841740397979</v>
      </c>
      <c r="Y603" s="314" t="str">
        <f t="shared" ca="1" si="283"/>
        <v/>
      </c>
      <c r="Z603" s="315" t="str">
        <f t="shared" ca="1" si="284"/>
        <v/>
      </c>
      <c r="AA603" s="316" t="str">
        <f t="shared" ca="1" si="285"/>
        <v/>
      </c>
      <c r="AC603" s="310" t="e">
        <f t="shared" ca="1" si="286"/>
        <v>#N/A</v>
      </c>
      <c r="AD603" s="323" t="e">
        <f t="shared" ca="1" si="287"/>
        <v>#N/A</v>
      </c>
      <c r="AE603" s="324">
        <f t="shared" ca="1" si="266"/>
        <v>2408.9680733520663</v>
      </c>
      <c r="AG603" s="306">
        <f t="shared" ca="1" si="288"/>
        <v>-11.481898928384815</v>
      </c>
      <c r="AH603" s="304">
        <f t="shared" ca="1" si="289"/>
        <v>-1.9509334985755749</v>
      </c>
    </row>
    <row r="604" spans="1:34" x14ac:dyDescent="0.2">
      <c r="A604" s="347">
        <f t="shared" ca="1" si="267"/>
        <v>0.1</v>
      </c>
      <c r="B604" s="304">
        <f t="shared" ca="1" si="268"/>
        <v>14.999999999999902</v>
      </c>
      <c r="D604" s="306">
        <f t="shared" ca="1" si="269"/>
        <v>-0.45422986247812569</v>
      </c>
      <c r="E604" s="307">
        <f t="shared" ca="1" si="270"/>
        <v>-11.651032761010121</v>
      </c>
      <c r="F604" s="304">
        <f t="shared" ca="1" si="271"/>
        <v>11.659883754399013</v>
      </c>
      <c r="G604" s="306">
        <f t="shared" ca="1" si="272"/>
        <v>19.730846633745028</v>
      </c>
      <c r="H604" s="307">
        <f t="shared" ca="1" si="273"/>
        <v>78.989821066261712</v>
      </c>
      <c r="I604" s="304">
        <f t="shared" ca="1" si="274"/>
        <v>81.416817310457489</v>
      </c>
      <c r="J604" s="306">
        <f t="shared" ca="1" si="275"/>
        <v>339.74499589816998</v>
      </c>
      <c r="K604" s="307">
        <f t="shared" ca="1" si="276"/>
        <v>2416.9253106224974</v>
      </c>
      <c r="L604" s="304">
        <f t="shared" ca="1" si="261"/>
        <v>2440.6873251945858</v>
      </c>
      <c r="M604" s="306">
        <f t="shared" ca="1" si="277"/>
        <v>1.3260155679979464</v>
      </c>
      <c r="N604" s="304">
        <f t="shared" ca="1" si="278"/>
        <v>75.975095614924953</v>
      </c>
      <c r="P604" s="310">
        <f t="shared" ca="1" si="279"/>
        <v>23</v>
      </c>
      <c r="Q604" s="304">
        <f t="shared" ca="1" si="280"/>
        <v>0</v>
      </c>
      <c r="R604" s="306">
        <f t="shared" ca="1" si="281"/>
        <v>0</v>
      </c>
      <c r="S604" s="307">
        <f t="shared" ca="1" si="282"/>
        <v>9.137999999999975</v>
      </c>
      <c r="T604" s="304">
        <f t="shared" ca="1" si="262"/>
        <v>89.643779999999765</v>
      </c>
      <c r="U604" s="311">
        <f t="shared" ca="1" si="263"/>
        <v>0</v>
      </c>
      <c r="V604" s="306">
        <f t="shared" ca="1" si="264"/>
        <v>0.96084838558483454</v>
      </c>
      <c r="W604" s="304">
        <f t="shared" ca="1" si="265"/>
        <v>16.838291002397511</v>
      </c>
      <c r="Y604" s="314" t="str">
        <f t="shared" ca="1" si="283"/>
        <v/>
      </c>
      <c r="Z604" s="315" t="str">
        <f t="shared" ca="1" si="284"/>
        <v/>
      </c>
      <c r="AA604" s="316" t="str">
        <f t="shared" ca="1" si="285"/>
        <v/>
      </c>
      <c r="AC604" s="310">
        <f t="shared" ca="1" si="286"/>
        <v>14.999999999999902</v>
      </c>
      <c r="AD604" s="323">
        <f t="shared" ca="1" si="287"/>
        <v>339.74499589816998</v>
      </c>
      <c r="AE604" s="324">
        <f t="shared" ca="1" si="266"/>
        <v>2416.9253106224974</v>
      </c>
      <c r="AG604" s="306">
        <f t="shared" ca="1" si="288"/>
        <v>-11.420630830073245</v>
      </c>
      <c r="AH604" s="304">
        <f t="shared" ca="1" si="289"/>
        <v>-1.8962400678921019</v>
      </c>
    </row>
    <row r="605" spans="1:34" x14ac:dyDescent="0.2">
      <c r="A605" s="347">
        <f t="shared" ca="1" si="267"/>
        <v>0.1</v>
      </c>
      <c r="B605" s="304">
        <f t="shared" ca="1" si="268"/>
        <v>15.099999999999902</v>
      </c>
      <c r="D605" s="306">
        <f t="shared" ca="1" si="269"/>
        <v>-0.44655859908253154</v>
      </c>
      <c r="E605" s="307">
        <f t="shared" ca="1" si="270"/>
        <v>-11.597737976575338</v>
      </c>
      <c r="F605" s="304">
        <f t="shared" ca="1" si="271"/>
        <v>11.606331925105037</v>
      </c>
      <c r="G605" s="306">
        <f t="shared" ca="1" si="272"/>
        <v>19.686190773836774</v>
      </c>
      <c r="H605" s="307">
        <f t="shared" ca="1" si="273"/>
        <v>77.830047268604176</v>
      </c>
      <c r="I605" s="304">
        <f t="shared" ca="1" si="274"/>
        <v>80.281145762981339</v>
      </c>
      <c r="J605" s="306">
        <f t="shared" ca="1" si="275"/>
        <v>341.71584776854905</v>
      </c>
      <c r="K605" s="307">
        <f t="shared" ca="1" si="276"/>
        <v>2424.7663040392408</v>
      </c>
      <c r="L605" s="304">
        <f t="shared" ca="1" si="261"/>
        <v>2448.7264750927775</v>
      </c>
      <c r="M605" s="306">
        <f t="shared" ca="1" si="277"/>
        <v>1.3230542320425291</v>
      </c>
      <c r="N605" s="304">
        <f t="shared" ca="1" si="278"/>
        <v>75.805423562959206</v>
      </c>
      <c r="P605" s="310">
        <f t="shared" ca="1" si="279"/>
        <v>23</v>
      </c>
      <c r="Q605" s="304">
        <f t="shared" ca="1" si="280"/>
        <v>0</v>
      </c>
      <c r="R605" s="306">
        <f t="shared" ca="1" si="281"/>
        <v>0</v>
      </c>
      <c r="S605" s="307">
        <f t="shared" ca="1" si="282"/>
        <v>9.137999999999975</v>
      </c>
      <c r="T605" s="304">
        <f t="shared" ca="1" si="262"/>
        <v>89.643779999999765</v>
      </c>
      <c r="U605" s="311">
        <f t="shared" ca="1" si="263"/>
        <v>0</v>
      </c>
      <c r="V605" s="306">
        <f t="shared" ca="1" si="264"/>
        <v>0.96008408674804879</v>
      </c>
      <c r="W605" s="304">
        <f t="shared" ca="1" si="265"/>
        <v>16.358794584481899</v>
      </c>
      <c r="Y605" s="314" t="str">
        <f t="shared" ca="1" si="283"/>
        <v/>
      </c>
      <c r="Z605" s="315" t="str">
        <f t="shared" ca="1" si="284"/>
        <v/>
      </c>
      <c r="AA605" s="316" t="str">
        <f t="shared" ca="1" si="285"/>
        <v/>
      </c>
      <c r="AC605" s="310" t="e">
        <f t="shared" ca="1" si="286"/>
        <v>#N/A</v>
      </c>
      <c r="AD605" s="323" t="e">
        <f t="shared" ca="1" si="287"/>
        <v>#N/A</v>
      </c>
      <c r="AE605" s="324">
        <f t="shared" ca="1" si="266"/>
        <v>2424.7663040392408</v>
      </c>
      <c r="AG605" s="306">
        <f t="shared" ca="1" si="288"/>
        <v>-11.360235603999127</v>
      </c>
      <c r="AH605" s="304">
        <f t="shared" ca="1" si="289"/>
        <v>-1.842666995228448</v>
      </c>
    </row>
    <row r="606" spans="1:34" x14ac:dyDescent="0.2">
      <c r="A606" s="347">
        <f t="shared" ca="1" si="267"/>
        <v>0.1</v>
      </c>
      <c r="B606" s="304">
        <f t="shared" ca="1" si="268"/>
        <v>15.199999999999902</v>
      </c>
      <c r="D606" s="306">
        <f t="shared" ca="1" si="269"/>
        <v>-0.43898357672789384</v>
      </c>
      <c r="E606" s="307">
        <f t="shared" ca="1" si="270"/>
        <v>-11.545537002530736</v>
      </c>
      <c r="F606" s="304">
        <f t="shared" ca="1" si="271"/>
        <v>11.553879489480718</v>
      </c>
      <c r="G606" s="306">
        <f t="shared" ca="1" si="272"/>
        <v>19.642292416163986</v>
      </c>
      <c r="H606" s="307">
        <f t="shared" ca="1" si="273"/>
        <v>76.675493568351101</v>
      </c>
      <c r="I606" s="304">
        <f t="shared" ca="1" si="274"/>
        <v>79.15144322949736</v>
      </c>
      <c r="J606" s="306">
        <f t="shared" ca="1" si="275"/>
        <v>343.68227192804909</v>
      </c>
      <c r="K606" s="307">
        <f t="shared" ca="1" si="276"/>
        <v>2432.4915810810885</v>
      </c>
      <c r="L606" s="304">
        <f t="shared" ca="1" si="261"/>
        <v>2456.6507273253151</v>
      </c>
      <c r="M606" s="306">
        <f t="shared" ca="1" si="277"/>
        <v>1.3200150342491446</v>
      </c>
      <c r="N606" s="304">
        <f t="shared" ca="1" si="278"/>
        <v>75.631290356292794</v>
      </c>
      <c r="P606" s="310">
        <f t="shared" ca="1" si="279"/>
        <v>23</v>
      </c>
      <c r="Q606" s="304">
        <f t="shared" ca="1" si="280"/>
        <v>0</v>
      </c>
      <c r="R606" s="306">
        <f t="shared" ca="1" si="281"/>
        <v>0</v>
      </c>
      <c r="S606" s="307">
        <f t="shared" ca="1" si="282"/>
        <v>9.137999999999975</v>
      </c>
      <c r="T606" s="304">
        <f t="shared" ca="1" si="262"/>
        <v>89.643779999999765</v>
      </c>
      <c r="U606" s="311">
        <f t="shared" ca="1" si="263"/>
        <v>0</v>
      </c>
      <c r="V606" s="306">
        <f t="shared" ca="1" si="264"/>
        <v>0.95933158986784928</v>
      </c>
      <c r="W606" s="304">
        <f t="shared" ca="1" si="265"/>
        <v>15.889174160710823</v>
      </c>
      <c r="Y606" s="314" t="str">
        <f t="shared" ca="1" si="283"/>
        <v/>
      </c>
      <c r="Z606" s="315" t="str">
        <f t="shared" ca="1" si="284"/>
        <v/>
      </c>
      <c r="AA606" s="316" t="str">
        <f t="shared" ca="1" si="285"/>
        <v/>
      </c>
      <c r="AC606" s="310" t="e">
        <f t="shared" ca="1" si="286"/>
        <v>#N/A</v>
      </c>
      <c r="AD606" s="323" t="e">
        <f t="shared" ca="1" si="287"/>
        <v>#N/A</v>
      </c>
      <c r="AE606" s="324">
        <f t="shared" ca="1" si="266"/>
        <v>2432.4915810810885</v>
      </c>
      <c r="AG606" s="306">
        <f t="shared" ca="1" si="288"/>
        <v>-11.300680831896752</v>
      </c>
      <c r="AH606" s="304">
        <f t="shared" ca="1" si="289"/>
        <v>-1.7901941983455836</v>
      </c>
    </row>
    <row r="607" spans="1:34" x14ac:dyDescent="0.2">
      <c r="A607" s="347">
        <f t="shared" ca="1" si="267"/>
        <v>0.1</v>
      </c>
      <c r="B607" s="304">
        <f t="shared" ca="1" si="268"/>
        <v>15.299999999999901</v>
      </c>
      <c r="D607" s="306">
        <f t="shared" ca="1" si="269"/>
        <v>-0.4315026882099201</v>
      </c>
      <c r="E607" s="307">
        <f t="shared" ca="1" si="270"/>
        <v>-11.494410398418626</v>
      </c>
      <c r="F607" s="304">
        <f t="shared" ca="1" si="271"/>
        <v>11.502506899680897</v>
      </c>
      <c r="G607" s="306">
        <f t="shared" ca="1" si="272"/>
        <v>19.599142147342995</v>
      </c>
      <c r="H607" s="307">
        <f t="shared" ca="1" si="273"/>
        <v>75.52605252850924</v>
      </c>
      <c r="I607" s="304">
        <f t="shared" ca="1" si="274"/>
        <v>78.027629615738633</v>
      </c>
      <c r="J607" s="306">
        <f t="shared" ca="1" si="275"/>
        <v>345.64434365622446</v>
      </c>
      <c r="K607" s="307">
        <f t="shared" ca="1" si="276"/>
        <v>2440.1016583859314</v>
      </c>
      <c r="L607" s="304">
        <f t="shared" ca="1" si="261"/>
        <v>2464.4606135134954</v>
      </c>
      <c r="M607" s="306">
        <f t="shared" ca="1" si="277"/>
        <v>1.3168950339746339</v>
      </c>
      <c r="N607" s="304">
        <f t="shared" ca="1" si="278"/>
        <v>75.452527508483684</v>
      </c>
      <c r="P607" s="310">
        <f t="shared" ca="1" si="279"/>
        <v>23</v>
      </c>
      <c r="Q607" s="304">
        <f t="shared" ca="1" si="280"/>
        <v>0</v>
      </c>
      <c r="R607" s="306">
        <f t="shared" ca="1" si="281"/>
        <v>0</v>
      </c>
      <c r="S607" s="307">
        <f t="shared" ca="1" si="282"/>
        <v>9.137999999999975</v>
      </c>
      <c r="T607" s="304">
        <f t="shared" ca="1" si="262"/>
        <v>89.643779999999765</v>
      </c>
      <c r="U607" s="311">
        <f t="shared" ca="1" si="263"/>
        <v>0</v>
      </c>
      <c r="V607" s="306">
        <f t="shared" ca="1" si="264"/>
        <v>0.95859082084142699</v>
      </c>
      <c r="W607" s="304">
        <f t="shared" ca="1" si="265"/>
        <v>15.429256435861983</v>
      </c>
      <c r="Y607" s="314" t="str">
        <f t="shared" ca="1" si="283"/>
        <v/>
      </c>
      <c r="Z607" s="315" t="str">
        <f t="shared" ca="1" si="284"/>
        <v/>
      </c>
      <c r="AA607" s="316" t="str">
        <f t="shared" ca="1" si="285"/>
        <v/>
      </c>
      <c r="AC607" s="310" t="e">
        <f t="shared" ca="1" si="286"/>
        <v>#N/A</v>
      </c>
      <c r="AD607" s="323" t="e">
        <f t="shared" ca="1" si="287"/>
        <v>#N/A</v>
      </c>
      <c r="AE607" s="324">
        <f t="shared" ca="1" si="266"/>
        <v>2440.1016583859314</v>
      </c>
      <c r="AG607" s="306">
        <f t="shared" ca="1" si="288"/>
        <v>-11.241933895963482</v>
      </c>
      <c r="AH607" s="304">
        <f t="shared" ca="1" si="289"/>
        <v>-1.7388021624765666</v>
      </c>
    </row>
    <row r="608" spans="1:34" x14ac:dyDescent="0.2">
      <c r="A608" s="347">
        <f t="shared" ca="1" si="267"/>
        <v>0.1</v>
      </c>
      <c r="B608" s="304">
        <f t="shared" ca="1" si="268"/>
        <v>15.399999999999901</v>
      </c>
      <c r="D608" s="306">
        <f t="shared" ca="1" si="269"/>
        <v>-0.42411388633906039</v>
      </c>
      <c r="E608" s="307">
        <f t="shared" ca="1" si="270"/>
        <v>-11.444339269387692</v>
      </c>
      <c r="F608" s="304">
        <f t="shared" ca="1" si="271"/>
        <v>11.452195156450786</v>
      </c>
      <c r="G608" s="306">
        <f t="shared" ca="1" si="272"/>
        <v>19.55673075870909</v>
      </c>
      <c r="H608" s="307">
        <f t="shared" ca="1" si="273"/>
        <v>74.381618601570466</v>
      </c>
      <c r="I608" s="304">
        <f t="shared" ca="1" si="274"/>
        <v>76.909628160316387</v>
      </c>
      <c r="J608" s="306">
        <f t="shared" ca="1" si="275"/>
        <v>347.60213730152708</v>
      </c>
      <c r="K608" s="307">
        <f t="shared" ca="1" si="276"/>
        <v>2447.5970419424352</v>
      </c>
      <c r="L608" s="304">
        <f t="shared" ca="1" si="261"/>
        <v>2472.1566547413513</v>
      </c>
      <c r="M608" s="306">
        <f t="shared" ca="1" si="277"/>
        <v>1.3136911433049872</v>
      </c>
      <c r="N608" s="304">
        <f t="shared" ca="1" si="278"/>
        <v>75.268958095091577</v>
      </c>
      <c r="P608" s="310">
        <f t="shared" ca="1" si="279"/>
        <v>23</v>
      </c>
      <c r="Q608" s="304">
        <f t="shared" ca="1" si="280"/>
        <v>0</v>
      </c>
      <c r="R608" s="306">
        <f t="shared" ca="1" si="281"/>
        <v>0</v>
      </c>
      <c r="S608" s="307">
        <f t="shared" ca="1" si="282"/>
        <v>9.137999999999975</v>
      </c>
      <c r="T608" s="304">
        <f t="shared" ca="1" si="262"/>
        <v>89.643779999999765</v>
      </c>
      <c r="U608" s="311">
        <f t="shared" ca="1" si="263"/>
        <v>0</v>
      </c>
      <c r="V608" s="306">
        <f t="shared" ca="1" si="264"/>
        <v>0.9578617071326373</v>
      </c>
      <c r="W608" s="304">
        <f t="shared" ca="1" si="265"/>
        <v>14.97887299637245</v>
      </c>
      <c r="Y608" s="314" t="str">
        <f t="shared" ca="1" si="283"/>
        <v/>
      </c>
      <c r="Z608" s="315" t="str">
        <f t="shared" ca="1" si="284"/>
        <v/>
      </c>
      <c r="AA608" s="316" t="str">
        <f t="shared" ca="1" si="285"/>
        <v/>
      </c>
      <c r="AC608" s="310" t="e">
        <f t="shared" ca="1" si="286"/>
        <v>#N/A</v>
      </c>
      <c r="AD608" s="323" t="e">
        <f t="shared" ca="1" si="287"/>
        <v>#N/A</v>
      </c>
      <c r="AE608" s="324">
        <f t="shared" ca="1" si="266"/>
        <v>2447.5970419424352</v>
      </c>
      <c r="AG608" s="306">
        <f t="shared" ca="1" si="288"/>
        <v>-11.183961904987267</v>
      </c>
      <c r="AH608" s="304">
        <f t="shared" ca="1" si="289"/>
        <v>-1.6884719233817056</v>
      </c>
    </row>
    <row r="609" spans="1:34" x14ac:dyDescent="0.2">
      <c r="A609" s="347">
        <f t="shared" ca="1" si="267"/>
        <v>0.1</v>
      </c>
      <c r="B609" s="304">
        <f t="shared" ca="1" si="268"/>
        <v>15.499999999999901</v>
      </c>
      <c r="D609" s="306">
        <f t="shared" ca="1" si="269"/>
        <v>-0.41681518261928641</v>
      </c>
      <c r="E609" s="307">
        <f t="shared" ca="1" si="270"/>
        <v>-11.395305249811507</v>
      </c>
      <c r="F609" s="304">
        <f t="shared" ca="1" si="271"/>
        <v>11.402925792657062</v>
      </c>
      <c r="G609" s="306">
        <f t="shared" ca="1" si="272"/>
        <v>19.515049240447162</v>
      </c>
      <c r="H609" s="307">
        <f t="shared" ca="1" si="273"/>
        <v>73.242088076589312</v>
      </c>
      <c r="I609" s="304">
        <f t="shared" ca="1" si="274"/>
        <v>75.797365473187412</v>
      </c>
      <c r="J609" s="306">
        <f t="shared" ca="1" si="275"/>
        <v>349.55572630148487</v>
      </c>
      <c r="K609" s="307">
        <f t="shared" ca="1" si="276"/>
        <v>2454.9782272763432</v>
      </c>
      <c r="L609" s="304">
        <f t="shared" ca="1" si="261"/>
        <v>2479.7393617457169</v>
      </c>
      <c r="M609" s="306">
        <f t="shared" ca="1" si="277"/>
        <v>1.3104001179701634</v>
      </c>
      <c r="N609" s="304">
        <f t="shared" ca="1" si="278"/>
        <v>75.080396233135545</v>
      </c>
      <c r="P609" s="310">
        <f t="shared" ca="1" si="279"/>
        <v>23</v>
      </c>
      <c r="Q609" s="304">
        <f t="shared" ca="1" si="280"/>
        <v>0</v>
      </c>
      <c r="R609" s="306">
        <f t="shared" ca="1" si="281"/>
        <v>0</v>
      </c>
      <c r="S609" s="307">
        <f t="shared" ca="1" si="282"/>
        <v>9.137999999999975</v>
      </c>
      <c r="T609" s="304">
        <f t="shared" ca="1" si="262"/>
        <v>89.643779999999765</v>
      </c>
      <c r="U609" s="311">
        <f t="shared" ca="1" si="263"/>
        <v>0</v>
      </c>
      <c r="V609" s="306">
        <f t="shared" ca="1" si="264"/>
        <v>0.95714417774313798</v>
      </c>
      <c r="W609" s="304">
        <f t="shared" ca="1" si="265"/>
        <v>14.537860166825961</v>
      </c>
      <c r="Y609" s="314" t="str">
        <f t="shared" ca="1" si="283"/>
        <v/>
      </c>
      <c r="Z609" s="315" t="str">
        <f t="shared" ca="1" si="284"/>
        <v/>
      </c>
      <c r="AA609" s="316" t="str">
        <f t="shared" ca="1" si="285"/>
        <v/>
      </c>
      <c r="AC609" s="310" t="e">
        <f t="shared" ca="1" si="286"/>
        <v>#N/A</v>
      </c>
      <c r="AD609" s="323" t="e">
        <f t="shared" ca="1" si="287"/>
        <v>#N/A</v>
      </c>
      <c r="AE609" s="324">
        <f t="shared" ca="1" si="266"/>
        <v>2454.9782272763432</v>
      </c>
      <c r="AG609" s="306">
        <f t="shared" ca="1" si="288"/>
        <v>-11.126731616213036</v>
      </c>
      <c r="AH609" s="304">
        <f t="shared" ca="1" si="289"/>
        <v>-1.6391850510366044</v>
      </c>
    </row>
    <row r="610" spans="1:34" x14ac:dyDescent="0.2">
      <c r="A610" s="347">
        <f t="shared" ca="1" si="267"/>
        <v>0.1</v>
      </c>
      <c r="B610" s="304">
        <f t="shared" ca="1" si="268"/>
        <v>15.5999999999999</v>
      </c>
      <c r="D610" s="306">
        <f t="shared" ca="1" si="269"/>
        <v>-0.40960464601980651</v>
      </c>
      <c r="E610" s="307">
        <f t="shared" ca="1" si="270"/>
        <v>-11.34729048749638</v>
      </c>
      <c r="F610" s="304">
        <f t="shared" ca="1" si="271"/>
        <v>11.354680857411486</v>
      </c>
      <c r="G610" s="306">
        <f t="shared" ca="1" si="272"/>
        <v>19.474088775845182</v>
      </c>
      <c r="H610" s="307">
        <f t="shared" ca="1" si="273"/>
        <v>72.107359027839678</v>
      </c>
      <c r="I610" s="304">
        <f t="shared" ca="1" si="274"/>
        <v>74.690771582701387</v>
      </c>
      <c r="J610" s="306">
        <f t="shared" ca="1" si="275"/>
        <v>351.50518320229946</v>
      </c>
      <c r="K610" s="307">
        <f t="shared" ca="1" si="276"/>
        <v>2462.2456996315645</v>
      </c>
      <c r="L610" s="304">
        <f t="shared" ca="1" si="261"/>
        <v>2487.2092351011033</v>
      </c>
      <c r="M610" s="306">
        <f t="shared" ca="1" si="277"/>
        <v>1.3070185475981471</v>
      </c>
      <c r="N610" s="304">
        <f t="shared" ca="1" si="278"/>
        <v>74.88664652269253</v>
      </c>
      <c r="P610" s="310">
        <f t="shared" ca="1" si="279"/>
        <v>23</v>
      </c>
      <c r="Q610" s="304">
        <f t="shared" ca="1" si="280"/>
        <v>0</v>
      </c>
      <c r="R610" s="306">
        <f t="shared" ca="1" si="281"/>
        <v>0</v>
      </c>
      <c r="S610" s="307">
        <f t="shared" ca="1" si="282"/>
        <v>9.137999999999975</v>
      </c>
      <c r="T610" s="304">
        <f t="shared" ca="1" si="262"/>
        <v>89.643779999999765</v>
      </c>
      <c r="U610" s="311">
        <f t="shared" ca="1" si="263"/>
        <v>0</v>
      </c>
      <c r="V610" s="306">
        <f t="shared" ca="1" si="264"/>
        <v>0.95643816318435715</v>
      </c>
      <c r="W610" s="304">
        <f t="shared" ca="1" si="265"/>
        <v>14.106058871759776</v>
      </c>
      <c r="Y610" s="314" t="str">
        <f t="shared" ca="1" si="283"/>
        <v/>
      </c>
      <c r="Z610" s="315" t="str">
        <f t="shared" ca="1" si="284"/>
        <v/>
      </c>
      <c r="AA610" s="316" t="str">
        <f t="shared" ca="1" si="285"/>
        <v/>
      </c>
      <c r="AC610" s="310" t="e">
        <f t="shared" ca="1" si="286"/>
        <v>#N/A</v>
      </c>
      <c r="AD610" s="323" t="e">
        <f t="shared" ca="1" si="287"/>
        <v>#N/A</v>
      </c>
      <c r="AE610" s="324">
        <f t="shared" ca="1" si="266"/>
        <v>2462.2456996315645</v>
      </c>
      <c r="AG610" s="306">
        <f t="shared" ca="1" si="288"/>
        <v>-11.070209352445993</v>
      </c>
      <c r="AH610" s="304">
        <f t="shared" ca="1" si="289"/>
        <v>-1.5909236339271176</v>
      </c>
    </row>
    <row r="611" spans="1:34" x14ac:dyDescent="0.2">
      <c r="A611" s="347">
        <f t="shared" ca="1" si="267"/>
        <v>0.1</v>
      </c>
      <c r="B611" s="304">
        <f t="shared" ca="1" si="268"/>
        <v>15.6999999999999</v>
      </c>
      <c r="D611" s="306">
        <f t="shared" ca="1" si="269"/>
        <v>-0.4024804018398736</v>
      </c>
      <c r="E611" s="307">
        <f t="shared" ca="1" si="270"/>
        <v>-11.300277628452344</v>
      </c>
      <c r="F611" s="304">
        <f t="shared" ca="1" si="271"/>
        <v>11.307442900760796</v>
      </c>
      <c r="G611" s="306">
        <f t="shared" ca="1" si="272"/>
        <v>19.433840735661196</v>
      </c>
      <c r="H611" s="307">
        <f t="shared" ca="1" si="273"/>
        <v>70.977331264994447</v>
      </c>
      <c r="I611" s="304">
        <f t="shared" ca="1" si="274"/>
        <v>73.589779991788291</v>
      </c>
      <c r="J611" s="306">
        <f t="shared" ca="1" si="275"/>
        <v>353.45057967787477</v>
      </c>
      <c r="K611" s="307">
        <f t="shared" ca="1" si="276"/>
        <v>2469.3999341462063</v>
      </c>
      <c r="L611" s="304">
        <f t="shared" ca="1" si="261"/>
        <v>2494.5667653995379</v>
      </c>
      <c r="M611" s="306">
        <f t="shared" ca="1" si="277"/>
        <v>1.3035428452535567</v>
      </c>
      <c r="N611" s="304">
        <f t="shared" ca="1" si="278"/>
        <v>74.687503447503772</v>
      </c>
      <c r="P611" s="310">
        <f t="shared" ca="1" si="279"/>
        <v>23</v>
      </c>
      <c r="Q611" s="304">
        <f t="shared" ca="1" si="280"/>
        <v>0</v>
      </c>
      <c r="R611" s="306">
        <f t="shared" ca="1" si="281"/>
        <v>0</v>
      </c>
      <c r="S611" s="307">
        <f t="shared" ca="1" si="282"/>
        <v>9.137999999999975</v>
      </c>
      <c r="T611" s="304">
        <f t="shared" ca="1" si="262"/>
        <v>89.643779999999765</v>
      </c>
      <c r="U611" s="311">
        <f t="shared" ca="1" si="263"/>
        <v>0</v>
      </c>
      <c r="V611" s="306">
        <f t="shared" ca="1" si="264"/>
        <v>0.95574359545026732</v>
      </c>
      <c r="W611" s="304">
        <f t="shared" ca="1" si="265"/>
        <v>13.683314502575419</v>
      </c>
      <c r="Y611" s="314" t="str">
        <f t="shared" ca="1" si="283"/>
        <v/>
      </c>
      <c r="Z611" s="315" t="str">
        <f t="shared" ca="1" si="284"/>
        <v/>
      </c>
      <c r="AA611" s="316" t="str">
        <f t="shared" ca="1" si="285"/>
        <v/>
      </c>
      <c r="AC611" s="310" t="e">
        <f t="shared" ca="1" si="286"/>
        <v>#N/A</v>
      </c>
      <c r="AD611" s="323" t="e">
        <f t="shared" ca="1" si="287"/>
        <v>#N/A</v>
      </c>
      <c r="AE611" s="324">
        <f t="shared" ca="1" si="266"/>
        <v>2469.3999341462063</v>
      </c>
      <c r="AG611" s="306">
        <f t="shared" ca="1" si="288"/>
        <v>-11.014360913839838</v>
      </c>
      <c r="AH611" s="304">
        <f t="shared" ca="1" si="289"/>
        <v>-1.5436702639264406</v>
      </c>
    </row>
    <row r="612" spans="1:34" x14ac:dyDescent="0.2">
      <c r="A612" s="347">
        <f t="shared" ca="1" si="267"/>
        <v>0.1</v>
      </c>
      <c r="B612" s="304">
        <f t="shared" ca="1" si="268"/>
        <v>15.799999999999899</v>
      </c>
      <c r="D612" s="306">
        <f t="shared" ca="1" si="269"/>
        <v>-0.39544063066724544</v>
      </c>
      <c r="E612" s="307">
        <f t="shared" ca="1" si="270"/>
        <v>-11.254249802202184</v>
      </c>
      <c r="F612" s="304">
        <f t="shared" ca="1" si="271"/>
        <v>11.261194958917566</v>
      </c>
      <c r="G612" s="306">
        <f t="shared" ca="1" si="272"/>
        <v>19.394296672594471</v>
      </c>
      <c r="H612" s="307">
        <f t="shared" ca="1" si="273"/>
        <v>69.85190628477423</v>
      </c>
      <c r="I612" s="304">
        <f t="shared" ca="1" si="274"/>
        <v>72.494327743910347</v>
      </c>
      <c r="J612" s="306">
        <f t="shared" ca="1" si="275"/>
        <v>355.39198654828755</v>
      </c>
      <c r="K612" s="307">
        <f t="shared" ca="1" si="276"/>
        <v>2476.4413960236948</v>
      </c>
      <c r="L612" s="304">
        <f t="shared" ca="1" si="261"/>
        <v>2501.8124334255203</v>
      </c>
      <c r="M612" s="306">
        <f t="shared" ca="1" si="277"/>
        <v>1.2999692362011481</v>
      </c>
      <c r="N612" s="304">
        <f t="shared" ca="1" si="278"/>
        <v>74.482750731171024</v>
      </c>
      <c r="P612" s="310">
        <f t="shared" ca="1" si="279"/>
        <v>23</v>
      </c>
      <c r="Q612" s="304">
        <f t="shared" ca="1" si="280"/>
        <v>0</v>
      </c>
      <c r="R612" s="306">
        <f t="shared" ca="1" si="281"/>
        <v>0</v>
      </c>
      <c r="S612" s="307">
        <f t="shared" ca="1" si="282"/>
        <v>9.137999999999975</v>
      </c>
      <c r="T612" s="304">
        <f t="shared" ca="1" si="262"/>
        <v>89.643779999999765</v>
      </c>
      <c r="U612" s="311">
        <f t="shared" ca="1" si="263"/>
        <v>0</v>
      </c>
      <c r="V612" s="306">
        <f t="shared" ca="1" si="264"/>
        <v>0.95506040799094571</v>
      </c>
      <c r="W612" s="304">
        <f t="shared" ca="1" si="265"/>
        <v>13.269476789347623</v>
      </c>
      <c r="Y612" s="314" t="str">
        <f t="shared" ca="1" si="283"/>
        <v/>
      </c>
      <c r="Z612" s="315" t="str">
        <f t="shared" ca="1" si="284"/>
        <v/>
      </c>
      <c r="AA612" s="316" t="str">
        <f t="shared" ca="1" si="285"/>
        <v/>
      </c>
      <c r="AC612" s="310" t="e">
        <f t="shared" ca="1" si="286"/>
        <v>#N/A</v>
      </c>
      <c r="AD612" s="323" t="e">
        <f t="shared" ca="1" si="287"/>
        <v>#N/A</v>
      </c>
      <c r="AE612" s="324">
        <f t="shared" ca="1" si="266"/>
        <v>2476.4413960236948</v>
      </c>
      <c r="AG612" s="306">
        <f t="shared" ca="1" si="288"/>
        <v>-10.959151483761641</v>
      </c>
      <c r="AH612" s="304">
        <f t="shared" ca="1" si="289"/>
        <v>-1.4974080217307351</v>
      </c>
    </row>
    <row r="613" spans="1:34" x14ac:dyDescent="0.2">
      <c r="A613" s="347">
        <f t="shared" ca="1" si="267"/>
        <v>0.1</v>
      </c>
      <c r="B613" s="304">
        <f t="shared" ca="1" si="268"/>
        <v>15.899999999999899</v>
      </c>
      <c r="D613" s="306">
        <f t="shared" ca="1" si="269"/>
        <v>-0.38848356743126072</v>
      </c>
      <c r="E613" s="307">
        <f t="shared" ca="1" si="270"/>
        <v>-11.209190607604182</v>
      </c>
      <c r="F613" s="304">
        <f t="shared" ca="1" si="271"/>
        <v>11.215920540007669</v>
      </c>
      <c r="G613" s="306">
        <f t="shared" ca="1" si="272"/>
        <v>19.355448315851344</v>
      </c>
      <c r="H613" s="307">
        <f t="shared" ca="1" si="273"/>
        <v>68.730987224013816</v>
      </c>
      <c r="I613" s="304">
        <f t="shared" ca="1" si="274"/>
        <v>71.404355499473169</v>
      </c>
      <c r="J613" s="306">
        <f t="shared" ca="1" si="275"/>
        <v>357.32947379770985</v>
      </c>
      <c r="K613" s="307">
        <f t="shared" ca="1" si="276"/>
        <v>2483.3705406991344</v>
      </c>
      <c r="L613" s="304">
        <f t="shared" ca="1" si="261"/>
        <v>2508.9467103262396</v>
      </c>
      <c r="M613" s="306">
        <f t="shared" ca="1" si="277"/>
        <v>1.2962937458290791</v>
      </c>
      <c r="N613" s="304">
        <f t="shared" ca="1" si="278"/>
        <v>74.272160645210491</v>
      </c>
      <c r="P613" s="310">
        <f t="shared" ca="1" si="279"/>
        <v>23</v>
      </c>
      <c r="Q613" s="304">
        <f t="shared" ca="1" si="280"/>
        <v>0</v>
      </c>
      <c r="R613" s="306">
        <f t="shared" ca="1" si="281"/>
        <v>0</v>
      </c>
      <c r="S613" s="307">
        <f t="shared" ca="1" si="282"/>
        <v>9.137999999999975</v>
      </c>
      <c r="T613" s="304">
        <f t="shared" ca="1" si="262"/>
        <v>89.643779999999765</v>
      </c>
      <c r="U613" s="311">
        <f t="shared" ca="1" si="263"/>
        <v>0</v>
      </c>
      <c r="V613" s="306">
        <f t="shared" ca="1" si="264"/>
        <v>0.95438853568688797</v>
      </c>
      <c r="W613" s="304">
        <f t="shared" ca="1" si="265"/>
        <v>12.864399677335177</v>
      </c>
      <c r="Y613" s="314" t="str">
        <f t="shared" ca="1" si="283"/>
        <v/>
      </c>
      <c r="Z613" s="315" t="str">
        <f t="shared" ca="1" si="284"/>
        <v/>
      </c>
      <c r="AA613" s="316" t="str">
        <f t="shared" ca="1" si="285"/>
        <v/>
      </c>
      <c r="AC613" s="310" t="e">
        <f t="shared" ca="1" si="286"/>
        <v>#N/A</v>
      </c>
      <c r="AD613" s="323" t="e">
        <f t="shared" ca="1" si="287"/>
        <v>#N/A</v>
      </c>
      <c r="AE613" s="324">
        <f t="shared" ca="1" si="266"/>
        <v>2483.3705406991344</v>
      </c>
      <c r="AG613" s="306">
        <f t="shared" ca="1" si="288"/>
        <v>-10.904545528062137</v>
      </c>
      <c r="AH613" s="304">
        <f t="shared" ca="1" si="289"/>
        <v>-1.4521204628307791</v>
      </c>
    </row>
    <row r="614" spans="1:34" x14ac:dyDescent="0.2">
      <c r="A614" s="347">
        <f t="shared" ca="1" si="267"/>
        <v>0.1</v>
      </c>
      <c r="B614" s="304">
        <f t="shared" ca="1" si="268"/>
        <v>15.999999999999899</v>
      </c>
      <c r="D614" s="306">
        <f t="shared" ca="1" si="269"/>
        <v>-0.38160750055193704</v>
      </c>
      <c r="E614" s="307">
        <f t="shared" ca="1" si="270"/>
        <v>-11.165084099165149</v>
      </c>
      <c r="F614" s="304">
        <f t="shared" ca="1" si="271"/>
        <v>11.17160361031074</v>
      </c>
      <c r="G614" s="306">
        <f t="shared" ca="1" si="272"/>
        <v>19.31728756579615</v>
      </c>
      <c r="H614" s="307">
        <f t="shared" ca="1" si="273"/>
        <v>67.614478814097296</v>
      </c>
      <c r="I614" s="304">
        <f t="shared" ca="1" si="274"/>
        <v>70.319807623468904</v>
      </c>
      <c r="J614" s="306">
        <f t="shared" ca="1" si="275"/>
        <v>359.26311059179221</v>
      </c>
      <c r="K614" s="307">
        <f t="shared" ca="1" si="276"/>
        <v>2490.1878140010399</v>
      </c>
      <c r="L614" s="304">
        <f t="shared" ca="1" si="261"/>
        <v>2515.9700577771923</v>
      </c>
      <c r="M614" s="306">
        <f t="shared" ca="1" si="277"/>
        <v>1.2925121866608089</v>
      </c>
      <c r="N614" s="304">
        <f t="shared" ca="1" si="278"/>
        <v>74.055493264889606</v>
      </c>
      <c r="P614" s="310">
        <f t="shared" ca="1" si="279"/>
        <v>23</v>
      </c>
      <c r="Q614" s="304">
        <f t="shared" ca="1" si="280"/>
        <v>0</v>
      </c>
      <c r="R614" s="306">
        <f t="shared" ca="1" si="281"/>
        <v>0</v>
      </c>
      <c r="S614" s="307">
        <f t="shared" ca="1" si="282"/>
        <v>9.137999999999975</v>
      </c>
      <c r="T614" s="304">
        <f t="shared" ca="1" si="262"/>
        <v>89.643779999999765</v>
      </c>
      <c r="U614" s="311">
        <f t="shared" ca="1" si="263"/>
        <v>0</v>
      </c>
      <c r="V614" s="306">
        <f t="shared" ca="1" si="264"/>
        <v>0.95372791482406127</v>
      </c>
      <c r="W614" s="304">
        <f t="shared" ca="1" si="265"/>
        <v>12.467941208006375</v>
      </c>
      <c r="Y614" s="314" t="str">
        <f t="shared" ca="1" si="283"/>
        <v/>
      </c>
      <c r="Z614" s="315" t="str">
        <f t="shared" ca="1" si="284"/>
        <v/>
      </c>
      <c r="AA614" s="316" t="str">
        <f t="shared" ca="1" si="285"/>
        <v/>
      </c>
      <c r="AC614" s="310">
        <f t="shared" ca="1" si="286"/>
        <v>15.999999999999899</v>
      </c>
      <c r="AD614" s="323">
        <f t="shared" ca="1" si="287"/>
        <v>359.26311059179221</v>
      </c>
      <c r="AE614" s="324">
        <f t="shared" ca="1" si="266"/>
        <v>2490.1878140010399</v>
      </c>
      <c r="AG614" s="306">
        <f t="shared" ca="1" si="288"/>
        <v>-10.850506687009457</v>
      </c>
      <c r="AH614" s="304">
        <f t="shared" ca="1" si="289"/>
        <v>-1.4077916039981628</v>
      </c>
    </row>
    <row r="615" spans="1:34" x14ac:dyDescent="0.2">
      <c r="A615" s="347">
        <f t="shared" ca="1" si="267"/>
        <v>0.1</v>
      </c>
      <c r="B615" s="304">
        <f t="shared" ca="1" si="268"/>
        <v>16.099999999999898</v>
      </c>
      <c r="D615" s="306">
        <f t="shared" ca="1" si="269"/>
        <v>-0.37481077118696071</v>
      </c>
      <c r="E615" s="307">
        <f t="shared" ca="1" si="270"/>
        <v>-11.121914773820977</v>
      </c>
      <c r="F615" s="304">
        <f t="shared" ca="1" si="271"/>
        <v>11.128228580970786</v>
      </c>
      <c r="G615" s="306">
        <f t="shared" ca="1" si="272"/>
        <v>19.279806488677455</v>
      </c>
      <c r="H615" s="307">
        <f t="shared" ca="1" si="273"/>
        <v>66.502287336715199</v>
      </c>
      <c r="I615" s="304">
        <f t="shared" ca="1" si="274"/>
        <v>69.240632285211547</v>
      </c>
      <c r="J615" s="306">
        <f t="shared" ca="1" si="275"/>
        <v>361.19296529451589</v>
      </c>
      <c r="K615" s="307">
        <f t="shared" ca="1" si="276"/>
        <v>2496.8936523085804</v>
      </c>
      <c r="L615" s="304">
        <f t="shared" ca="1" si="261"/>
        <v>2522.8829281433427</v>
      </c>
      <c r="M615" s="306">
        <f t="shared" ca="1" si="277"/>
        <v>1.2886201443779273</v>
      </c>
      <c r="N615" s="304">
        <f t="shared" ca="1" si="278"/>
        <v>73.832495668394031</v>
      </c>
      <c r="P615" s="310">
        <f t="shared" ca="1" si="279"/>
        <v>23</v>
      </c>
      <c r="Q615" s="304">
        <f t="shared" ca="1" si="280"/>
        <v>0</v>
      </c>
      <c r="R615" s="306">
        <f t="shared" ca="1" si="281"/>
        <v>0</v>
      </c>
      <c r="S615" s="307">
        <f t="shared" ca="1" si="282"/>
        <v>9.137999999999975</v>
      </c>
      <c r="T615" s="304">
        <f t="shared" ca="1" si="262"/>
        <v>89.643779999999765</v>
      </c>
      <c r="U615" s="311">
        <f t="shared" ca="1" si="263"/>
        <v>0</v>
      </c>
      <c r="V615" s="306">
        <f t="shared" ca="1" si="264"/>
        <v>0.9530784830696718</v>
      </c>
      <c r="W615" s="304">
        <f t="shared" ca="1" si="265"/>
        <v>12.079963404400646</v>
      </c>
      <c r="Y615" s="314" t="str">
        <f t="shared" ca="1" si="283"/>
        <v/>
      </c>
      <c r="Z615" s="315" t="str">
        <f t="shared" ca="1" si="284"/>
        <v/>
      </c>
      <c r="AA615" s="316" t="str">
        <f t="shared" ca="1" si="285"/>
        <v/>
      </c>
      <c r="AC615" s="310" t="e">
        <f t="shared" ca="1" si="286"/>
        <v>#N/A</v>
      </c>
      <c r="AD615" s="323" t="e">
        <f t="shared" ca="1" si="287"/>
        <v>#N/A</v>
      </c>
      <c r="AE615" s="324">
        <f t="shared" ca="1" si="266"/>
        <v>2496.8936523085804</v>
      </c>
      <c r="AG615" s="306">
        <f t="shared" ca="1" si="288"/>
        <v>-10.796997659064939</v>
      </c>
      <c r="AH615" s="304">
        <f t="shared" ca="1" si="289"/>
        <v>-1.3644059102655295</v>
      </c>
    </row>
    <row r="616" spans="1:34" x14ac:dyDescent="0.2">
      <c r="A616" s="347">
        <f t="shared" ca="1" si="267"/>
        <v>0.1</v>
      </c>
      <c r="B616" s="304">
        <f t="shared" ca="1" si="268"/>
        <v>16.1999999999999</v>
      </c>
      <c r="D616" s="306">
        <f t="shared" ca="1" si="269"/>
        <v>-0.36809177257896403</v>
      </c>
      <c r="E616" s="307">
        <f t="shared" ca="1" si="270"/>
        <v>-11.079667558162628</v>
      </c>
      <c r="F616" s="304">
        <f t="shared" ca="1" si="271"/>
        <v>11.085780295154768</v>
      </c>
      <c r="G616" s="306">
        <f t="shared" ca="1" si="272"/>
        <v>19.242997311419558</v>
      </c>
      <c r="H616" s="307">
        <f t="shared" ca="1" si="273"/>
        <v>65.394320580898935</v>
      </c>
      <c r="I616" s="304">
        <f t="shared" ca="1" si="274"/>
        <v>68.166781571119245</v>
      </c>
      <c r="J616" s="306">
        <f t="shared" ca="1" si="275"/>
        <v>363.11910548452073</v>
      </c>
      <c r="K616" s="307">
        <f t="shared" ca="1" si="276"/>
        <v>2503.4884827044611</v>
      </c>
      <c r="L616" s="304">
        <f t="shared" ca="1" si="261"/>
        <v>2529.6857646359485</v>
      </c>
      <c r="M616" s="306">
        <f t="shared" ca="1" si="277"/>
        <v>1.2846129627689959</v>
      </c>
      <c r="N616" s="304">
        <f t="shared" ca="1" si="278"/>
        <v>73.602901074459822</v>
      </c>
      <c r="P616" s="310">
        <f t="shared" ca="1" si="279"/>
        <v>23</v>
      </c>
      <c r="Q616" s="304">
        <f t="shared" ca="1" si="280"/>
        <v>0</v>
      </c>
      <c r="R616" s="306">
        <f t="shared" ca="1" si="281"/>
        <v>0</v>
      </c>
      <c r="S616" s="307">
        <f t="shared" ca="1" si="282"/>
        <v>9.137999999999975</v>
      </c>
      <c r="T616" s="304">
        <f t="shared" ca="1" si="262"/>
        <v>89.643779999999765</v>
      </c>
      <c r="U616" s="311">
        <f t="shared" ca="1" si="263"/>
        <v>0</v>
      </c>
      <c r="V616" s="306">
        <f t="shared" ca="1" si="264"/>
        <v>0.95244017944862203</v>
      </c>
      <c r="W616" s="304">
        <f t="shared" ca="1" si="265"/>
        <v>11.700332160655423</v>
      </c>
      <c r="Y616" s="314" t="str">
        <f t="shared" ca="1" si="283"/>
        <v/>
      </c>
      <c r="Z616" s="315" t="str">
        <f t="shared" ca="1" si="284"/>
        <v/>
      </c>
      <c r="AA616" s="316" t="str">
        <f t="shared" ca="1" si="285"/>
        <v/>
      </c>
      <c r="AC616" s="310" t="e">
        <f t="shared" ca="1" si="286"/>
        <v>#N/A</v>
      </c>
      <c r="AD616" s="323" t="e">
        <f t="shared" ca="1" si="287"/>
        <v>#N/A</v>
      </c>
      <c r="AE616" s="324">
        <f t="shared" ca="1" si="266"/>
        <v>2503.4884827044611</v>
      </c>
      <c r="AG616" s="306">
        <f t="shared" ca="1" si="288"/>
        <v>-10.743980075590621</v>
      </c>
      <c r="AH616" s="304">
        <f t="shared" ca="1" si="289"/>
        <v>-1.3219482823813393</v>
      </c>
    </row>
    <row r="617" spans="1:34" x14ac:dyDescent="0.2">
      <c r="A617" s="347">
        <f t="shared" ca="1" si="267"/>
        <v>0.1</v>
      </c>
      <c r="B617" s="304">
        <f t="shared" ca="1" si="268"/>
        <v>16.299999999999901</v>
      </c>
      <c r="D617" s="306">
        <f t="shared" ca="1" si="269"/>
        <v>-0.36144894950600448</v>
      </c>
      <c r="E617" s="307">
        <f t="shared" ca="1" si="270"/>
        <v>-11.038327796086</v>
      </c>
      <c r="F617" s="304">
        <f t="shared" ca="1" si="271"/>
        <v>11.044244015637457</v>
      </c>
      <c r="G617" s="306">
        <f t="shared" ca="1" si="272"/>
        <v>19.206852416468958</v>
      </c>
      <c r="H617" s="307">
        <f t="shared" ca="1" si="273"/>
        <v>64.29048780129034</v>
      </c>
      <c r="I617" s="304">
        <f t="shared" ca="1" si="274"/>
        <v>67.098211611606175</v>
      </c>
      <c r="J617" s="306">
        <f t="shared" ca="1" si="275"/>
        <v>365.04159797091518</v>
      </c>
      <c r="K617" s="307">
        <f t="shared" ca="1" si="276"/>
        <v>2509.9727231235706</v>
      </c>
      <c r="L617" s="304">
        <f t="shared" ca="1" si="261"/>
        <v>2536.3790014651813</v>
      </c>
      <c r="M617" s="306">
        <f t="shared" ca="1" si="277"/>
        <v>1.2804857275115791</v>
      </c>
      <c r="N617" s="304">
        <f t="shared" ca="1" si="278"/>
        <v>73.366427913152251</v>
      </c>
      <c r="P617" s="310">
        <f t="shared" ca="1" si="279"/>
        <v>23</v>
      </c>
      <c r="Q617" s="304">
        <f t="shared" ca="1" si="280"/>
        <v>0</v>
      </c>
      <c r="R617" s="306">
        <f t="shared" ca="1" si="281"/>
        <v>0</v>
      </c>
      <c r="S617" s="307">
        <f t="shared" ca="1" si="282"/>
        <v>9.137999999999975</v>
      </c>
      <c r="T617" s="304">
        <f t="shared" ca="1" si="262"/>
        <v>89.643779999999765</v>
      </c>
      <c r="U617" s="311">
        <f t="shared" ca="1" si="263"/>
        <v>0</v>
      </c>
      <c r="V617" s="306">
        <f t="shared" ca="1" si="264"/>
        <v>0.95181294432064389</v>
      </c>
      <c r="W617" s="304">
        <f t="shared" ca="1" si="265"/>
        <v>11.328917135535661</v>
      </c>
      <c r="Y617" s="314" t="str">
        <f t="shared" ca="1" si="283"/>
        <v/>
      </c>
      <c r="Z617" s="315" t="str">
        <f t="shared" ca="1" si="284"/>
        <v/>
      </c>
      <c r="AA617" s="316" t="str">
        <f t="shared" ca="1" si="285"/>
        <v/>
      </c>
      <c r="AC617" s="310" t="e">
        <f t="shared" ca="1" si="286"/>
        <v>#N/A</v>
      </c>
      <c r="AD617" s="323" t="e">
        <f t="shared" ca="1" si="287"/>
        <v>#N/A</v>
      </c>
      <c r="AE617" s="324">
        <f t="shared" ca="1" si="266"/>
        <v>2509.9727231235706</v>
      </c>
      <c r="AG617" s="306">
        <f t="shared" ca="1" si="288"/>
        <v>-10.691414365477849</v>
      </c>
      <c r="AH617" s="304">
        <f t="shared" ca="1" si="289"/>
        <v>-1.2804040447204481</v>
      </c>
    </row>
    <row r="618" spans="1:34" x14ac:dyDescent="0.2">
      <c r="A618" s="347">
        <f t="shared" ca="1" si="267"/>
        <v>0.1</v>
      </c>
      <c r="B618" s="304">
        <f t="shared" ca="1" si="268"/>
        <v>16.399999999999903</v>
      </c>
      <c r="D618" s="306">
        <f t="shared" ca="1" si="269"/>
        <v>-0.35488079783878407</v>
      </c>
      <c r="E618" s="307">
        <f t="shared" ca="1" si="270"/>
        <v>-10.997881236844584</v>
      </c>
      <c r="F618" s="304">
        <f t="shared" ca="1" si="271"/>
        <v>11.00360541279143</v>
      </c>
      <c r="G618" s="306">
        <f t="shared" ca="1" si="272"/>
        <v>19.17136433668508</v>
      </c>
      <c r="H618" s="307">
        <f t="shared" ca="1" si="273"/>
        <v>63.190699677605878</v>
      </c>
      <c r="I618" s="304">
        <f t="shared" ca="1" si="274"/>
        <v>66.034882723264531</v>
      </c>
      <c r="J618" s="306">
        <f t="shared" ca="1" si="275"/>
        <v>366.96050880857285</v>
      </c>
      <c r="K618" s="307">
        <f t="shared" ca="1" si="276"/>
        <v>2516.3467824975155</v>
      </c>
      <c r="L618" s="304">
        <f t="shared" ca="1" si="261"/>
        <v>2542.96306398867</v>
      </c>
      <c r="M618" s="306">
        <f t="shared" ca="1" si="277"/>
        <v>1.2762332486859702</v>
      </c>
      <c r="N618" s="304">
        <f t="shared" ca="1" si="278"/>
        <v>73.122778823976105</v>
      </c>
      <c r="P618" s="310">
        <f t="shared" ca="1" si="279"/>
        <v>23</v>
      </c>
      <c r="Q618" s="304">
        <f t="shared" ca="1" si="280"/>
        <v>0</v>
      </c>
      <c r="R618" s="306">
        <f t="shared" ca="1" si="281"/>
        <v>0</v>
      </c>
      <c r="S618" s="307">
        <f t="shared" ca="1" si="282"/>
        <v>9.137999999999975</v>
      </c>
      <c r="T618" s="304">
        <f t="shared" ca="1" si="262"/>
        <v>89.643779999999765</v>
      </c>
      <c r="U618" s="311">
        <f t="shared" ca="1" si="263"/>
        <v>0</v>
      </c>
      <c r="V618" s="306">
        <f t="shared" ca="1" si="264"/>
        <v>0.95119671935808214</v>
      </c>
      <c r="W618" s="304">
        <f t="shared" ca="1" si="265"/>
        <v>10.965591649810266</v>
      </c>
      <c r="Y618" s="314" t="str">
        <f t="shared" ca="1" si="283"/>
        <v/>
      </c>
      <c r="Z618" s="315" t="str">
        <f t="shared" ca="1" si="284"/>
        <v/>
      </c>
      <c r="AA618" s="316" t="str">
        <f t="shared" ca="1" si="285"/>
        <v/>
      </c>
      <c r="AC618" s="310" t="e">
        <f t="shared" ca="1" si="286"/>
        <v>#N/A</v>
      </c>
      <c r="AD618" s="323" t="e">
        <f t="shared" ca="1" si="287"/>
        <v>#N/A</v>
      </c>
      <c r="AE618" s="324">
        <f t="shared" ca="1" si="266"/>
        <v>2516.3467824975155</v>
      </c>
      <c r="AG618" s="306">
        <f t="shared" ca="1" si="288"/>
        <v>-10.639259608574188</v>
      </c>
      <c r="AH618" s="304">
        <f t="shared" ca="1" si="289"/>
        <v>-1.2397589336327088</v>
      </c>
    </row>
    <row r="619" spans="1:34" x14ac:dyDescent="0.2">
      <c r="A619" s="347">
        <f t="shared" ca="1" si="267"/>
        <v>0.1</v>
      </c>
      <c r="B619" s="304">
        <f t="shared" ca="1" si="268"/>
        <v>16.499999999999904</v>
      </c>
      <c r="D619" s="306">
        <f t="shared" ca="1" si="269"/>
        <v>-0.34838586420878059</v>
      </c>
      <c r="E619" s="307">
        <f t="shared" ca="1" si="270"/>
        <v>-10.958314023484196</v>
      </c>
      <c r="F619" s="304">
        <f t="shared" ca="1" si="271"/>
        <v>10.963850552961349</v>
      </c>
      <c r="G619" s="306">
        <f t="shared" ca="1" si="272"/>
        <v>19.136525750264202</v>
      </c>
      <c r="H619" s="307">
        <f t="shared" ca="1" si="273"/>
        <v>62.094868275257461</v>
      </c>
      <c r="I619" s="304">
        <f t="shared" ca="1" si="274"/>
        <v>64.976759567649268</v>
      </c>
      <c r="J619" s="306">
        <f t="shared" ca="1" si="275"/>
        <v>368.87590331292034</v>
      </c>
      <c r="K619" s="307">
        <f t="shared" ca="1" si="276"/>
        <v>2522.6110608951585</v>
      </c>
      <c r="L619" s="304">
        <f t="shared" ca="1" si="261"/>
        <v>2549.4383688560742</v>
      </c>
      <c r="M619" s="306">
        <f t="shared" ca="1" si="277"/>
        <v>1.2718500419096417</v>
      </c>
      <c r="N619" s="304">
        <f t="shared" ca="1" si="278"/>
        <v>72.871639574959346</v>
      </c>
      <c r="P619" s="310">
        <f t="shared" ca="1" si="279"/>
        <v>23</v>
      </c>
      <c r="Q619" s="304">
        <f t="shared" ca="1" si="280"/>
        <v>0</v>
      </c>
      <c r="R619" s="306">
        <f t="shared" ca="1" si="281"/>
        <v>0</v>
      </c>
      <c r="S619" s="307">
        <f t="shared" ca="1" si="282"/>
        <v>9.137999999999975</v>
      </c>
      <c r="T619" s="304">
        <f t="shared" ca="1" si="262"/>
        <v>89.643779999999765</v>
      </c>
      <c r="U619" s="311">
        <f t="shared" ca="1" si="263"/>
        <v>0</v>
      </c>
      <c r="V619" s="306">
        <f t="shared" ca="1" si="264"/>
        <v>0.95059144752431324</v>
      </c>
      <c r="W619" s="304">
        <f t="shared" ca="1" si="265"/>
        <v>10.610232587326912</v>
      </c>
      <c r="Y619" s="314" t="str">
        <f t="shared" ca="1" si="283"/>
        <v/>
      </c>
      <c r="Z619" s="315" t="str">
        <f t="shared" ca="1" si="284"/>
        <v/>
      </c>
      <c r="AA619" s="316" t="str">
        <f t="shared" ca="1" si="285"/>
        <v/>
      </c>
      <c r="AC619" s="310" t="e">
        <f t="shared" ca="1" si="286"/>
        <v>#N/A</v>
      </c>
      <c r="AD619" s="323" t="e">
        <f t="shared" ca="1" si="287"/>
        <v>#N/A</v>
      </c>
      <c r="AE619" s="324">
        <f t="shared" ca="1" si="266"/>
        <v>2522.6110608951585</v>
      </c>
      <c r="AG619" s="306">
        <f t="shared" ca="1" si="288"/>
        <v>-10.587473376659329</v>
      </c>
      <c r="AH619" s="304">
        <f t="shared" ca="1" si="289"/>
        <v>-1.1999990862125516</v>
      </c>
    </row>
    <row r="620" spans="1:34" x14ac:dyDescent="0.2">
      <c r="A620" s="347">
        <f t="shared" ca="1" si="267"/>
        <v>0.1</v>
      </c>
      <c r="B620" s="304">
        <f t="shared" ca="1" si="268"/>
        <v>16.599999999999905</v>
      </c>
      <c r="D620" s="306">
        <f t="shared" ca="1" si="269"/>
        <v>-0.3419627457921765</v>
      </c>
      <c r="E620" s="307">
        <f t="shared" ca="1" si="270"/>
        <v>-10.91961268163932</v>
      </c>
      <c r="F620" s="304">
        <f t="shared" ca="1" si="271"/>
        <v>10.924965887202028</v>
      </c>
      <c r="G620" s="306">
        <f t="shared" ca="1" si="272"/>
        <v>19.102329475684986</v>
      </c>
      <c r="H620" s="307">
        <f t="shared" ca="1" si="273"/>
        <v>61.002907007093526</v>
      </c>
      <c r="I620" s="304">
        <f t="shared" ca="1" si="274"/>
        <v>63.923811328125012</v>
      </c>
      <c r="J620" s="306">
        <f t="shared" ca="1" si="275"/>
        <v>370.78784607421778</v>
      </c>
      <c r="K620" s="307">
        <f t="shared" ca="1" si="276"/>
        <v>2528.765949659276</v>
      </c>
      <c r="L620" s="304">
        <f t="shared" ca="1" si="261"/>
        <v>2555.8053241498146</v>
      </c>
      <c r="M620" s="306">
        <f t="shared" ca="1" si="277"/>
        <v>1.2673303079710494</v>
      </c>
      <c r="N620" s="304">
        <f t="shared" ca="1" si="278"/>
        <v>72.612677895755965</v>
      </c>
      <c r="P620" s="310">
        <f t="shared" ca="1" si="279"/>
        <v>23</v>
      </c>
      <c r="Q620" s="304">
        <f t="shared" ca="1" si="280"/>
        <v>0</v>
      </c>
      <c r="R620" s="306">
        <f t="shared" ca="1" si="281"/>
        <v>0</v>
      </c>
      <c r="S620" s="307">
        <f t="shared" ca="1" si="282"/>
        <v>9.137999999999975</v>
      </c>
      <c r="T620" s="304">
        <f t="shared" ca="1" si="262"/>
        <v>89.643779999999765</v>
      </c>
      <c r="U620" s="311">
        <f t="shared" ca="1" si="263"/>
        <v>0</v>
      </c>
      <c r="V620" s="306">
        <f t="shared" ca="1" si="264"/>
        <v>0.94999707305277759</v>
      </c>
      <c r="W620" s="304">
        <f t="shared" ca="1" si="265"/>
        <v>10.262720299643071</v>
      </c>
      <c r="Y620" s="314" t="str">
        <f t="shared" ca="1" si="283"/>
        <v/>
      </c>
      <c r="Z620" s="315" t="str">
        <f t="shared" ca="1" si="284"/>
        <v/>
      </c>
      <c r="AA620" s="316" t="str">
        <f t="shared" ca="1" si="285"/>
        <v/>
      </c>
      <c r="AC620" s="310" t="e">
        <f t="shared" ca="1" si="286"/>
        <v>#N/A</v>
      </c>
      <c r="AD620" s="323" t="e">
        <f t="shared" ca="1" si="287"/>
        <v>#N/A</v>
      </c>
      <c r="AE620" s="324">
        <f t="shared" ca="1" si="266"/>
        <v>2528.765949659276</v>
      </c>
      <c r="AG620" s="306">
        <f t="shared" ca="1" si="288"/>
        <v>-10.536011560578888</v>
      </c>
      <c r="AH620" s="304">
        <f t="shared" ca="1" si="289"/>
        <v>-1.1611110294732918</v>
      </c>
    </row>
    <row r="621" spans="1:34" x14ac:dyDescent="0.2">
      <c r="A621" s="347">
        <f t="shared" ca="1" si="267"/>
        <v>0.1</v>
      </c>
      <c r="B621" s="304">
        <f t="shared" ca="1" si="268"/>
        <v>16.699999999999907</v>
      </c>
      <c r="D621" s="306">
        <f t="shared" ca="1" si="269"/>
        <v>-0.3356100902152529</v>
      </c>
      <c r="E621" s="307">
        <f t="shared" ca="1" si="270"/>
        <v>-10.881764108670794</v>
      </c>
      <c r="F621" s="304">
        <f t="shared" ca="1" si="271"/>
        <v>10.886938240359875</v>
      </c>
      <c r="G621" s="306">
        <f t="shared" ca="1" si="272"/>
        <v>19.06876846666346</v>
      </c>
      <c r="H621" s="307">
        <f t="shared" ca="1" si="273"/>
        <v>59.914730596226448</v>
      </c>
      <c r="I621" s="304">
        <f t="shared" ca="1" si="274"/>
        <v>62.876011906398872</v>
      </c>
      <c r="J621" s="306">
        <f t="shared" ca="1" si="275"/>
        <v>372.69640097133521</v>
      </c>
      <c r="K621" s="307">
        <f t="shared" ca="1" si="276"/>
        <v>2534.8118315394418</v>
      </c>
      <c r="L621" s="304">
        <f t="shared" ca="1" si="261"/>
        <v>2562.0643295220607</v>
      </c>
      <c r="M621" s="306">
        <f t="shared" ca="1" si="277"/>
        <v>1.2626679108300822</v>
      </c>
      <c r="N621" s="304">
        <f t="shared" ca="1" si="278"/>
        <v>72.345542217164677</v>
      </c>
      <c r="P621" s="310">
        <f t="shared" ca="1" si="279"/>
        <v>23</v>
      </c>
      <c r="Q621" s="304">
        <f t="shared" ca="1" si="280"/>
        <v>0</v>
      </c>
      <c r="R621" s="306">
        <f t="shared" ca="1" si="281"/>
        <v>0</v>
      </c>
      <c r="S621" s="307">
        <f t="shared" ca="1" si="282"/>
        <v>9.137999999999975</v>
      </c>
      <c r="T621" s="304">
        <f t="shared" ca="1" si="262"/>
        <v>89.643779999999765</v>
      </c>
      <c r="U621" s="311">
        <f t="shared" ca="1" si="263"/>
        <v>0</v>
      </c>
      <c r="V621" s="306">
        <f t="shared" ca="1" si="264"/>
        <v>0.94941354142661227</v>
      </c>
      <c r="W621" s="304">
        <f t="shared" ca="1" si="265"/>
        <v>9.9229385140776483</v>
      </c>
      <c r="Y621" s="314" t="str">
        <f t="shared" ca="1" si="283"/>
        <v/>
      </c>
      <c r="Z621" s="315" t="str">
        <f t="shared" ca="1" si="284"/>
        <v/>
      </c>
      <c r="AA621" s="316" t="str">
        <f t="shared" ca="1" si="285"/>
        <v/>
      </c>
      <c r="AC621" s="310" t="e">
        <f t="shared" ca="1" si="286"/>
        <v>#N/A</v>
      </c>
      <c r="AD621" s="323" t="e">
        <f t="shared" ca="1" si="287"/>
        <v>#N/A</v>
      </c>
      <c r="AE621" s="324">
        <f t="shared" ca="1" si="266"/>
        <v>2534.8118315394418</v>
      </c>
      <c r="AG621" s="306">
        <f t="shared" ca="1" si="288"/>
        <v>-10.484828181985179</v>
      </c>
      <c r="AH621" s="304">
        <f t="shared" ca="1" si="289"/>
        <v>-1.1230816699106039</v>
      </c>
    </row>
    <row r="622" spans="1:34" x14ac:dyDescent="0.2">
      <c r="A622" s="347">
        <f t="shared" ca="1" si="267"/>
        <v>0.1</v>
      </c>
      <c r="B622" s="304">
        <f t="shared" ca="1" si="268"/>
        <v>16.799999999999908</v>
      </c>
      <c r="D622" s="306">
        <f t="shared" ca="1" si="269"/>
        <v>-0.32932659558777605</v>
      </c>
      <c r="E622" s="307">
        <f t="shared" ca="1" si="270"/>
        <v>-10.844755563124551</v>
      </c>
      <c r="F622" s="304">
        <f t="shared" ca="1" si="271"/>
        <v>10.849754800477397</v>
      </c>
      <c r="G622" s="306">
        <f t="shared" ca="1" si="272"/>
        <v>19.035835807104682</v>
      </c>
      <c r="H622" s="307">
        <f t="shared" ca="1" si="273"/>
        <v>58.830255039913993</v>
      </c>
      <c r="I622" s="304">
        <f t="shared" ca="1" si="274"/>
        <v>61.833340140545332</v>
      </c>
      <c r="J622" s="306">
        <f t="shared" ca="1" si="275"/>
        <v>374.60163118502362</v>
      </c>
      <c r="K622" s="307">
        <f t="shared" ca="1" si="276"/>
        <v>2540.7490808212488</v>
      </c>
      <c r="L622" s="304">
        <f t="shared" ca="1" si="261"/>
        <v>2568.2157763280911</v>
      </c>
      <c r="M622" s="306">
        <f t="shared" ca="1" si="277"/>
        <v>1.2578563538400429</v>
      </c>
      <c r="N622" s="304">
        <f t="shared" ca="1" si="278"/>
        <v>72.069860308748758</v>
      </c>
      <c r="P622" s="310">
        <f t="shared" ca="1" si="279"/>
        <v>23</v>
      </c>
      <c r="Q622" s="304">
        <f t="shared" ca="1" si="280"/>
        <v>0</v>
      </c>
      <c r="R622" s="306">
        <f t="shared" ca="1" si="281"/>
        <v>0</v>
      </c>
      <c r="S622" s="307">
        <f t="shared" ca="1" si="282"/>
        <v>9.137999999999975</v>
      </c>
      <c r="T622" s="304">
        <f t="shared" ca="1" si="262"/>
        <v>89.643779999999765</v>
      </c>
      <c r="U622" s="311">
        <f t="shared" ca="1" si="263"/>
        <v>0</v>
      </c>
      <c r="V622" s="306">
        <f t="shared" ca="1" si="264"/>
        <v>0.94884079935886212</v>
      </c>
      <c r="W622" s="304">
        <f t="shared" ca="1" si="265"/>
        <v>9.5907742450531988</v>
      </c>
      <c r="Y622" s="314" t="str">
        <f t="shared" ca="1" si="283"/>
        <v/>
      </c>
      <c r="Z622" s="315" t="str">
        <f t="shared" ca="1" si="284"/>
        <v/>
      </c>
      <c r="AA622" s="316" t="str">
        <f t="shared" ca="1" si="285"/>
        <v/>
      </c>
      <c r="AC622" s="310" t="e">
        <f t="shared" ca="1" si="286"/>
        <v>#N/A</v>
      </c>
      <c r="AD622" s="323" t="e">
        <f t="shared" ca="1" si="287"/>
        <v>#N/A</v>
      </c>
      <c r="AE622" s="324">
        <f t="shared" ca="1" si="266"/>
        <v>2540.7490808212488</v>
      </c>
      <c r="AG622" s="306">
        <f t="shared" ca="1" si="288"/>
        <v>-10.433875187954605</v>
      </c>
      <c r="AH622" s="304">
        <f t="shared" ca="1" si="289"/>
        <v>-1.0858982834403235</v>
      </c>
    </row>
    <row r="623" spans="1:34" x14ac:dyDescent="0.2">
      <c r="A623" s="347">
        <f t="shared" ca="1" si="267"/>
        <v>0.1</v>
      </c>
      <c r="B623" s="304">
        <f t="shared" ca="1" si="268"/>
        <v>16.89999999999991</v>
      </c>
      <c r="D623" s="306">
        <f t="shared" ca="1" si="269"/>
        <v>-0.32311101067184794</v>
      </c>
      <c r="E623" s="307">
        <f t="shared" ca="1" si="270"/>
        <v>-10.808574654491117</v>
      </c>
      <c r="F623" s="304">
        <f t="shared" ca="1" si="271"/>
        <v>10.813403108500356</v>
      </c>
      <c r="G623" s="306">
        <f t="shared" ca="1" si="272"/>
        <v>19.003524706037499</v>
      </c>
      <c r="H623" s="307">
        <f t="shared" ca="1" si="273"/>
        <v>57.749397574464879</v>
      </c>
      <c r="I623" s="304">
        <f t="shared" ca="1" si="274"/>
        <v>60.795780046534375</v>
      </c>
      <c r="J623" s="306">
        <f t="shared" ca="1" si="275"/>
        <v>376.5035992106807</v>
      </c>
      <c r="K623" s="307">
        <f t="shared" ca="1" si="276"/>
        <v>2546.5780634519679</v>
      </c>
      <c r="L623" s="304">
        <f t="shared" ca="1" si="261"/>
        <v>2574.2600477561259</v>
      </c>
      <c r="M623" s="306">
        <f t="shared" ca="1" si="277"/>
        <v>1.2528887540325451</v>
      </c>
      <c r="N623" s="304">
        <f t="shared" ca="1" si="278"/>
        <v>71.785237805469137</v>
      </c>
      <c r="P623" s="310">
        <f t="shared" ca="1" si="279"/>
        <v>23</v>
      </c>
      <c r="Q623" s="304">
        <f t="shared" ca="1" si="280"/>
        <v>0</v>
      </c>
      <c r="R623" s="306">
        <f t="shared" ca="1" si="281"/>
        <v>0</v>
      </c>
      <c r="S623" s="307">
        <f t="shared" ca="1" si="282"/>
        <v>9.137999999999975</v>
      </c>
      <c r="T623" s="304">
        <f t="shared" ca="1" si="262"/>
        <v>89.643779999999765</v>
      </c>
      <c r="U623" s="311">
        <f t="shared" ca="1" si="263"/>
        <v>0</v>
      </c>
      <c r="V623" s="306">
        <f t="shared" ca="1" si="264"/>
        <v>0.94827879477325483</v>
      </c>
      <c r="W623" s="304">
        <f t="shared" ca="1" si="265"/>
        <v>9.2661177086046163</v>
      </c>
      <c r="Y623" s="314" t="str">
        <f t="shared" ca="1" si="283"/>
        <v/>
      </c>
      <c r="Z623" s="315" t="str">
        <f t="shared" ca="1" si="284"/>
        <v/>
      </c>
      <c r="AA623" s="316" t="str">
        <f t="shared" ca="1" si="285"/>
        <v/>
      </c>
      <c r="AC623" s="310" t="e">
        <f t="shared" ca="1" si="286"/>
        <v>#N/A</v>
      </c>
      <c r="AD623" s="323" t="e">
        <f t="shared" ca="1" si="287"/>
        <v>#N/A</v>
      </c>
      <c r="AE623" s="324">
        <f t="shared" ca="1" si="266"/>
        <v>2546.5780634519679</v>
      </c>
      <c r="AG623" s="306">
        <f t="shared" ca="1" si="288"/>
        <v>-10.383102226549351</v>
      </c>
      <c r="AH623" s="304">
        <f t="shared" ca="1" si="289"/>
        <v>-1.0495485056963476</v>
      </c>
    </row>
    <row r="624" spans="1:34" x14ac:dyDescent="0.2">
      <c r="A624" s="347">
        <f t="shared" ca="1" si="267"/>
        <v>0.1</v>
      </c>
      <c r="B624" s="304">
        <f t="shared" ca="1" si="268"/>
        <v>16.999999999999911</v>
      </c>
      <c r="D624" s="306">
        <f t="shared" ca="1" si="269"/>
        <v>-0.31696213519474314</v>
      </c>
      <c r="E624" s="307">
        <f t="shared" ca="1" si="270"/>
        <v>-10.773209333245276</v>
      </c>
      <c r="F624" s="304">
        <f t="shared" ca="1" si="271"/>
        <v>10.777871048266922</v>
      </c>
      <c r="G624" s="306">
        <f t="shared" ca="1" si="272"/>
        <v>18.971828492518025</v>
      </c>
      <c r="H624" s="307">
        <f t="shared" ca="1" si="273"/>
        <v>56.67207664114035</v>
      </c>
      <c r="I624" s="304">
        <f t="shared" ca="1" si="274"/>
        <v>59.763321085501971</v>
      </c>
      <c r="J624" s="306">
        <f t="shared" ca="1" si="275"/>
        <v>378.40236687060849</v>
      </c>
      <c r="K624" s="307">
        <f t="shared" ca="1" si="276"/>
        <v>2552.2991371627481</v>
      </c>
      <c r="L624" s="304">
        <f t="shared" ca="1" si="261"/>
        <v>2580.1975189537307</v>
      </c>
      <c r="M624" s="306">
        <f t="shared" ca="1" si="277"/>
        <v>1.2477578142920009</v>
      </c>
      <c r="N624" s="304">
        <f t="shared" ca="1" si="278"/>
        <v>71.491256613400012</v>
      </c>
      <c r="P624" s="310">
        <f t="shared" ca="1" si="279"/>
        <v>23</v>
      </c>
      <c r="Q624" s="304">
        <f t="shared" ca="1" si="280"/>
        <v>0</v>
      </c>
      <c r="R624" s="306">
        <f t="shared" ca="1" si="281"/>
        <v>0</v>
      </c>
      <c r="S624" s="307">
        <f t="shared" ca="1" si="282"/>
        <v>9.137999999999975</v>
      </c>
      <c r="T624" s="304">
        <f t="shared" ca="1" si="262"/>
        <v>89.643779999999765</v>
      </c>
      <c r="U624" s="311">
        <f t="shared" ca="1" si="263"/>
        <v>0</v>
      </c>
      <c r="V624" s="306">
        <f t="shared" ca="1" si="264"/>
        <v>0.9477274767855256</v>
      </c>
      <c r="W624" s="304">
        <f t="shared" ca="1" si="265"/>
        <v>8.9488622399354547</v>
      </c>
      <c r="Y624" s="314" t="str">
        <f t="shared" ca="1" si="283"/>
        <v/>
      </c>
      <c r="Z624" s="315" t="str">
        <f t="shared" ca="1" si="284"/>
        <v/>
      </c>
      <c r="AA624" s="316" t="str">
        <f t="shared" ca="1" si="285"/>
        <v/>
      </c>
      <c r="AC624" s="310">
        <f t="shared" ca="1" si="286"/>
        <v>16.999999999999911</v>
      </c>
      <c r="AD624" s="323">
        <f t="shared" ca="1" si="287"/>
        <v>378.40236687060849</v>
      </c>
      <c r="AE624" s="324">
        <f t="shared" ca="1" si="266"/>
        <v>2552.2991371627481</v>
      </c>
      <c r="AG624" s="306">
        <f t="shared" ca="1" si="288"/>
        <v>-10.332456401163938</v>
      </c>
      <c r="AH624" s="304">
        <f t="shared" ca="1" si="289"/>
        <v>-1.0140203226750537</v>
      </c>
    </row>
    <row r="625" spans="1:34" x14ac:dyDescent="0.2">
      <c r="A625" s="347">
        <f t="shared" ca="1" si="267"/>
        <v>0.1</v>
      </c>
      <c r="B625" s="304">
        <f t="shared" ca="1" si="268"/>
        <v>17.099999999999913</v>
      </c>
      <c r="D625" s="306">
        <f t="shared" ca="1" si="269"/>
        <v>-0.31087882031542247</v>
      </c>
      <c r="E625" s="307">
        <f t="shared" ca="1" si="270"/>
        <v>-10.738647881144987</v>
      </c>
      <c r="F625" s="304">
        <f t="shared" ca="1" si="271"/>
        <v>10.743146836757861</v>
      </c>
      <c r="G625" s="306">
        <f t="shared" ca="1" si="272"/>
        <v>18.940740610486483</v>
      </c>
      <c r="H625" s="307">
        <f t="shared" ca="1" si="273"/>
        <v>55.598211853025852</v>
      </c>
      <c r="I625" s="304">
        <f t="shared" ca="1" si="274"/>
        <v>58.735958459257951</v>
      </c>
      <c r="J625" s="306">
        <f t="shared" ca="1" si="275"/>
        <v>380.29799532575873</v>
      </c>
      <c r="K625" s="307">
        <f t="shared" ca="1" si="276"/>
        <v>2557.9126515874564</v>
      </c>
      <c r="L625" s="304">
        <f t="shared" ca="1" si="261"/>
        <v>2586.0285571508994</v>
      </c>
      <c r="M625" s="306">
        <f t="shared" ca="1" si="277"/>
        <v>1.2424557932304321</v>
      </c>
      <c r="N625" s="304">
        <f t="shared" ca="1" si="278"/>
        <v>71.187473183682641</v>
      </c>
      <c r="P625" s="310">
        <f t="shared" ca="1" si="279"/>
        <v>23</v>
      </c>
      <c r="Q625" s="304">
        <f t="shared" ca="1" si="280"/>
        <v>0</v>
      </c>
      <c r="R625" s="306">
        <f t="shared" ca="1" si="281"/>
        <v>0</v>
      </c>
      <c r="S625" s="307">
        <f t="shared" ca="1" si="282"/>
        <v>9.137999999999975</v>
      </c>
      <c r="T625" s="304">
        <f t="shared" ca="1" si="262"/>
        <v>89.643779999999765</v>
      </c>
      <c r="U625" s="311">
        <f t="shared" ca="1" si="263"/>
        <v>0</v>
      </c>
      <c r="V625" s="306">
        <f t="shared" ca="1" si="264"/>
        <v>0.94718679568527153</v>
      </c>
      <c r="W625" s="304">
        <f t="shared" ca="1" si="265"/>
        <v>8.6389042139080008</v>
      </c>
      <c r="Y625" s="314" t="str">
        <f t="shared" ca="1" si="283"/>
        <v/>
      </c>
      <c r="Z625" s="315" t="str">
        <f t="shared" ca="1" si="284"/>
        <v/>
      </c>
      <c r="AA625" s="316" t="str">
        <f t="shared" ca="1" si="285"/>
        <v/>
      </c>
      <c r="AC625" s="310" t="e">
        <f t="shared" ca="1" si="286"/>
        <v>#N/A</v>
      </c>
      <c r="AD625" s="323" t="e">
        <f t="shared" ca="1" si="287"/>
        <v>#N/A</v>
      </c>
      <c r="AE625" s="324">
        <f t="shared" ca="1" si="266"/>
        <v>2557.9126515874564</v>
      </c>
      <c r="AG625" s="306">
        <f t="shared" ca="1" si="288"/>
        <v>-10.281882001241657</v>
      </c>
      <c r="AH625" s="304">
        <f t="shared" ca="1" si="289"/>
        <v>-0.9793020617132282</v>
      </c>
    </row>
    <row r="626" spans="1:34" x14ac:dyDescent="0.2">
      <c r="A626" s="347">
        <f t="shared" ca="1" si="267"/>
        <v>0.1</v>
      </c>
      <c r="B626" s="304">
        <f t="shared" ca="1" si="268"/>
        <v>17.199999999999914</v>
      </c>
      <c r="D626" s="306">
        <f t="shared" ca="1" si="269"/>
        <v>-0.30485996925569359</v>
      </c>
      <c r="E626" s="307">
        <f t="shared" ca="1" si="270"/>
        <v>-10.704878901768016</v>
      </c>
      <c r="F626" s="304">
        <f t="shared" ca="1" si="271"/>
        <v>10.709219014586104</v>
      </c>
      <c r="G626" s="306">
        <f t="shared" ca="1" si="272"/>
        <v>18.910254613560912</v>
      </c>
      <c r="H626" s="307">
        <f t="shared" ca="1" si="273"/>
        <v>54.527723962849052</v>
      </c>
      <c r="I626" s="304">
        <f t="shared" ca="1" si="274"/>
        <v>57.713693436812413</v>
      </c>
      <c r="J626" s="306">
        <f t="shared" ca="1" si="275"/>
        <v>382.19054508696109</v>
      </c>
      <c r="K626" s="307">
        <f t="shared" ca="1" si="276"/>
        <v>2563.4189483782502</v>
      </c>
      <c r="L626" s="304">
        <f t="shared" ca="1" si="261"/>
        <v>2591.7535217799013</v>
      </c>
      <c r="M626" s="306">
        <f t="shared" ca="1" si="277"/>
        <v>1.2369744725560641</v>
      </c>
      <c r="N626" s="304">
        <f t="shared" ca="1" si="278"/>
        <v>70.873416642883555</v>
      </c>
      <c r="P626" s="310">
        <f t="shared" ca="1" si="279"/>
        <v>23</v>
      </c>
      <c r="Q626" s="304">
        <f t="shared" ca="1" si="280"/>
        <v>0</v>
      </c>
      <c r="R626" s="306">
        <f t="shared" ca="1" si="281"/>
        <v>0</v>
      </c>
      <c r="S626" s="307">
        <f t="shared" ca="1" si="282"/>
        <v>9.137999999999975</v>
      </c>
      <c r="T626" s="304">
        <f t="shared" ca="1" si="262"/>
        <v>89.643779999999765</v>
      </c>
      <c r="U626" s="311">
        <f t="shared" ca="1" si="263"/>
        <v>0</v>
      </c>
      <c r="V626" s="306">
        <f t="shared" ca="1" si="264"/>
        <v>0.94665670291832638</v>
      </c>
      <c r="W626" s="304">
        <f t="shared" ca="1" si="265"/>
        <v>8.3361429683582831</v>
      </c>
      <c r="Y626" s="314" t="str">
        <f t="shared" ca="1" si="283"/>
        <v/>
      </c>
      <c r="Z626" s="315" t="str">
        <f t="shared" ca="1" si="284"/>
        <v/>
      </c>
      <c r="AA626" s="316" t="str">
        <f t="shared" ca="1" si="285"/>
        <v/>
      </c>
      <c r="AC626" s="310" t="e">
        <f t="shared" ca="1" si="286"/>
        <v>#N/A</v>
      </c>
      <c r="AD626" s="323" t="e">
        <f t="shared" ca="1" si="287"/>
        <v>#N/A</v>
      </c>
      <c r="AE626" s="324">
        <f t="shared" ca="1" si="266"/>
        <v>2563.4189483782502</v>
      </c>
      <c r="AG626" s="306">
        <f t="shared" ca="1" si="288"/>
        <v>-10.231320206658802</v>
      </c>
      <c r="AH626" s="304">
        <f t="shared" ca="1" si="289"/>
        <v>-0.94538238278704578</v>
      </c>
    </row>
    <row r="627" spans="1:34" x14ac:dyDescent="0.2">
      <c r="A627" s="347">
        <f t="shared" ca="1" si="267"/>
        <v>0.1</v>
      </c>
      <c r="B627" s="304">
        <f t="shared" ca="1" si="268"/>
        <v>17.299999999999915</v>
      </c>
      <c r="D627" s="306">
        <f t="shared" ca="1" si="269"/>
        <v>-0.29890453810844009</v>
      </c>
      <c r="E627" s="307">
        <f t="shared" ca="1" si="270"/>
        <v>-10.671891311264096</v>
      </c>
      <c r="F627" s="304">
        <f t="shared" ca="1" si="271"/>
        <v>10.676076436703511</v>
      </c>
      <c r="G627" s="306">
        <f t="shared" ca="1" si="272"/>
        <v>18.880364159750069</v>
      </c>
      <c r="H627" s="307">
        <f t="shared" ca="1" si="273"/>
        <v>53.46053483172264</v>
      </c>
      <c r="I627" s="304">
        <f t="shared" ca="1" si="274"/>
        <v>56.696533715021808</v>
      </c>
      <c r="J627" s="306">
        <f t="shared" ca="1" si="275"/>
        <v>384.08007602562662</v>
      </c>
      <c r="K627" s="307">
        <f t="shared" ca="1" si="276"/>
        <v>2568.818361317979</v>
      </c>
      <c r="L627" s="304">
        <f t="shared" ca="1" si="261"/>
        <v>2597.3727645919903</v>
      </c>
      <c r="M627" s="306">
        <f t="shared" ca="1" si="277"/>
        <v>1.2313051217105604</v>
      </c>
      <c r="N627" s="304">
        <f t="shared" ca="1" si="278"/>
        <v>70.548586766857255</v>
      </c>
      <c r="P627" s="310">
        <f t="shared" ca="1" si="279"/>
        <v>23</v>
      </c>
      <c r="Q627" s="304">
        <f t="shared" ca="1" si="280"/>
        <v>0</v>
      </c>
      <c r="R627" s="306">
        <f t="shared" ca="1" si="281"/>
        <v>0</v>
      </c>
      <c r="S627" s="307">
        <f t="shared" ca="1" si="282"/>
        <v>9.137999999999975</v>
      </c>
      <c r="T627" s="304">
        <f t="shared" ca="1" si="262"/>
        <v>89.643779999999765</v>
      </c>
      <c r="U627" s="311">
        <f t="shared" ca="1" si="263"/>
        <v>0</v>
      </c>
      <c r="V627" s="306">
        <f t="shared" ca="1" si="264"/>
        <v>0.9461371510696357</v>
      </c>
      <c r="W627" s="304">
        <f t="shared" ca="1" si="265"/>
        <v>8.0404807301314545</v>
      </c>
      <c r="Y627" s="314" t="str">
        <f t="shared" ca="1" si="283"/>
        <v/>
      </c>
      <c r="Z627" s="315" t="str">
        <f t="shared" ca="1" si="284"/>
        <v/>
      </c>
      <c r="AA627" s="316" t="str">
        <f t="shared" ca="1" si="285"/>
        <v/>
      </c>
      <c r="AC627" s="310" t="e">
        <f t="shared" ca="1" si="286"/>
        <v>#N/A</v>
      </c>
      <c r="AD627" s="323" t="e">
        <f t="shared" ca="1" si="287"/>
        <v>#N/A</v>
      </c>
      <c r="AE627" s="324">
        <f t="shared" ca="1" si="266"/>
        <v>2568.818361317979</v>
      </c>
      <c r="AG627" s="306">
        <f t="shared" ca="1" si="288"/>
        <v>-10.180708762751594</v>
      </c>
      <c r="AH627" s="304">
        <f t="shared" ca="1" si="289"/>
        <v>-0.912250270120191</v>
      </c>
    </row>
    <row r="628" spans="1:34" x14ac:dyDescent="0.2">
      <c r="A628" s="347">
        <f t="shared" ca="1" si="267"/>
        <v>0.1</v>
      </c>
      <c r="B628" s="304">
        <f t="shared" ca="1" si="268"/>
        <v>17.399999999999917</v>
      </c>
      <c r="D628" s="306">
        <f t="shared" ca="1" si="269"/>
        <v>-0.29301153683692688</v>
      </c>
      <c r="E628" s="307">
        <f t="shared" ca="1" si="270"/>
        <v>-10.639674329299297</v>
      </c>
      <c r="F628" s="304">
        <f t="shared" ca="1" si="271"/>
        <v>10.643708263301376</v>
      </c>
      <c r="G628" s="306">
        <f t="shared" ca="1" si="272"/>
        <v>18.851063006066376</v>
      </c>
      <c r="H628" s="307">
        <f t="shared" ca="1" si="273"/>
        <v>52.396567398792712</v>
      </c>
      <c r="I628" s="304">
        <f t="shared" ca="1" si="274"/>
        <v>55.684493816815028</v>
      </c>
      <c r="J628" s="306">
        <f t="shared" ca="1" si="275"/>
        <v>385.96664738391746</v>
      </c>
      <c r="K628" s="307">
        <f t="shared" ca="1" si="276"/>
        <v>2574.1112164295046</v>
      </c>
      <c r="L628" s="304">
        <f t="shared" ca="1" si="261"/>
        <v>2602.8866297710633</v>
      </c>
      <c r="M628" s="306">
        <f t="shared" ca="1" si="277"/>
        <v>1.225438459529782</v>
      </c>
      <c r="N628" s="304">
        <f t="shared" ca="1" si="278"/>
        <v>70.212451784069643</v>
      </c>
      <c r="P628" s="310">
        <f t="shared" ca="1" si="279"/>
        <v>23</v>
      </c>
      <c r="Q628" s="304">
        <f t="shared" ca="1" si="280"/>
        <v>0</v>
      </c>
      <c r="R628" s="306">
        <f t="shared" ca="1" si="281"/>
        <v>0</v>
      </c>
      <c r="S628" s="307">
        <f t="shared" ca="1" si="282"/>
        <v>9.137999999999975</v>
      </c>
      <c r="T628" s="304">
        <f t="shared" ca="1" si="262"/>
        <v>89.643779999999765</v>
      </c>
      <c r="U628" s="311">
        <f t="shared" ca="1" si="263"/>
        <v>0</v>
      </c>
      <c r="V628" s="306">
        <f t="shared" ca="1" si="264"/>
        <v>0.94562809384662094</v>
      </c>
      <c r="W628" s="304">
        <f t="shared" ca="1" si="265"/>
        <v>7.7518225437375943</v>
      </c>
      <c r="Y628" s="314" t="str">
        <f t="shared" ca="1" si="283"/>
        <v/>
      </c>
      <c r="Z628" s="315" t="str">
        <f t="shared" ca="1" si="284"/>
        <v/>
      </c>
      <c r="AA628" s="316" t="str">
        <f t="shared" ca="1" si="285"/>
        <v/>
      </c>
      <c r="AC628" s="310" t="e">
        <f t="shared" ca="1" si="286"/>
        <v>#N/A</v>
      </c>
      <c r="AD628" s="323" t="e">
        <f t="shared" ca="1" si="287"/>
        <v>#N/A</v>
      </c>
      <c r="AE628" s="324">
        <f t="shared" ca="1" si="266"/>
        <v>2574.1112164295046</v>
      </c>
      <c r="AG628" s="306">
        <f t="shared" ca="1" si="288"/>
        <v>-10.129981622598011</v>
      </c>
      <c r="AH628" s="304">
        <f t="shared" ca="1" si="289"/>
        <v>-0.8798950240896779</v>
      </c>
    </row>
    <row r="629" spans="1:34" x14ac:dyDescent="0.2">
      <c r="A629" s="347">
        <f t="shared" ca="1" si="267"/>
        <v>0.1</v>
      </c>
      <c r="B629" s="304">
        <f t="shared" ca="1" si="268"/>
        <v>17.499999999999918</v>
      </c>
      <c r="D629" s="306">
        <f t="shared" ca="1" si="269"/>
        <v>-0.2871800304809809</v>
      </c>
      <c r="E629" s="307">
        <f t="shared" ca="1" si="270"/>
        <v>-10.608217470168222</v>
      </c>
      <c r="F629" s="304">
        <f t="shared" ca="1" si="271"/>
        <v>10.612103950880304</v>
      </c>
      <c r="G629" s="306">
        <f t="shared" ca="1" si="272"/>
        <v>18.822345003018278</v>
      </c>
      <c r="H629" s="307">
        <f t="shared" ca="1" si="273"/>
        <v>51.335745651775888</v>
      </c>
      <c r="I629" s="304">
        <f t="shared" ca="1" si="274"/>
        <v>54.677595530861396</v>
      </c>
      <c r="J629" s="306">
        <f t="shared" ca="1" si="275"/>
        <v>387.85031778437167</v>
      </c>
      <c r="K629" s="307">
        <f t="shared" ca="1" si="276"/>
        <v>2579.297832082033</v>
      </c>
      <c r="L629" s="304">
        <f t="shared" ca="1" si="261"/>
        <v>2608.2954540443675</v>
      </c>
      <c r="M629" s="306">
        <f t="shared" ca="1" si="277"/>
        <v>1.2193646126616413</v>
      </c>
      <c r="N629" s="304">
        <f t="shared" ca="1" si="278"/>
        <v>69.864445993116433</v>
      </c>
      <c r="P629" s="310">
        <f t="shared" ca="1" si="279"/>
        <v>23</v>
      </c>
      <c r="Q629" s="304">
        <f t="shared" ca="1" si="280"/>
        <v>0</v>
      </c>
      <c r="R629" s="306">
        <f t="shared" ca="1" si="281"/>
        <v>0</v>
      </c>
      <c r="S629" s="307">
        <f t="shared" ca="1" si="282"/>
        <v>9.137999999999975</v>
      </c>
      <c r="T629" s="304">
        <f t="shared" ca="1" si="262"/>
        <v>89.643779999999765</v>
      </c>
      <c r="U629" s="311">
        <f t="shared" ca="1" si="263"/>
        <v>0</v>
      </c>
      <c r="V629" s="306">
        <f t="shared" ca="1" si="264"/>
        <v>0.94512948606301816</v>
      </c>
      <c r="W629" s="304">
        <f t="shared" ca="1" si="265"/>
        <v>7.4700762025318648</v>
      </c>
      <c r="Y629" s="314" t="str">
        <f t="shared" ca="1" si="283"/>
        <v/>
      </c>
      <c r="Z629" s="315" t="str">
        <f t="shared" ca="1" si="284"/>
        <v/>
      </c>
      <c r="AA629" s="316" t="str">
        <f t="shared" ca="1" si="285"/>
        <v/>
      </c>
      <c r="AC629" s="310" t="e">
        <f t="shared" ca="1" si="286"/>
        <v>#N/A</v>
      </c>
      <c r="AD629" s="323" t="e">
        <f t="shared" ca="1" si="287"/>
        <v>#N/A</v>
      </c>
      <c r="AE629" s="324">
        <f t="shared" ca="1" si="266"/>
        <v>2579.297832082033</v>
      </c>
      <c r="AG629" s="306">
        <f t="shared" ca="1" si="288"/>
        <v>-10.07906855275967</v>
      </c>
      <c r="AH629" s="304">
        <f t="shared" ca="1" si="289"/>
        <v>-0.84830625341843025</v>
      </c>
    </row>
    <row r="630" spans="1:34" x14ac:dyDescent="0.2">
      <c r="A630" s="347">
        <f t="shared" ca="1" si="267"/>
        <v>0.1</v>
      </c>
      <c r="B630" s="304">
        <f t="shared" ca="1" si="268"/>
        <v>17.59999999999992</v>
      </c>
      <c r="D630" s="306">
        <f t="shared" ca="1" si="269"/>
        <v>-0.28140914058783861</v>
      </c>
      <c r="E630" s="307">
        <f t="shared" ca="1" si="270"/>
        <v>-10.577510534047994</v>
      </c>
      <c r="F630" s="304">
        <f t="shared" ca="1" si="271"/>
        <v>10.581253243463303</v>
      </c>
      <c r="G630" s="306">
        <f t="shared" ca="1" si="272"/>
        <v>18.794204088959493</v>
      </c>
      <c r="H630" s="307">
        <f t="shared" ca="1" si="273"/>
        <v>50.277994598371087</v>
      </c>
      <c r="I630" s="304">
        <f t="shared" ca="1" si="274"/>
        <v>53.675868396992833</v>
      </c>
      <c r="J630" s="306">
        <f t="shared" ca="1" si="275"/>
        <v>389.73114523897056</v>
      </c>
      <c r="K630" s="307">
        <f t="shared" ca="1" si="276"/>
        <v>2584.3785190945405</v>
      </c>
      <c r="L630" s="304">
        <f t="shared" ca="1" si="261"/>
        <v>2613.5995667903239</v>
      </c>
      <c r="M630" s="306">
        <f t="shared" ca="1" si="277"/>
        <v>1.2130730704520571</v>
      </c>
      <c r="N630" s="304">
        <f t="shared" ca="1" si="278"/>
        <v>69.503967177878849</v>
      </c>
      <c r="P630" s="310">
        <f t="shared" ca="1" si="279"/>
        <v>23</v>
      </c>
      <c r="Q630" s="304">
        <f t="shared" ca="1" si="280"/>
        <v>0</v>
      </c>
      <c r="R630" s="306">
        <f t="shared" ca="1" si="281"/>
        <v>0</v>
      </c>
      <c r="S630" s="307">
        <f t="shared" ca="1" si="282"/>
        <v>9.137999999999975</v>
      </c>
      <c r="T630" s="304">
        <f t="shared" ca="1" si="262"/>
        <v>89.643779999999765</v>
      </c>
      <c r="U630" s="311">
        <f t="shared" ca="1" si="263"/>
        <v>0</v>
      </c>
      <c r="V630" s="306">
        <f t="shared" ca="1" si="264"/>
        <v>0.94464128362317756</v>
      </c>
      <c r="W630" s="304">
        <f t="shared" ca="1" si="265"/>
        <v>7.1951521823268854</v>
      </c>
      <c r="Y630" s="314" t="str">
        <f t="shared" ca="1" si="283"/>
        <v/>
      </c>
      <c r="Z630" s="315" t="str">
        <f t="shared" ca="1" si="284"/>
        <v/>
      </c>
      <c r="AA630" s="316" t="str">
        <f t="shared" ca="1" si="285"/>
        <v/>
      </c>
      <c r="AC630" s="310" t="e">
        <f t="shared" ca="1" si="286"/>
        <v>#N/A</v>
      </c>
      <c r="AD630" s="323" t="e">
        <f t="shared" ca="1" si="287"/>
        <v>#N/A</v>
      </c>
      <c r="AE630" s="324">
        <f t="shared" ca="1" si="266"/>
        <v>2584.3785190945405</v>
      </c>
      <c r="AG630" s="306">
        <f t="shared" ca="1" si="288"/>
        <v>-10.027894698232302</v>
      </c>
      <c r="AH630" s="304">
        <f t="shared" ca="1" si="289"/>
        <v>-0.8174738676441109</v>
      </c>
    </row>
    <row r="631" spans="1:34" x14ac:dyDescent="0.2">
      <c r="A631" s="347">
        <f t="shared" ca="1" si="267"/>
        <v>0.1</v>
      </c>
      <c r="B631" s="304">
        <f t="shared" ca="1" si="268"/>
        <v>17.699999999999921</v>
      </c>
      <c r="D631" s="306">
        <f t="shared" ca="1" si="269"/>
        <v>-0.27569804688766264</v>
      </c>
      <c r="E631" s="307">
        <f t="shared" ca="1" si="270"/>
        <v>-10.54754359836617</v>
      </c>
      <c r="F631" s="304">
        <f t="shared" ca="1" si="271"/>
        <v>10.551146163924223</v>
      </c>
      <c r="G631" s="306">
        <f t="shared" ca="1" si="272"/>
        <v>18.766634284270726</v>
      </c>
      <c r="H631" s="307">
        <f t="shared" ca="1" si="273"/>
        <v>49.223240238534473</v>
      </c>
      <c r="I631" s="304">
        <f t="shared" ca="1" si="274"/>
        <v>52.679350242196847</v>
      </c>
      <c r="J631" s="306">
        <f t="shared" ca="1" si="275"/>
        <v>391.60918715763205</v>
      </c>
      <c r="K631" s="307">
        <f t="shared" ca="1" si="276"/>
        <v>2589.3535808363858</v>
      </c>
      <c r="L631" s="304">
        <f t="shared" ca="1" si="261"/>
        <v>2618.7992901435714</v>
      </c>
      <c r="M631" s="306">
        <f t="shared" ca="1" si="277"/>
        <v>1.206552635986309</v>
      </c>
      <c r="N631" s="304">
        <f t="shared" ca="1" si="278"/>
        <v>69.130373802399831</v>
      </c>
      <c r="P631" s="310">
        <f t="shared" ca="1" si="279"/>
        <v>23</v>
      </c>
      <c r="Q631" s="304">
        <f t="shared" ca="1" si="280"/>
        <v>0</v>
      </c>
      <c r="R631" s="306">
        <f t="shared" ca="1" si="281"/>
        <v>0</v>
      </c>
      <c r="S631" s="307">
        <f t="shared" ca="1" si="282"/>
        <v>9.137999999999975</v>
      </c>
      <c r="T631" s="304">
        <f t="shared" ca="1" si="262"/>
        <v>89.643779999999765</v>
      </c>
      <c r="U631" s="311">
        <f t="shared" ca="1" si="263"/>
        <v>0</v>
      </c>
      <c r="V631" s="306">
        <f t="shared" ca="1" si="264"/>
        <v>0.94416344350681269</v>
      </c>
      <c r="W631" s="304">
        <f t="shared" ca="1" si="265"/>
        <v>6.9269635773488938</v>
      </c>
      <c r="Y631" s="314" t="str">
        <f t="shared" ca="1" si="283"/>
        <v/>
      </c>
      <c r="Z631" s="315" t="str">
        <f t="shared" ca="1" si="284"/>
        <v/>
      </c>
      <c r="AA631" s="316" t="str">
        <f t="shared" ca="1" si="285"/>
        <v/>
      </c>
      <c r="AC631" s="310" t="e">
        <f t="shared" ca="1" si="286"/>
        <v>#N/A</v>
      </c>
      <c r="AD631" s="323" t="e">
        <f t="shared" ca="1" si="287"/>
        <v>#N/A</v>
      </c>
      <c r="AE631" s="324">
        <f t="shared" ca="1" si="266"/>
        <v>2589.3535808363858</v>
      </c>
      <c r="AG631" s="306">
        <f t="shared" ca="1" si="288"/>
        <v>-9.9763801018424267</v>
      </c>
      <c r="AH631" s="304">
        <f t="shared" ca="1" si="289"/>
        <v>-0.78738806985411525</v>
      </c>
    </row>
    <row r="632" spans="1:34" x14ac:dyDescent="0.2">
      <c r="A632" s="347">
        <f t="shared" ca="1" si="267"/>
        <v>0.1</v>
      </c>
      <c r="B632" s="304">
        <f t="shared" ca="1" si="268"/>
        <v>17.799999999999923</v>
      </c>
      <c r="D632" s="306">
        <f t="shared" ca="1" si="269"/>
        <v>-0.27004598923622603</v>
      </c>
      <c r="E632" s="307">
        <f t="shared" ca="1" si="270"/>
        <v>-10.518307009252512</v>
      </c>
      <c r="F632" s="304">
        <f t="shared" ca="1" si="271"/>
        <v>10.521773005401375</v>
      </c>
      <c r="G632" s="306">
        <f t="shared" ca="1" si="272"/>
        <v>18.739629685347104</v>
      </c>
      <c r="H632" s="307">
        <f t="shared" ca="1" si="273"/>
        <v>48.171409537609222</v>
      </c>
      <c r="I632" s="304">
        <f t="shared" ca="1" si="274"/>
        <v>51.688087772561396</v>
      </c>
      <c r="J632" s="306">
        <f t="shared" ca="1" si="275"/>
        <v>393.48450035611296</v>
      </c>
      <c r="K632" s="307">
        <f t="shared" ca="1" si="276"/>
        <v>2594.223313325193</v>
      </c>
      <c r="L632" s="304">
        <f t="shared" ca="1" si="261"/>
        <v>2623.8949390973034</v>
      </c>
      <c r="M632" s="306">
        <f t="shared" ca="1" si="277"/>
        <v>1.1997913729485099</v>
      </c>
      <c r="N632" s="304">
        <f t="shared" ca="1" si="278"/>
        <v>68.742981966156151</v>
      </c>
      <c r="P632" s="310">
        <f t="shared" ca="1" si="279"/>
        <v>23</v>
      </c>
      <c r="Q632" s="304">
        <f t="shared" ca="1" si="280"/>
        <v>0</v>
      </c>
      <c r="R632" s="306">
        <f t="shared" ca="1" si="281"/>
        <v>0</v>
      </c>
      <c r="S632" s="307">
        <f t="shared" ca="1" si="282"/>
        <v>9.137999999999975</v>
      </c>
      <c r="T632" s="304">
        <f t="shared" ca="1" si="262"/>
        <v>89.643779999999765</v>
      </c>
      <c r="U632" s="311">
        <f t="shared" ca="1" si="263"/>
        <v>0</v>
      </c>
      <c r="V632" s="306">
        <f t="shared" ca="1" si="264"/>
        <v>0.94369592375417966</v>
      </c>
      <c r="W632" s="304">
        <f t="shared" ca="1" si="265"/>
        <v>6.6654260384524679</v>
      </c>
      <c r="Y632" s="314" t="str">
        <f t="shared" ca="1" si="283"/>
        <v/>
      </c>
      <c r="Z632" s="315" t="str">
        <f t="shared" ca="1" si="284"/>
        <v/>
      </c>
      <c r="AA632" s="316" t="str">
        <f t="shared" ca="1" si="285"/>
        <v/>
      </c>
      <c r="AC632" s="310" t="e">
        <f t="shared" ca="1" si="286"/>
        <v>#N/A</v>
      </c>
      <c r="AD632" s="323" t="e">
        <f t="shared" ca="1" si="287"/>
        <v>#N/A</v>
      </c>
      <c r="AE632" s="324">
        <f t="shared" ca="1" si="266"/>
        <v>2594.223313325193</v>
      </c>
      <c r="AG632" s="306">
        <f t="shared" ca="1" si="288"/>
        <v>-9.9244391727566867</v>
      </c>
      <c r="AH632" s="304">
        <f t="shared" ca="1" si="289"/>
        <v>-0.75803934967705322</v>
      </c>
    </row>
    <row r="633" spans="1:34" x14ac:dyDescent="0.2">
      <c r="A633" s="347">
        <f t="shared" ca="1" si="267"/>
        <v>0.1</v>
      </c>
      <c r="B633" s="304">
        <f t="shared" ca="1" si="268"/>
        <v>17.899999999999924</v>
      </c>
      <c r="D633" s="306">
        <f t="shared" ca="1" si="269"/>
        <v>-0.26445226985002046</v>
      </c>
      <c r="E633" s="307">
        <f t="shared" ca="1" si="270"/>
        <v>-10.489791373041731</v>
      </c>
      <c r="F633" s="304">
        <f t="shared" ca="1" si="271"/>
        <v>10.493124322763434</v>
      </c>
      <c r="G633" s="306">
        <f t="shared" ca="1" si="272"/>
        <v>18.713184458362104</v>
      </c>
      <c r="H633" s="307">
        <f t="shared" ca="1" si="273"/>
        <v>47.122430400305049</v>
      </c>
      <c r="I633" s="304">
        <f t="shared" ca="1" si="274"/>
        <v>50.702137227184799</v>
      </c>
      <c r="J633" s="306">
        <f t="shared" ca="1" si="275"/>
        <v>395.3571410632984</v>
      </c>
      <c r="K633" s="307">
        <f t="shared" ca="1" si="276"/>
        <v>2598.9880053220886</v>
      </c>
      <c r="L633" s="304">
        <f t="shared" ca="1" si="261"/>
        <v>2628.8868216029828</v>
      </c>
      <c r="M633" s="306">
        <f t="shared" ca="1" si="277"/>
        <v>1.1927765479368175</v>
      </c>
      <c r="N633" s="304">
        <f t="shared" ca="1" si="278"/>
        <v>68.341062098963363</v>
      </c>
      <c r="P633" s="310">
        <f t="shared" ca="1" si="279"/>
        <v>23</v>
      </c>
      <c r="Q633" s="304">
        <f t="shared" ca="1" si="280"/>
        <v>0</v>
      </c>
      <c r="R633" s="306">
        <f t="shared" ca="1" si="281"/>
        <v>0</v>
      </c>
      <c r="S633" s="307">
        <f t="shared" ca="1" si="282"/>
        <v>9.137999999999975</v>
      </c>
      <c r="T633" s="304">
        <f t="shared" ca="1" si="262"/>
        <v>89.643779999999765</v>
      </c>
      <c r="U633" s="311">
        <f t="shared" ca="1" si="263"/>
        <v>0</v>
      </c>
      <c r="V633" s="306">
        <f t="shared" ca="1" si="264"/>
        <v>0.94323868345168582</v>
      </c>
      <c r="W633" s="304">
        <f t="shared" ca="1" si="265"/>
        <v>6.4104577135121605</v>
      </c>
      <c r="Y633" s="314" t="str">
        <f t="shared" ca="1" si="283"/>
        <v/>
      </c>
      <c r="Z633" s="315" t="str">
        <f t="shared" ca="1" si="284"/>
        <v/>
      </c>
      <c r="AA633" s="316" t="str">
        <f t="shared" ca="1" si="285"/>
        <v/>
      </c>
      <c r="AC633" s="310" t="e">
        <f t="shared" ca="1" si="286"/>
        <v>#N/A</v>
      </c>
      <c r="AD633" s="323" t="e">
        <f t="shared" ca="1" si="287"/>
        <v>#N/A</v>
      </c>
      <c r="AE633" s="324">
        <f t="shared" ca="1" si="266"/>
        <v>2598.9880053220886</v>
      </c>
      <c r="AG633" s="306">
        <f t="shared" ca="1" si="288"/>
        <v>-9.8719800981336672</v>
      </c>
      <c r="AH633" s="304">
        <f t="shared" ca="1" si="289"/>
        <v>-0.72941847652139269</v>
      </c>
    </row>
    <row r="634" spans="1:34" x14ac:dyDescent="0.2">
      <c r="A634" s="347">
        <f t="shared" ca="1" si="267"/>
        <v>0.1</v>
      </c>
      <c r="B634" s="304">
        <f t="shared" ca="1" si="268"/>
        <v>17.999999999999925</v>
      </c>
      <c r="D634" s="306">
        <f t="shared" ca="1" si="269"/>
        <v>-0.258916255862148</v>
      </c>
      <c r="E634" s="307">
        <f t="shared" ca="1" si="270"/>
        <v>-10.461987547791187</v>
      </c>
      <c r="F634" s="304">
        <f t="shared" ca="1" si="271"/>
        <v>10.46519092409152</v>
      </c>
      <c r="G634" s="306">
        <f t="shared" ca="1" si="272"/>
        <v>18.687292832775888</v>
      </c>
      <c r="H634" s="307">
        <f t="shared" ca="1" si="273"/>
        <v>46.07623164552593</v>
      </c>
      <c r="I634" s="304">
        <f t="shared" ca="1" si="274"/>
        <v>49.72156510076973</v>
      </c>
      <c r="J634" s="306">
        <f t="shared" ca="1" si="275"/>
        <v>397.22716492785531</v>
      </c>
      <c r="K634" s="307">
        <f t="shared" ca="1" si="276"/>
        <v>2603.6479384243803</v>
      </c>
      <c r="L634" s="304">
        <f t="shared" ca="1" si="261"/>
        <v>2633.7752386675193</v>
      </c>
      <c r="M634" s="306">
        <f t="shared" ca="1" si="277"/>
        <v>1.1854945678468987</v>
      </c>
      <c r="N634" s="304">
        <f t="shared" ca="1" si="278"/>
        <v>67.923835373312713</v>
      </c>
      <c r="P634" s="310">
        <f t="shared" ca="1" si="279"/>
        <v>23</v>
      </c>
      <c r="Q634" s="304">
        <f t="shared" ca="1" si="280"/>
        <v>0</v>
      </c>
      <c r="R634" s="306">
        <f t="shared" ca="1" si="281"/>
        <v>0</v>
      </c>
      <c r="S634" s="307">
        <f t="shared" ca="1" si="282"/>
        <v>9.137999999999975</v>
      </c>
      <c r="T634" s="304">
        <f t="shared" ca="1" si="262"/>
        <v>89.643779999999765</v>
      </c>
      <c r="U634" s="311">
        <f t="shared" ca="1" si="263"/>
        <v>0</v>
      </c>
      <c r="V634" s="306">
        <f t="shared" ca="1" si="264"/>
        <v>0.94279168271790115</v>
      </c>
      <c r="W634" s="304">
        <f t="shared" ca="1" si="265"/>
        <v>6.1619791899119178</v>
      </c>
      <c r="Y634" s="314" t="str">
        <f t="shared" ca="1" si="283"/>
        <v/>
      </c>
      <c r="Z634" s="315" t="str">
        <f t="shared" ca="1" si="284"/>
        <v/>
      </c>
      <c r="AA634" s="316" t="str">
        <f t="shared" ca="1" si="285"/>
        <v/>
      </c>
      <c r="AC634" s="310">
        <f t="shared" ca="1" si="286"/>
        <v>17.999999999999925</v>
      </c>
      <c r="AD634" s="323">
        <f t="shared" ca="1" si="287"/>
        <v>397.22716492785531</v>
      </c>
      <c r="AE634" s="324">
        <f t="shared" ca="1" si="266"/>
        <v>2603.6479384243803</v>
      </c>
      <c r="AG634" s="306">
        <f t="shared" ca="1" si="288"/>
        <v>-9.8189041912406871</v>
      </c>
      <c r="AH634" s="304">
        <f t="shared" ca="1" si="289"/>
        <v>-0.70151649305232855</v>
      </c>
    </row>
    <row r="635" spans="1:34" x14ac:dyDescent="0.2">
      <c r="A635" s="347">
        <f t="shared" ca="1" si="267"/>
        <v>0.1</v>
      </c>
      <c r="B635" s="304">
        <f t="shared" ca="1" si="268"/>
        <v>18.099999999999927</v>
      </c>
      <c r="D635" s="306">
        <f t="shared" ca="1" si="269"/>
        <v>-0.2534373822308002</v>
      </c>
      <c r="E635" s="307">
        <f t="shared" ca="1" si="270"/>
        <v>-10.434886634773596</v>
      </c>
      <c r="F635" s="304">
        <f t="shared" ca="1" si="271"/>
        <v>10.437963862137511</v>
      </c>
      <c r="G635" s="306">
        <f t="shared" ca="1" si="272"/>
        <v>18.66194909455281</v>
      </c>
      <c r="H635" s="307">
        <f t="shared" ca="1" si="273"/>
        <v>45.032742982048568</v>
      </c>
      <c r="I635" s="304">
        <f t="shared" ca="1" si="274"/>
        <v>48.74644894240938</v>
      </c>
      <c r="J635" s="306">
        <f t="shared" ca="1" si="275"/>
        <v>399.09462702422172</v>
      </c>
      <c r="K635" s="307">
        <f t="shared" ca="1" si="276"/>
        <v>2608.2033871557592</v>
      </c>
      <c r="L635" s="304">
        <f t="shared" ca="1" si="261"/>
        <v>2638.5604844479835</v>
      </c>
      <c r="M635" s="306">
        <f t="shared" ca="1" si="277"/>
        <v>1.1779309119118497</v>
      </c>
      <c r="N635" s="304">
        <f t="shared" ca="1" si="278"/>
        <v>67.490469810545335</v>
      </c>
      <c r="P635" s="310">
        <f t="shared" ca="1" si="279"/>
        <v>23</v>
      </c>
      <c r="Q635" s="304">
        <f t="shared" ca="1" si="280"/>
        <v>0</v>
      </c>
      <c r="R635" s="306">
        <f t="shared" ca="1" si="281"/>
        <v>0</v>
      </c>
      <c r="S635" s="307">
        <f t="shared" ca="1" si="282"/>
        <v>9.137999999999975</v>
      </c>
      <c r="T635" s="304">
        <f t="shared" ca="1" si="262"/>
        <v>89.643779999999765</v>
      </c>
      <c r="U635" s="311">
        <f t="shared" ca="1" si="263"/>
        <v>0</v>
      </c>
      <c r="V635" s="306">
        <f t="shared" ca="1" si="264"/>
        <v>0.94235488268997236</v>
      </c>
      <c r="W635" s="304">
        <f t="shared" ca="1" si="265"/>
        <v>5.9199134390564563</v>
      </c>
      <c r="Y635" s="314" t="str">
        <f t="shared" ca="1" si="283"/>
        <v/>
      </c>
      <c r="Z635" s="315" t="str">
        <f t="shared" ca="1" si="284"/>
        <v/>
      </c>
      <c r="AA635" s="316" t="str">
        <f t="shared" ca="1" si="285"/>
        <v/>
      </c>
      <c r="AC635" s="310" t="e">
        <f t="shared" ca="1" si="286"/>
        <v>#N/A</v>
      </c>
      <c r="AD635" s="323" t="e">
        <f t="shared" ca="1" si="287"/>
        <v>#N/A</v>
      </c>
      <c r="AE635" s="324">
        <f t="shared" ca="1" si="266"/>
        <v>2608.2033871557592</v>
      </c>
      <c r="AG635" s="306">
        <f t="shared" ca="1" si="288"/>
        <v>-9.7651051685746992</v>
      </c>
      <c r="AH635" s="304">
        <f t="shared" ca="1" si="289"/>
        <v>-0.67432470889822005</v>
      </c>
    </row>
    <row r="636" spans="1:34" x14ac:dyDescent="0.2">
      <c r="A636" s="347">
        <f t="shared" ca="1" si="267"/>
        <v>0.1</v>
      </c>
      <c r="B636" s="304">
        <f t="shared" ca="1" si="268"/>
        <v>18.199999999999928</v>
      </c>
      <c r="D636" s="306">
        <f t="shared" ca="1" si="269"/>
        <v>-0.24801515503598384</v>
      </c>
      <c r="E636" s="307">
        <f t="shared" ca="1" si="270"/>
        <v>-10.408479969900274</v>
      </c>
      <c r="F636" s="304">
        <f t="shared" ca="1" si="271"/>
        <v>10.411434425714006</v>
      </c>
      <c r="G636" s="306">
        <f t="shared" ca="1" si="272"/>
        <v>18.637147579049213</v>
      </c>
      <c r="H636" s="307">
        <f t="shared" ca="1" si="273"/>
        <v>43.991894985058543</v>
      </c>
      <c r="I636" s="304">
        <f t="shared" ca="1" si="274"/>
        <v>47.776878238952357</v>
      </c>
      <c r="J636" s="306">
        <f t="shared" ca="1" si="275"/>
        <v>400.95958185790181</v>
      </c>
      <c r="K636" s="307">
        <f t="shared" ca="1" si="276"/>
        <v>2612.6546190541144</v>
      </c>
      <c r="L636" s="304">
        <f t="shared" ca="1" si="261"/>
        <v>2643.2428463439492</v>
      </c>
      <c r="M636" s="306">
        <f t="shared" ca="1" si="277"/>
        <v>1.1700700579642571</v>
      </c>
      <c r="N636" s="304">
        <f t="shared" ca="1" si="278"/>
        <v>67.040076055979526</v>
      </c>
      <c r="P636" s="310">
        <f t="shared" ca="1" si="279"/>
        <v>23</v>
      </c>
      <c r="Q636" s="304">
        <f t="shared" ca="1" si="280"/>
        <v>0</v>
      </c>
      <c r="R636" s="306">
        <f t="shared" ca="1" si="281"/>
        <v>0</v>
      </c>
      <c r="S636" s="307">
        <f t="shared" ca="1" si="282"/>
        <v>9.137999999999975</v>
      </c>
      <c r="T636" s="304">
        <f t="shared" ca="1" si="262"/>
        <v>89.643779999999765</v>
      </c>
      <c r="U636" s="311">
        <f t="shared" ca="1" si="263"/>
        <v>0</v>
      </c>
      <c r="V636" s="306">
        <f t="shared" ca="1" si="264"/>
        <v>0.94192824551041865</v>
      </c>
      <c r="W636" s="304">
        <f t="shared" ca="1" si="265"/>
        <v>5.6841857628308983</v>
      </c>
      <c r="Y636" s="314" t="str">
        <f t="shared" ca="1" si="283"/>
        <v/>
      </c>
      <c r="Z636" s="315" t="str">
        <f t="shared" ca="1" si="284"/>
        <v/>
      </c>
      <c r="AA636" s="316" t="str">
        <f t="shared" ca="1" si="285"/>
        <v/>
      </c>
      <c r="AC636" s="310" t="e">
        <f t="shared" ca="1" si="286"/>
        <v>#N/A</v>
      </c>
      <c r="AD636" s="323" t="e">
        <f t="shared" ca="1" si="287"/>
        <v>#N/A</v>
      </c>
      <c r="AE636" s="324">
        <f t="shared" ca="1" si="266"/>
        <v>2612.6546190541144</v>
      </c>
      <c r="AG636" s="306">
        <f t="shared" ca="1" si="288"/>
        <v>-9.7104683476638609</v>
      </c>
      <c r="AH636" s="304">
        <f t="shared" ca="1" si="289"/>
        <v>-0.64783469457829634</v>
      </c>
    </row>
    <row r="637" spans="1:34" x14ac:dyDescent="0.2">
      <c r="A637" s="347">
        <f t="shared" ca="1" si="267"/>
        <v>0.1</v>
      </c>
      <c r="B637" s="304">
        <f t="shared" ca="1" si="268"/>
        <v>18.29999999999993</v>
      </c>
      <c r="D637" s="306">
        <f t="shared" ca="1" si="269"/>
        <v>-0.24264915520442462</v>
      </c>
      <c r="E637" s="307">
        <f t="shared" ca="1" si="270"/>
        <v>-10.382759115024983</v>
      </c>
      <c r="F637" s="304">
        <f t="shared" ca="1" si="271"/>
        <v>10.385594130966018</v>
      </c>
      <c r="G637" s="306">
        <f t="shared" ca="1" si="272"/>
        <v>18.612882663528769</v>
      </c>
      <c r="H637" s="307">
        <f t="shared" ca="1" si="273"/>
        <v>42.953619073556048</v>
      </c>
      <c r="I637" s="304">
        <f t="shared" ca="1" si="274"/>
        <v>46.81295539231045</v>
      </c>
      <c r="J637" s="306">
        <f t="shared" ca="1" si="275"/>
        <v>402.82208337003073</v>
      </c>
      <c r="K637" s="307">
        <f t="shared" ca="1" si="276"/>
        <v>2617.0018947570452</v>
      </c>
      <c r="L637" s="304">
        <f t="shared" ca="1" si="261"/>
        <v>2647.8226050875342</v>
      </c>
      <c r="M637" s="306">
        <f t="shared" ca="1" si="277"/>
        <v>1.1618954024668335</v>
      </c>
      <c r="N637" s="304">
        <f t="shared" ca="1" si="278"/>
        <v>66.571702797003738</v>
      </c>
      <c r="P637" s="310">
        <f t="shared" ca="1" si="279"/>
        <v>23</v>
      </c>
      <c r="Q637" s="304">
        <f t="shared" ca="1" si="280"/>
        <v>0</v>
      </c>
      <c r="R637" s="306">
        <f t="shared" ca="1" si="281"/>
        <v>0</v>
      </c>
      <c r="S637" s="307">
        <f t="shared" ca="1" si="282"/>
        <v>9.137999999999975</v>
      </c>
      <c r="T637" s="304">
        <f t="shared" ca="1" si="262"/>
        <v>89.643779999999765</v>
      </c>
      <c r="U637" s="311">
        <f t="shared" ca="1" si="263"/>
        <v>0</v>
      </c>
      <c r="V637" s="306">
        <f t="shared" ca="1" si="264"/>
        <v>0.94151173431430457</v>
      </c>
      <c r="W637" s="304">
        <f t="shared" ca="1" si="265"/>
        <v>5.4547237419376478</v>
      </c>
      <c r="Y637" s="314" t="str">
        <f t="shared" ca="1" si="283"/>
        <v/>
      </c>
      <c r="Z637" s="315" t="str">
        <f t="shared" ca="1" si="284"/>
        <v/>
      </c>
      <c r="AA637" s="316" t="str">
        <f t="shared" ca="1" si="285"/>
        <v/>
      </c>
      <c r="AC637" s="310" t="e">
        <f t="shared" ca="1" si="286"/>
        <v>#N/A</v>
      </c>
      <c r="AD637" s="323" t="e">
        <f t="shared" ca="1" si="287"/>
        <v>#N/A</v>
      </c>
      <c r="AE637" s="324">
        <f t="shared" ca="1" si="266"/>
        <v>2617.0018947570452</v>
      </c>
      <c r="AG637" s="306">
        <f t="shared" ca="1" si="288"/>
        <v>-9.6548697562817125</v>
      </c>
      <c r="AH637" s="304">
        <f t="shared" ca="1" si="289"/>
        <v>-0.62203827564356684</v>
      </c>
    </row>
    <row r="638" spans="1:34" x14ac:dyDescent="0.2">
      <c r="A638" s="347">
        <f t="shared" ca="1" si="267"/>
        <v>0.1</v>
      </c>
      <c r="B638" s="304">
        <f t="shared" ca="1" si="268"/>
        <v>18.399999999999931</v>
      </c>
      <c r="D638" s="306">
        <f t="shared" ca="1" si="269"/>
        <v>-0.23733904270734332</v>
      </c>
      <c r="E638" s="307">
        <f t="shared" ca="1" si="270"/>
        <v>-10.357715849072081</v>
      </c>
      <c r="F638" s="304">
        <f t="shared" ca="1" si="271"/>
        <v>10.360434712468017</v>
      </c>
      <c r="G638" s="306">
        <f t="shared" ca="1" si="272"/>
        <v>18.589148759258034</v>
      </c>
      <c r="H638" s="307">
        <f t="shared" ca="1" si="273"/>
        <v>41.917847488648839</v>
      </c>
      <c r="I638" s="304">
        <f t="shared" ca="1" si="274"/>
        <v>45.854796801157541</v>
      </c>
      <c r="J638" s="306">
        <f t="shared" ca="1" si="275"/>
        <v>404.68218494117008</v>
      </c>
      <c r="K638" s="307">
        <f t="shared" ca="1" si="276"/>
        <v>2621.2454680851556</v>
      </c>
      <c r="L638" s="304">
        <f t="shared" ca="1" si="261"/>
        <v>2652.3000348312266</v>
      </c>
      <c r="M638" s="306">
        <f t="shared" ca="1" si="277"/>
        <v>1.1533891738439974</v>
      </c>
      <c r="N638" s="304">
        <f t="shared" ca="1" si="278"/>
        <v>66.084331797341846</v>
      </c>
      <c r="P638" s="310">
        <f t="shared" ca="1" si="279"/>
        <v>23</v>
      </c>
      <c r="Q638" s="304">
        <f t="shared" ca="1" si="280"/>
        <v>0</v>
      </c>
      <c r="R638" s="306">
        <f t="shared" ca="1" si="281"/>
        <v>0</v>
      </c>
      <c r="S638" s="307">
        <f t="shared" ca="1" si="282"/>
        <v>9.137999999999975</v>
      </c>
      <c r="T638" s="304">
        <f t="shared" ca="1" si="262"/>
        <v>89.643779999999765</v>
      </c>
      <c r="U638" s="311">
        <f t="shared" ca="1" si="263"/>
        <v>0</v>
      </c>
      <c r="V638" s="306">
        <f t="shared" ca="1" si="264"/>
        <v>0.94110531321676849</v>
      </c>
      <c r="W638" s="304">
        <f t="shared" ca="1" si="265"/>
        <v>5.2314571860414532</v>
      </c>
      <c r="Y638" s="314" t="str">
        <f t="shared" ca="1" si="283"/>
        <v/>
      </c>
      <c r="Z638" s="315" t="str">
        <f t="shared" ca="1" si="284"/>
        <v/>
      </c>
      <c r="AA638" s="316" t="str">
        <f t="shared" ca="1" si="285"/>
        <v/>
      </c>
      <c r="AC638" s="310" t="e">
        <f t="shared" ca="1" si="286"/>
        <v>#N/A</v>
      </c>
      <c r="AD638" s="323" t="e">
        <f t="shared" ca="1" si="287"/>
        <v>#N/A</v>
      </c>
      <c r="AE638" s="324">
        <f t="shared" ca="1" si="266"/>
        <v>2621.2454680851556</v>
      </c>
      <c r="AG638" s="306">
        <f t="shared" ca="1" si="288"/>
        <v>-9.5981751427804127</v>
      </c>
      <c r="AH638" s="304">
        <f t="shared" ca="1" si="289"/>
        <v>-0.59692752702316287</v>
      </c>
    </row>
    <row r="639" spans="1:34" x14ac:dyDescent="0.2">
      <c r="A639" s="347">
        <f t="shared" ca="1" si="267"/>
        <v>0.1</v>
      </c>
      <c r="B639" s="304">
        <f t="shared" ca="1" si="268"/>
        <v>18.499999999999932</v>
      </c>
      <c r="D639" s="306">
        <f t="shared" ca="1" si="269"/>
        <v>-0.2320845612810587</v>
      </c>
      <c r="E639" s="307">
        <f t="shared" ca="1" si="270"/>
        <v>-10.33334215892507</v>
      </c>
      <c r="F639" s="304">
        <f t="shared" ca="1" si="271"/>
        <v>10.335948114082388</v>
      </c>
      <c r="G639" s="306">
        <f t="shared" ca="1" si="272"/>
        <v>18.565940303129928</v>
      </c>
      <c r="H639" s="307">
        <f t="shared" ca="1" si="273"/>
        <v>40.88451327275633</v>
      </c>
      <c r="I639" s="304">
        <f t="shared" ca="1" si="274"/>
        <v>44.902534058665026</v>
      </c>
      <c r="J639" s="306">
        <f t="shared" ca="1" si="275"/>
        <v>406.53993939428949</v>
      </c>
      <c r="K639" s="307">
        <f t="shared" ca="1" si="276"/>
        <v>2625.3855861232259</v>
      </c>
      <c r="L639" s="304">
        <f t="shared" ca="1" si="261"/>
        <v>2656.6754032335803</v>
      </c>
      <c r="M639" s="306">
        <f t="shared" ca="1" si="277"/>
        <v>1.1445323386404602</v>
      </c>
      <c r="N639" s="304">
        <f t="shared" ca="1" si="278"/>
        <v>65.576872520336281</v>
      </c>
      <c r="P639" s="310">
        <f t="shared" ca="1" si="279"/>
        <v>23</v>
      </c>
      <c r="Q639" s="304">
        <f t="shared" ca="1" si="280"/>
        <v>0</v>
      </c>
      <c r="R639" s="306">
        <f t="shared" ca="1" si="281"/>
        <v>0</v>
      </c>
      <c r="S639" s="307">
        <f t="shared" ca="1" si="282"/>
        <v>9.137999999999975</v>
      </c>
      <c r="T639" s="304">
        <f t="shared" ca="1" si="262"/>
        <v>89.643779999999765</v>
      </c>
      <c r="U639" s="311">
        <f t="shared" ca="1" si="263"/>
        <v>0</v>
      </c>
      <c r="V639" s="306">
        <f t="shared" ca="1" si="264"/>
        <v>0.94070894730090504</v>
      </c>
      <c r="W639" s="304">
        <f t="shared" ca="1" si="265"/>
        <v>5.0143180856556508</v>
      </c>
      <c r="Y639" s="314" t="str">
        <f t="shared" ca="1" si="283"/>
        <v/>
      </c>
      <c r="Z639" s="315" t="str">
        <f t="shared" ca="1" si="284"/>
        <v/>
      </c>
      <c r="AA639" s="316" t="str">
        <f t="shared" ca="1" si="285"/>
        <v/>
      </c>
      <c r="AC639" s="310" t="e">
        <f t="shared" ca="1" si="286"/>
        <v>#N/A</v>
      </c>
      <c r="AD639" s="323" t="e">
        <f t="shared" ca="1" si="287"/>
        <v>#N/A</v>
      </c>
      <c r="AE639" s="324">
        <f t="shared" ca="1" si="266"/>
        <v>2625.3855861232259</v>
      </c>
      <c r="AG639" s="306">
        <f t="shared" ca="1" si="288"/>
        <v>-9.5402388761470647</v>
      </c>
      <c r="AH639" s="304">
        <f t="shared" ca="1" si="289"/>
        <v>-0.57249476756855633</v>
      </c>
    </row>
    <row r="640" spans="1:34" x14ac:dyDescent="0.2">
      <c r="A640" s="347">
        <f t="shared" ca="1" si="267"/>
        <v>0.1</v>
      </c>
      <c r="B640" s="304">
        <f t="shared" ca="1" si="268"/>
        <v>18.599999999999934</v>
      </c>
      <c r="D640" s="306">
        <f t="shared" ca="1" si="269"/>
        <v>-0.22688554372618855</v>
      </c>
      <c r="E640" s="307">
        <f t="shared" ca="1" si="270"/>
        <v>-10.309630230002737</v>
      </c>
      <c r="F640" s="304">
        <f t="shared" ca="1" si="271"/>
        <v>10.312126479506457</v>
      </c>
      <c r="G640" s="306">
        <f t="shared" ca="1" si="272"/>
        <v>18.54325174875731</v>
      </c>
      <c r="H640" s="307">
        <f t="shared" ca="1" si="273"/>
        <v>39.853550249756054</v>
      </c>
      <c r="I640" s="304">
        <f t="shared" ca="1" si="274"/>
        <v>43.956315279236293</v>
      </c>
      <c r="J640" s="306">
        <f t="shared" ca="1" si="275"/>
        <v>408.39539899688384</v>
      </c>
      <c r="K640" s="307">
        <f t="shared" ca="1" si="276"/>
        <v>2629.4224892993516</v>
      </c>
      <c r="L640" s="304">
        <f t="shared" ca="1" si="261"/>
        <v>2660.9489715428635</v>
      </c>
      <c r="M640" s="306">
        <f t="shared" ca="1" si="277"/>
        <v>1.1353045000377753</v>
      </c>
      <c r="N640" s="304">
        <f t="shared" ca="1" si="278"/>
        <v>65.048156314374538</v>
      </c>
      <c r="P640" s="310">
        <f t="shared" ca="1" si="279"/>
        <v>23</v>
      </c>
      <c r="Q640" s="304">
        <f t="shared" ca="1" si="280"/>
        <v>0</v>
      </c>
      <c r="R640" s="306">
        <f t="shared" ca="1" si="281"/>
        <v>0</v>
      </c>
      <c r="S640" s="307">
        <f t="shared" ca="1" si="282"/>
        <v>9.137999999999975</v>
      </c>
      <c r="T640" s="304">
        <f t="shared" ca="1" si="262"/>
        <v>89.643779999999765</v>
      </c>
      <c r="U640" s="311">
        <f t="shared" ca="1" si="263"/>
        <v>0</v>
      </c>
      <c r="V640" s="306">
        <f t="shared" ca="1" si="264"/>
        <v>0.94032260260598166</v>
      </c>
      <c r="W640" s="304">
        <f t="shared" ca="1" si="265"/>
        <v>4.8032405657040869</v>
      </c>
      <c r="Y640" s="314" t="str">
        <f t="shared" ca="1" si="283"/>
        <v/>
      </c>
      <c r="Z640" s="315" t="str">
        <f t="shared" ca="1" si="284"/>
        <v/>
      </c>
      <c r="AA640" s="316" t="str">
        <f t="shared" ca="1" si="285"/>
        <v/>
      </c>
      <c r="AC640" s="310" t="e">
        <f t="shared" ca="1" si="286"/>
        <v>#N/A</v>
      </c>
      <c r="AD640" s="323" t="e">
        <f t="shared" ca="1" si="287"/>
        <v>#N/A</v>
      </c>
      <c r="AE640" s="324">
        <f t="shared" ca="1" si="266"/>
        <v>2629.4224892993516</v>
      </c>
      <c r="AG640" s="306">
        <f t="shared" ca="1" si="288"/>
        <v>-9.4809027232187617</v>
      </c>
      <c r="AH640" s="304">
        <f t="shared" ca="1" si="289"/>
        <v>-0.54873255478831962</v>
      </c>
    </row>
    <row r="641" spans="1:34" x14ac:dyDescent="0.2">
      <c r="A641" s="347">
        <f t="shared" ca="1" si="267"/>
        <v>0.1</v>
      </c>
      <c r="B641" s="304">
        <f t="shared" ca="1" si="268"/>
        <v>18.699999999999935</v>
      </c>
      <c r="D641" s="306">
        <f t="shared" ca="1" si="269"/>
        <v>-0.22174191784759664</v>
      </c>
      <c r="E641" s="307">
        <f t="shared" ca="1" si="270"/>
        <v>-10.28657243643951</v>
      </c>
      <c r="F641" s="304">
        <f t="shared" ca="1" si="271"/>
        <v>10.288962142424658</v>
      </c>
      <c r="G641" s="306">
        <f t="shared" ca="1" si="272"/>
        <v>18.52107755697255</v>
      </c>
      <c r="H641" s="307">
        <f t="shared" ca="1" si="273"/>
        <v>38.824893006112106</v>
      </c>
      <c r="I641" s="304">
        <f t="shared" ca="1" si="274"/>
        <v>43.016306568642605</v>
      </c>
      <c r="J641" s="306">
        <f t="shared" ca="1" si="275"/>
        <v>410.24861546217033</v>
      </c>
      <c r="K641" s="307">
        <f t="shared" ca="1" si="276"/>
        <v>2633.3564114621449</v>
      </c>
      <c r="L641" s="304">
        <f t="shared" ca="1" si="261"/>
        <v>2665.120994678743</v>
      </c>
      <c r="M641" s="306">
        <f t="shared" ca="1" si="277"/>
        <v>1.1256837882803623</v>
      </c>
      <c r="N641" s="304">
        <f t="shared" ca="1" si="278"/>
        <v>64.496930134762877</v>
      </c>
      <c r="P641" s="310">
        <f t="shared" ca="1" si="279"/>
        <v>23</v>
      </c>
      <c r="Q641" s="304">
        <f t="shared" ca="1" si="280"/>
        <v>0</v>
      </c>
      <c r="R641" s="306">
        <f t="shared" ca="1" si="281"/>
        <v>0</v>
      </c>
      <c r="S641" s="307">
        <f t="shared" ca="1" si="282"/>
        <v>9.137999999999975</v>
      </c>
      <c r="T641" s="304">
        <f t="shared" ca="1" si="262"/>
        <v>89.643779999999765</v>
      </c>
      <c r="U641" s="311">
        <f t="shared" ca="1" si="263"/>
        <v>0</v>
      </c>
      <c r="V641" s="306">
        <f t="shared" ca="1" si="264"/>
        <v>0.93994624611597932</v>
      </c>
      <c r="W641" s="304">
        <f t="shared" ca="1" si="265"/>
        <v>4.5981608406948711</v>
      </c>
      <c r="Y641" s="314" t="str">
        <f t="shared" ca="1" si="283"/>
        <v/>
      </c>
      <c r="Z641" s="315" t="str">
        <f t="shared" ca="1" si="284"/>
        <v/>
      </c>
      <c r="AA641" s="316" t="str">
        <f t="shared" ca="1" si="285"/>
        <v/>
      </c>
      <c r="AC641" s="310" t="e">
        <f t="shared" ca="1" si="286"/>
        <v>#N/A</v>
      </c>
      <c r="AD641" s="323" t="e">
        <f t="shared" ca="1" si="287"/>
        <v>#N/A</v>
      </c>
      <c r="AE641" s="324">
        <f t="shared" ca="1" si="266"/>
        <v>2633.3564114621449</v>
      </c>
      <c r="AG641" s="306">
        <f t="shared" ca="1" si="288"/>
        <v>-9.4199944892763092</v>
      </c>
      <c r="AH641" s="304">
        <f t="shared" ca="1" si="289"/>
        <v>-0.52563367976626174</v>
      </c>
    </row>
    <row r="642" spans="1:34" x14ac:dyDescent="0.2">
      <c r="A642" s="347">
        <f t="shared" ca="1" si="267"/>
        <v>0.1</v>
      </c>
      <c r="B642" s="304">
        <f t="shared" ca="1" si="268"/>
        <v>18.799999999999937</v>
      </c>
      <c r="D642" s="306">
        <f t="shared" ca="1" si="269"/>
        <v>-0.21665371310421458</v>
      </c>
      <c r="E642" s="307">
        <f t="shared" ca="1" si="270"/>
        <v>-10.264161330774266</v>
      </c>
      <c r="F642" s="304">
        <f t="shared" ca="1" si="271"/>
        <v>10.266447616170044</v>
      </c>
      <c r="G642" s="306">
        <f t="shared" ca="1" si="272"/>
        <v>18.499412185662127</v>
      </c>
      <c r="H642" s="307">
        <f t="shared" ca="1" si="273"/>
        <v>37.79847687303468</v>
      </c>
      <c r="I642" s="304">
        <f t="shared" ca="1" si="274"/>
        <v>42.082693653524153</v>
      </c>
      <c r="J642" s="306">
        <f t="shared" ca="1" si="275"/>
        <v>412.09963994930206</v>
      </c>
      <c r="K642" s="307">
        <f t="shared" ca="1" si="276"/>
        <v>2637.1875799561021</v>
      </c>
      <c r="L642" s="304">
        <f t="shared" ca="1" si="261"/>
        <v>2669.1917213121028</v>
      </c>
      <c r="M642" s="306">
        <f t="shared" ca="1" si="277"/>
        <v>1.1156467426046279</v>
      </c>
      <c r="N642" s="304">
        <f t="shared" ca="1" si="278"/>
        <v>63.921849778763267</v>
      </c>
      <c r="P642" s="310">
        <f t="shared" ca="1" si="279"/>
        <v>23</v>
      </c>
      <c r="Q642" s="304">
        <f t="shared" ca="1" si="280"/>
        <v>0</v>
      </c>
      <c r="R642" s="306">
        <f t="shared" ca="1" si="281"/>
        <v>0</v>
      </c>
      <c r="S642" s="307">
        <f t="shared" ca="1" si="282"/>
        <v>9.137999999999975</v>
      </c>
      <c r="T642" s="304">
        <f t="shared" ca="1" si="262"/>
        <v>89.643779999999765</v>
      </c>
      <c r="U642" s="311">
        <f t="shared" ca="1" si="263"/>
        <v>0</v>
      </c>
      <c r="V642" s="306">
        <f t="shared" ca="1" si="264"/>
        <v>0.93957984574844533</v>
      </c>
      <c r="W642" s="304">
        <f t="shared" ca="1" si="265"/>
        <v>4.399017171443063</v>
      </c>
      <c r="Y642" s="314" t="str">
        <f t="shared" ca="1" si="283"/>
        <v/>
      </c>
      <c r="Z642" s="315" t="str">
        <f t="shared" ca="1" si="284"/>
        <v/>
      </c>
      <c r="AA642" s="316" t="str">
        <f t="shared" ca="1" si="285"/>
        <v/>
      </c>
      <c r="AC642" s="310" t="e">
        <f t="shared" ca="1" si="286"/>
        <v>#N/A</v>
      </c>
      <c r="AD642" s="323" t="e">
        <f t="shared" ca="1" si="287"/>
        <v>#N/A</v>
      </c>
      <c r="AE642" s="324">
        <f t="shared" ca="1" si="266"/>
        <v>2637.1875799561021</v>
      </c>
      <c r="AG642" s="306">
        <f t="shared" ca="1" si="288"/>
        <v>-9.3573265070045508</v>
      </c>
      <c r="AH642" s="304">
        <f t="shared" ca="1" si="289"/>
        <v>-0.5031911622559514</v>
      </c>
    </row>
    <row r="643" spans="1:34" x14ac:dyDescent="0.2">
      <c r="A643" s="347">
        <f t="shared" ca="1" si="267"/>
        <v>0.1</v>
      </c>
      <c r="B643" s="304">
        <f t="shared" ca="1" si="268"/>
        <v>18.899999999999938</v>
      </c>
      <c r="D643" s="306">
        <f t="shared" ca="1" si="269"/>
        <v>-0.21162106804541003</v>
      </c>
      <c r="E643" s="307">
        <f t="shared" ca="1" si="270"/>
        <v>-10.242389633037146</v>
      </c>
      <c r="F643" s="304">
        <f t="shared" ca="1" si="271"/>
        <v>10.244575582784652</v>
      </c>
      <c r="G643" s="306">
        <f t="shared" ca="1" si="272"/>
        <v>18.478250078857585</v>
      </c>
      <c r="H643" s="307">
        <f t="shared" ca="1" si="273"/>
        <v>36.774237909730964</v>
      </c>
      <c r="I643" s="304">
        <f t="shared" ca="1" si="274"/>
        <v>41.155683687897763</v>
      </c>
      <c r="J643" s="306">
        <f t="shared" ca="1" si="275"/>
        <v>413.94852306252807</v>
      </c>
      <c r="K643" s="307">
        <f t="shared" ca="1" si="276"/>
        <v>2640.9162156952402</v>
      </c>
      <c r="L643" s="304">
        <f t="shared" ca="1" si="261"/>
        <v>2673.1613939430813</v>
      </c>
      <c r="M643" s="306">
        <f t="shared" ca="1" si="277"/>
        <v>1.1051681843360508</v>
      </c>
      <c r="N643" s="304">
        <f t="shared" ca="1" si="278"/>
        <v>63.32147261459189</v>
      </c>
      <c r="P643" s="310">
        <f t="shared" ca="1" si="279"/>
        <v>23</v>
      </c>
      <c r="Q643" s="304">
        <f t="shared" ca="1" si="280"/>
        <v>0</v>
      </c>
      <c r="R643" s="306">
        <f t="shared" ca="1" si="281"/>
        <v>0</v>
      </c>
      <c r="S643" s="307">
        <f t="shared" ca="1" si="282"/>
        <v>9.137999999999975</v>
      </c>
      <c r="T643" s="304">
        <f t="shared" ca="1" si="262"/>
        <v>89.643779999999765</v>
      </c>
      <c r="U643" s="311">
        <f t="shared" ca="1" si="263"/>
        <v>0</v>
      </c>
      <c r="V643" s="306">
        <f t="shared" ca="1" si="264"/>
        <v>0.93922337034364345</v>
      </c>
      <c r="W643" s="304">
        <f t="shared" ca="1" si="265"/>
        <v>4.2057498232803825</v>
      </c>
      <c r="Y643" s="314" t="str">
        <f t="shared" ca="1" si="283"/>
        <v/>
      </c>
      <c r="Z643" s="315" t="str">
        <f t="shared" ca="1" si="284"/>
        <v/>
      </c>
      <c r="AA643" s="316" t="str">
        <f t="shared" ca="1" si="285"/>
        <v/>
      </c>
      <c r="AC643" s="310" t="e">
        <f t="shared" ca="1" si="286"/>
        <v>#N/A</v>
      </c>
      <c r="AD643" s="323" t="e">
        <f t="shared" ca="1" si="287"/>
        <v>#N/A</v>
      </c>
      <c r="AE643" s="324">
        <f t="shared" ca="1" si="266"/>
        <v>2640.9162156952402</v>
      </c>
      <c r="AG643" s="306">
        <f t="shared" ca="1" si="288"/>
        <v>-9.2926939576064402</v>
      </c>
      <c r="AH643" s="304">
        <f t="shared" ca="1" si="289"/>
        <v>-0.48139824594474451</v>
      </c>
    </row>
    <row r="644" spans="1:34" x14ac:dyDescent="0.2">
      <c r="A644" s="347">
        <f t="shared" ca="1" si="267"/>
        <v>0.1</v>
      </c>
      <c r="B644" s="304">
        <f t="shared" ca="1" si="268"/>
        <v>18.99999999999994</v>
      </c>
      <c r="D644" s="306">
        <f t="shared" ca="1" si="269"/>
        <v>-0.20664423861868828</v>
      </c>
      <c r="E644" s="307">
        <f t="shared" ca="1" si="270"/>
        <v>-10.221250219106716</v>
      </c>
      <c r="F644" s="304">
        <f t="shared" ca="1" si="271"/>
        <v>10.223338881351014</v>
      </c>
      <c r="G644" s="306">
        <f t="shared" ca="1" si="272"/>
        <v>18.457585654995714</v>
      </c>
      <c r="H644" s="307">
        <f t="shared" ca="1" si="273"/>
        <v>35.752112887820289</v>
      </c>
      <c r="I644" s="304">
        <f t="shared" ca="1" si="274"/>
        <v>40.235507256090976</v>
      </c>
      <c r="J644" s="306">
        <f t="shared" ca="1" si="275"/>
        <v>415.79531484922074</v>
      </c>
      <c r="K644" s="307">
        <f t="shared" ca="1" si="276"/>
        <v>2644.5425332351178</v>
      </c>
      <c r="L644" s="304">
        <f t="shared" ref="L644:L707" ca="1" si="290">SQRT(pos_x^2+pos_z^2)</f>
        <v>2677.0302489774331</v>
      </c>
      <c r="M644" s="306">
        <f t="shared" ca="1" si="277"/>
        <v>1.0942210809293429</v>
      </c>
      <c r="N644" s="304">
        <f t="shared" ca="1" si="278"/>
        <v>62.694249791494236</v>
      </c>
      <c r="P644" s="310">
        <f t="shared" ca="1" si="279"/>
        <v>23</v>
      </c>
      <c r="Q644" s="304">
        <f t="shared" ca="1" si="280"/>
        <v>0</v>
      </c>
      <c r="R644" s="306">
        <f t="shared" ca="1" si="281"/>
        <v>0</v>
      </c>
      <c r="S644" s="307">
        <f t="shared" ca="1" si="282"/>
        <v>9.137999999999975</v>
      </c>
      <c r="T644" s="304">
        <f t="shared" ref="T644:T707" ca="1" si="291">m*g</f>
        <v>89.643779999999765</v>
      </c>
      <c r="U644" s="311">
        <f t="shared" ref="U644:U707" ca="1" si="292">IF(pos_xz&lt;L_rampe,Poids*COS(Beta),0)</f>
        <v>0</v>
      </c>
      <c r="V644" s="306">
        <f t="shared" ref="V644:V707" ca="1" si="293">Rho_moyen*(20000-Alt_rampe-pos_z)/(20000+Alt_rampe+pos_z)</f>
        <v>0.93887678965398824</v>
      </c>
      <c r="W644" s="304">
        <f t="shared" ref="W644:W707" ca="1" si="294">1/2*Rho*Sref*Cx*vit_xz^2</f>
        <v>4.0183010256905485</v>
      </c>
      <c r="Y644" s="314" t="str">
        <f t="shared" ca="1" si="283"/>
        <v/>
      </c>
      <c r="Z644" s="315" t="str">
        <f t="shared" ca="1" si="284"/>
        <v/>
      </c>
      <c r="AA644" s="316" t="str">
        <f t="shared" ca="1" si="285"/>
        <v/>
      </c>
      <c r="AC644" s="310">
        <f t="shared" ca="1" si="286"/>
        <v>18.99999999999994</v>
      </c>
      <c r="AD644" s="323">
        <f t="shared" ca="1" si="287"/>
        <v>415.79531484922074</v>
      </c>
      <c r="AE644" s="324">
        <f t="shared" ref="AE644:AE707" ca="1" si="295">IF(t&lt;T_para, pos_z, NA())</f>
        <v>2644.5425332351178</v>
      </c>
      <c r="AG644" s="306">
        <f t="shared" ca="1" si="288"/>
        <v>-9.2258730067586043</v>
      </c>
      <c r="AH644" s="304">
        <f t="shared" ca="1" si="289"/>
        <v>-0.46024839388054212</v>
      </c>
    </row>
    <row r="645" spans="1:34" x14ac:dyDescent="0.2">
      <c r="A645" s="347">
        <f t="shared" ref="A645:A708" ca="1" si="296">IF(B644+0.01&lt;=T_ini+ROUNDUP(Temps_fin_propu,0), 0.01, IF(K644&gt;0, 0.1, 0.0001))</f>
        <v>0.1</v>
      </c>
      <c r="B645" s="304">
        <f t="shared" ref="B645:B708" ca="1" si="297">B644+pas</f>
        <v>19.099999999999941</v>
      </c>
      <c r="D645" s="306">
        <f t="shared" ref="D645:D708" ca="1" si="298">IF(AND(L644&lt;L_rampe,Poussee&lt;Poids*SIN(M644)),0,(-W644+Poussee)/m*COS(M644)-U644/m*SIN(M644))</f>
        <v>-0.20172360744208584</v>
      </c>
      <c r="E645" s="307">
        <f t="shared" ref="E645:E708" ca="1" si="299">IF(AND(L644&lt;L_rampe,Poussee&lt;Poids*SIN(M644)),0,(-W644+Poussee)/m*SIN(M644)+U644/m*COS(M644)-Poids/m)</f>
        <v>-10.200736108189524</v>
      </c>
      <c r="F645" s="304">
        <f t="shared" ref="F645:F708" ca="1" si="300">SQRT(acc_x^2+acc_z^2)</f>
        <v>10.202730495446843</v>
      </c>
      <c r="G645" s="306">
        <f t="shared" ref="G645:G708" ca="1" si="301">G644+acc_x*pas</f>
        <v>18.437413294251506</v>
      </c>
      <c r="H645" s="307">
        <f t="shared" ref="H645:H708" ca="1" si="302">H644+acc_z*pas</f>
        <v>34.732039277001334</v>
      </c>
      <c r="I645" s="304">
        <f t="shared" ref="I645:I708" ca="1" si="303">SQRT(vit_x^2+vit_z^2)</f>
        <v>39.322420593374027</v>
      </c>
      <c r="J645" s="306">
        <f t="shared" ref="J645:J708" ca="1" si="304">J644+0.5*(vit_x+G644)*pas*(K644&gt;=0)</f>
        <v>417.64006479668308</v>
      </c>
      <c r="K645" s="307">
        <f t="shared" ref="K645:K708" ca="1" si="305">K644+0.5*(vit_z+H644)*pas</f>
        <v>2648.0667408433587</v>
      </c>
      <c r="L645" s="304">
        <f t="shared" ca="1" si="290"/>
        <v>2680.7985168013179</v>
      </c>
      <c r="M645" s="306">
        <f t="shared" ref="M645:M708" ca="1" si="306">IF(AND(L644&gt;L_rampe,G645&gt;0),ATAN2(G645,H645),$M$4)</f>
        <v>1.0827764008886214</v>
      </c>
      <c r="N645" s="304">
        <f t="shared" ref="N645:N708" ca="1" si="307">DEGREES(Beta)</f>
        <v>62.038517927283287</v>
      </c>
      <c r="P645" s="310">
        <f t="shared" ref="P645:P708" ca="1" si="308">MATCH(t-pas/2-T_ini,CdP_t)</f>
        <v>23</v>
      </c>
      <c r="Q645" s="304">
        <f t="shared" ref="Q645:Q708" ca="1" si="309">(INDEX(CdP,2,i_P+1)-INDEX(CdP,2,i_P+0))/(INDEX(CdP,1,i_P+1)-INDEX(CdP,1,i_P+0))*(t-pas/2-T_ini-INDEX(CdP,1,i_P+0))+INDEX(CdP,2,i_P+0)</f>
        <v>0</v>
      </c>
      <c r="R645" s="306">
        <f t="shared" ref="R645:R708" ca="1" si="310">Poussee/(g*ISP)</f>
        <v>0</v>
      </c>
      <c r="S645" s="307">
        <f t="shared" ref="S645:S708" ca="1" si="311">S644-Débit*pas</f>
        <v>9.137999999999975</v>
      </c>
      <c r="T645" s="304">
        <f t="shared" ca="1" si="291"/>
        <v>89.643779999999765</v>
      </c>
      <c r="U645" s="311">
        <f t="shared" ca="1" si="292"/>
        <v>0</v>
      </c>
      <c r="V645" s="306">
        <f t="shared" ca="1" si="293"/>
        <v>0.93854007433375142</v>
      </c>
      <c r="W645" s="304">
        <f t="shared" ca="1" si="294"/>
        <v>3.8366149333090331</v>
      </c>
      <c r="Y645" s="314" t="str">
        <f t="shared" ref="Y645:Y708" ca="1" si="312">IF(AND(pos_z&lt;=0,K644&gt;0),"Impact balistique","") &amp; IF(AND(H646&lt;0,vit_z&gt;=0),"Apogée","") &amp; IF(AND(Poussee=0,Q644&gt;0),"Fin de propulsion","") &amp; IF(AND(L646&gt;L_rampe,pos_xz&lt;=L_rampe),"Sortie de rampe","")</f>
        <v/>
      </c>
      <c r="Z645" s="315" t="str">
        <f t="shared" ref="Z645:Z708" ca="1" si="313">IF(ABS(t-T_para)&lt;pas/2,"Para","")</f>
        <v/>
      </c>
      <c r="AA645" s="316" t="str">
        <f t="shared" ref="AA645:AA708" ca="1" si="314">IF(ABS(t-T_satellite)&lt;pas/2,"Satellite","")</f>
        <v/>
      </c>
      <c r="AC645" s="310" t="e">
        <f t="shared" ref="AC645:AC708" ca="1" si="315">IF(ABS(t-ROUND(t,0))&lt;0.001,t,NA())</f>
        <v>#N/A</v>
      </c>
      <c r="AD645" s="323" t="e">
        <f t="shared" ref="AD645:AD708" ca="1" si="316">IF(ABS(t-ROUND(t,0))&lt;0.001,pos_x,NA())</f>
        <v>#N/A</v>
      </c>
      <c r="AE645" s="324">
        <f t="shared" ca="1" si="295"/>
        <v>2648.0667408433587</v>
      </c>
      <c r="AG645" s="306">
        <f t="shared" ref="AG645:AG708" ca="1" si="317">IF(AND(L644&lt;L_rampe,Poussee&lt;Poids*SIN(M644)),0,(-W644+Poussee)/m-Poids*SIN(M644)/m)</f>
        <v>-9.1566187371996115</v>
      </c>
      <c r="AH645" s="304">
        <f t="shared" ref="AH645:AH708" ca="1" si="318">IF(AND(L644&lt;L_rampe,Poussee&lt;Poids*SIN(M644)), g*SIN(M644), (-W644+Poussee)/m)</f>
        <v>-0.43973528405455892</v>
      </c>
    </row>
    <row r="646" spans="1:34" x14ac:dyDescent="0.2">
      <c r="A646" s="347">
        <f t="shared" ca="1" si="296"/>
        <v>0.1</v>
      </c>
      <c r="B646" s="304">
        <f t="shared" ca="1" si="297"/>
        <v>19.199999999999942</v>
      </c>
      <c r="D646" s="306">
        <f t="shared" ca="1" si="298"/>
        <v>-0.19685969414354396</v>
      </c>
      <c r="E646" s="307">
        <f t="shared" ca="1" si="299"/>
        <v>-10.180840449250212</v>
      </c>
      <c r="F646" s="304">
        <f t="shared" ca="1" si="300"/>
        <v>10.182743539550996</v>
      </c>
      <c r="G646" s="306">
        <f t="shared" ca="1" si="301"/>
        <v>18.417727324837152</v>
      </c>
      <c r="H646" s="307">
        <f t="shared" ca="1" si="302"/>
        <v>33.713955232076316</v>
      </c>
      <c r="I646" s="304">
        <f t="shared" ca="1" si="303"/>
        <v>38.41670804744335</v>
      </c>
      <c r="J646" s="306">
        <f t="shared" ca="1" si="304"/>
        <v>419.48282182763751</v>
      </c>
      <c r="K646" s="307">
        <f t="shared" ca="1" si="305"/>
        <v>2651.4890405688125</v>
      </c>
      <c r="L646" s="304">
        <f t="shared" ca="1" si="290"/>
        <v>2684.46642185463</v>
      </c>
      <c r="M646" s="306">
        <f t="shared" ca="1" si="306"/>
        <v>1.0708029597340583</v>
      </c>
      <c r="N646" s="304">
        <f t="shared" ca="1" si="307"/>
        <v>61.35249028287857</v>
      </c>
      <c r="P646" s="310">
        <f t="shared" ca="1" si="308"/>
        <v>23</v>
      </c>
      <c r="Q646" s="304">
        <f t="shared" ca="1" si="309"/>
        <v>0</v>
      </c>
      <c r="R646" s="306">
        <f t="shared" ca="1" si="310"/>
        <v>0</v>
      </c>
      <c r="S646" s="307">
        <f t="shared" ca="1" si="311"/>
        <v>9.137999999999975</v>
      </c>
      <c r="T646" s="304">
        <f t="shared" ca="1" si="291"/>
        <v>89.643779999999765</v>
      </c>
      <c r="U646" s="311">
        <f t="shared" ca="1" si="292"/>
        <v>0</v>
      </c>
      <c r="V646" s="306">
        <f t="shared" ca="1" si="293"/>
        <v>0.93821319592901864</v>
      </c>
      <c r="W646" s="304">
        <f t="shared" ca="1" si="294"/>
        <v>3.6606375882258422</v>
      </c>
      <c r="Y646" s="314" t="str">
        <f t="shared" ca="1" si="312"/>
        <v/>
      </c>
      <c r="Z646" s="315" t="str">
        <f t="shared" ca="1" si="313"/>
        <v/>
      </c>
      <c r="AA646" s="316" t="str">
        <f t="shared" ca="1" si="314"/>
        <v/>
      </c>
      <c r="AC646" s="310" t="e">
        <f t="shared" ca="1" si="315"/>
        <v>#N/A</v>
      </c>
      <c r="AD646" s="323" t="e">
        <f t="shared" ca="1" si="316"/>
        <v>#N/A</v>
      </c>
      <c r="AE646" s="324">
        <f t="shared" ca="1" si="295"/>
        <v>2651.4890405688125</v>
      </c>
      <c r="AG646" s="306">
        <f t="shared" ca="1" si="317"/>
        <v>-9.0846628591918748</v>
      </c>
      <c r="AH646" s="304">
        <f t="shared" ca="1" si="318"/>
        <v>-0.41985280513340378</v>
      </c>
    </row>
    <row r="647" spans="1:34" x14ac:dyDescent="0.2">
      <c r="A647" s="347">
        <f t="shared" ca="1" si="296"/>
        <v>0.1</v>
      </c>
      <c r="B647" s="304">
        <f t="shared" ca="1" si="297"/>
        <v>19.299999999999944</v>
      </c>
      <c r="D647" s="306">
        <f t="shared" ca="1" si="298"/>
        <v>-0.19205316687859664</v>
      </c>
      <c r="E647" s="307">
        <f t="shared" ca="1" si="299"/>
        <v>-10.161556506192371</v>
      </c>
      <c r="F647" s="304">
        <f t="shared" ca="1" si="300"/>
        <v>10.163371244200844</v>
      </c>
      <c r="G647" s="306">
        <f t="shared" ca="1" si="301"/>
        <v>18.398522008149293</v>
      </c>
      <c r="H647" s="307">
        <f t="shared" ca="1" si="302"/>
        <v>32.697799581457076</v>
      </c>
      <c r="I647" s="304">
        <f t="shared" ca="1" si="303"/>
        <v>37.51868480575363</v>
      </c>
      <c r="J647" s="306">
        <f t="shared" ca="1" si="304"/>
        <v>421.32363429428682</v>
      </c>
      <c r="K647" s="307">
        <f t="shared" ca="1" si="305"/>
        <v>2654.8096283094892</v>
      </c>
      <c r="L647" s="304">
        <f t="shared" ca="1" si="290"/>
        <v>2688.034182702987</v>
      </c>
      <c r="M647" s="306">
        <f t="shared" ca="1" si="306"/>
        <v>1.058267257499127</v>
      </c>
      <c r="N647" s="304">
        <f t="shared" ca="1" si="307"/>
        <v>60.634247451584294</v>
      </c>
      <c r="P647" s="310">
        <f t="shared" ca="1" si="308"/>
        <v>23</v>
      </c>
      <c r="Q647" s="304">
        <f t="shared" ca="1" si="309"/>
        <v>0</v>
      </c>
      <c r="R647" s="306">
        <f t="shared" ca="1" si="310"/>
        <v>0</v>
      </c>
      <c r="S647" s="307">
        <f t="shared" ca="1" si="311"/>
        <v>9.137999999999975</v>
      </c>
      <c r="T647" s="304">
        <f t="shared" ca="1" si="291"/>
        <v>89.643779999999765</v>
      </c>
      <c r="U647" s="311">
        <f t="shared" ca="1" si="292"/>
        <v>0</v>
      </c>
      <c r="V647" s="306">
        <f t="shared" ca="1" si="293"/>
        <v>0.93789612686789114</v>
      </c>
      <c r="W647" s="304">
        <f t="shared" ca="1" si="294"/>
        <v>3.4903168835293021</v>
      </c>
      <c r="Y647" s="314" t="str">
        <f t="shared" ca="1" si="312"/>
        <v/>
      </c>
      <c r="Z647" s="315" t="str">
        <f t="shared" ca="1" si="313"/>
        <v/>
      </c>
      <c r="AA647" s="316" t="str">
        <f t="shared" ca="1" si="314"/>
        <v/>
      </c>
      <c r="AC647" s="310" t="e">
        <f t="shared" ca="1" si="315"/>
        <v>#N/A</v>
      </c>
      <c r="AD647" s="323" t="e">
        <f t="shared" ca="1" si="316"/>
        <v>#N/A</v>
      </c>
      <c r="AE647" s="324">
        <f t="shared" ca="1" si="295"/>
        <v>2654.8096283094892</v>
      </c>
      <c r="AG647" s="306">
        <f t="shared" ca="1" si="317"/>
        <v>-9.0097111800931486</v>
      </c>
      <c r="AH647" s="304">
        <f t="shared" ca="1" si="318"/>
        <v>-0.40059505233375486</v>
      </c>
    </row>
    <row r="648" spans="1:34" x14ac:dyDescent="0.2">
      <c r="A648" s="347">
        <f t="shared" ca="1" si="296"/>
        <v>0.1</v>
      </c>
      <c r="B648" s="304">
        <f t="shared" ca="1" si="297"/>
        <v>19.399999999999945</v>
      </c>
      <c r="D648" s="306">
        <f t="shared" ca="1" si="298"/>
        <v>-0.18730485514655495</v>
      </c>
      <c r="E648" s="307">
        <f t="shared" ca="1" si="299"/>
        <v>-10.142877641557469</v>
      </c>
      <c r="F648" s="304">
        <f t="shared" ca="1" si="300"/>
        <v>10.14460693966838</v>
      </c>
      <c r="G648" s="306">
        <f t="shared" ca="1" si="301"/>
        <v>18.379791522634637</v>
      </c>
      <c r="H648" s="307">
        <f t="shared" ca="1" si="302"/>
        <v>31.68351181730133</v>
      </c>
      <c r="I648" s="304">
        <f t="shared" ca="1" si="303"/>
        <v>36.628699915402201</v>
      </c>
      <c r="J648" s="306">
        <f t="shared" ca="1" si="304"/>
        <v>423.16254997082603</v>
      </c>
      <c r="K648" s="307">
        <f t="shared" ca="1" si="305"/>
        <v>2658.028693879427</v>
      </c>
      <c r="L648" s="304">
        <f t="shared" ca="1" si="290"/>
        <v>2691.5020121085149</v>
      </c>
      <c r="M648" s="306">
        <f t="shared" ca="1" si="306"/>
        <v>1.0451333086740755</v>
      </c>
      <c r="N648" s="304">
        <f t="shared" ca="1" si="307"/>
        <v>59.881727615568039</v>
      </c>
      <c r="P648" s="310">
        <f t="shared" ca="1" si="308"/>
        <v>23</v>
      </c>
      <c r="Q648" s="304">
        <f t="shared" ca="1" si="309"/>
        <v>0</v>
      </c>
      <c r="R648" s="306">
        <f t="shared" ca="1" si="310"/>
        <v>0</v>
      </c>
      <c r="S648" s="307">
        <f t="shared" ca="1" si="311"/>
        <v>9.137999999999975</v>
      </c>
      <c r="T648" s="304">
        <f t="shared" ca="1" si="291"/>
        <v>89.643779999999765</v>
      </c>
      <c r="U648" s="311">
        <f t="shared" ca="1" si="292"/>
        <v>0</v>
      </c>
      <c r="V648" s="306">
        <f t="shared" ca="1" si="293"/>
        <v>0.93758884045090307</v>
      </c>
      <c r="W648" s="304">
        <f t="shared" ca="1" si="294"/>
        <v>3.3256025280276691</v>
      </c>
      <c r="Y648" s="314" t="str">
        <f t="shared" ca="1" si="312"/>
        <v/>
      </c>
      <c r="Z648" s="315" t="str">
        <f t="shared" ca="1" si="313"/>
        <v/>
      </c>
      <c r="AA648" s="316" t="str">
        <f t="shared" ca="1" si="314"/>
        <v/>
      </c>
      <c r="AC648" s="310" t="e">
        <f t="shared" ca="1" si="315"/>
        <v>#N/A</v>
      </c>
      <c r="AD648" s="323" t="e">
        <f t="shared" ca="1" si="316"/>
        <v>#N/A</v>
      </c>
      <c r="AE648" s="324">
        <f t="shared" ca="1" si="295"/>
        <v>2658.028693879427</v>
      </c>
      <c r="AG648" s="306">
        <f t="shared" ca="1" si="317"/>
        <v>-8.9314408150881395</v>
      </c>
      <c r="AH648" s="304">
        <f t="shared" ca="1" si="318"/>
        <v>-0.38195632343284214</v>
      </c>
    </row>
    <row r="649" spans="1:34" x14ac:dyDescent="0.2">
      <c r="A649" s="347">
        <f t="shared" ca="1" si="296"/>
        <v>0.1</v>
      </c>
      <c r="B649" s="304">
        <f t="shared" ca="1" si="297"/>
        <v>19.499999999999947</v>
      </c>
      <c r="D649" s="306">
        <f t="shared" ca="1" si="298"/>
        <v>-0.18261576403352156</v>
      </c>
      <c r="E649" s="307">
        <f t="shared" ca="1" si="299"/>
        <v>-10.124797298470783</v>
      </c>
      <c r="F649" s="304">
        <f t="shared" ca="1" si="300"/>
        <v>10.126444037883921</v>
      </c>
      <c r="G649" s="306">
        <f t="shared" ca="1" si="301"/>
        <v>18.361529946231286</v>
      </c>
      <c r="H649" s="307">
        <f t="shared" ca="1" si="302"/>
        <v>30.67103208745425</v>
      </c>
      <c r="I649" s="304">
        <f t="shared" ca="1" si="303"/>
        <v>35.747139623695716</v>
      </c>
      <c r="J649" s="306">
        <f t="shared" ca="1" si="304"/>
        <v>424.99961604426932</v>
      </c>
      <c r="K649" s="307">
        <f t="shared" ca="1" si="305"/>
        <v>2661.1464210746649</v>
      </c>
      <c r="L649" s="304">
        <f t="shared" ca="1" si="290"/>
        <v>2694.8701170995746</v>
      </c>
      <c r="M649" s="306">
        <f t="shared" ca="1" si="306"/>
        <v>1.0313624660887664</v>
      </c>
      <c r="N649" s="304">
        <f t="shared" ca="1" si="307"/>
        <v>59.092716455090802</v>
      </c>
      <c r="P649" s="310">
        <f t="shared" ca="1" si="308"/>
        <v>23</v>
      </c>
      <c r="Q649" s="304">
        <f t="shared" ca="1" si="309"/>
        <v>0</v>
      </c>
      <c r="R649" s="306">
        <f t="shared" ca="1" si="310"/>
        <v>0</v>
      </c>
      <c r="S649" s="307">
        <f t="shared" ca="1" si="311"/>
        <v>9.137999999999975</v>
      </c>
      <c r="T649" s="304">
        <f t="shared" ca="1" si="291"/>
        <v>89.643779999999765</v>
      </c>
      <c r="U649" s="311">
        <f t="shared" ca="1" si="292"/>
        <v>0</v>
      </c>
      <c r="V649" s="306">
        <f t="shared" ca="1" si="293"/>
        <v>0.93729131084164563</v>
      </c>
      <c r="W649" s="304">
        <f t="shared" ca="1" si="294"/>
        <v>3.1664460120837439</v>
      </c>
      <c r="Y649" s="314" t="str">
        <f t="shared" ca="1" si="312"/>
        <v/>
      </c>
      <c r="Z649" s="315" t="str">
        <f t="shared" ca="1" si="313"/>
        <v/>
      </c>
      <c r="AA649" s="316" t="str">
        <f t="shared" ca="1" si="314"/>
        <v/>
      </c>
      <c r="AC649" s="310" t="e">
        <f t="shared" ca="1" si="315"/>
        <v>#N/A</v>
      </c>
      <c r="AD649" s="323" t="e">
        <f t="shared" ca="1" si="316"/>
        <v>#N/A</v>
      </c>
      <c r="AE649" s="324">
        <f t="shared" ca="1" si="295"/>
        <v>2661.1464210746649</v>
      </c>
      <c r="AG649" s="306">
        <f t="shared" ca="1" si="317"/>
        <v>-8.8494971231359703</v>
      </c>
      <c r="AH649" s="304">
        <f t="shared" ca="1" si="318"/>
        <v>-0.3639311149078221</v>
      </c>
    </row>
    <row r="650" spans="1:34" x14ac:dyDescent="0.2">
      <c r="A650" s="347">
        <f t="shared" ca="1" si="296"/>
        <v>0.1</v>
      </c>
      <c r="B650" s="304">
        <f t="shared" ca="1" si="297"/>
        <v>19.599999999999948</v>
      </c>
      <c r="D650" s="306">
        <f t="shared" ca="1" si="298"/>
        <v>-0.17798709001734334</v>
      </c>
      <c r="E650" s="307">
        <f t="shared" ca="1" si="299"/>
        <v>-10.107308980518534</v>
      </c>
      <c r="F650" s="304">
        <f t="shared" ca="1" si="300"/>
        <v>10.108876012291546</v>
      </c>
      <c r="G650" s="306">
        <f t="shared" ca="1" si="301"/>
        <v>18.343731237229552</v>
      </c>
      <c r="H650" s="307">
        <f t="shared" ca="1" si="302"/>
        <v>29.660301189402396</v>
      </c>
      <c r="I650" s="304">
        <f t="shared" ca="1" si="303"/>
        <v>34.874431068474458</v>
      </c>
      <c r="J650" s="306">
        <f t="shared" ca="1" si="304"/>
        <v>426.83487910344235</v>
      </c>
      <c r="K650" s="307">
        <f t="shared" ca="1" si="305"/>
        <v>2664.1629877385076</v>
      </c>
      <c r="L650" s="304">
        <f t="shared" ca="1" si="290"/>
        <v>2698.1386990395845</v>
      </c>
      <c r="M650" s="306">
        <f t="shared" ca="1" si="306"/>
        <v>1.0169132409913453</v>
      </c>
      <c r="N650" s="304">
        <f t="shared" ca="1" si="307"/>
        <v>58.26483683977407</v>
      </c>
      <c r="P650" s="310">
        <f t="shared" ca="1" si="308"/>
        <v>23</v>
      </c>
      <c r="Q650" s="304">
        <f t="shared" ca="1" si="309"/>
        <v>0</v>
      </c>
      <c r="R650" s="306">
        <f t="shared" ca="1" si="310"/>
        <v>0</v>
      </c>
      <c r="S650" s="307">
        <f t="shared" ca="1" si="311"/>
        <v>9.137999999999975</v>
      </c>
      <c r="T650" s="304">
        <f t="shared" ca="1" si="291"/>
        <v>89.643779999999765</v>
      </c>
      <c r="U650" s="311">
        <f t="shared" ca="1" si="292"/>
        <v>0</v>
      </c>
      <c r="V650" s="306">
        <f t="shared" ca="1" si="293"/>
        <v>0.93700351305757001</v>
      </c>
      <c r="W650" s="304">
        <f t="shared" ca="1" si="294"/>
        <v>3.0128005744952993</v>
      </c>
      <c r="Y650" s="314" t="str">
        <f t="shared" ca="1" si="312"/>
        <v/>
      </c>
      <c r="Z650" s="315" t="str">
        <f t="shared" ca="1" si="313"/>
        <v/>
      </c>
      <c r="AA650" s="316" t="str">
        <f t="shared" ca="1" si="314"/>
        <v/>
      </c>
      <c r="AC650" s="310" t="e">
        <f t="shared" ca="1" si="315"/>
        <v>#N/A</v>
      </c>
      <c r="AD650" s="323" t="e">
        <f t="shared" ca="1" si="316"/>
        <v>#N/A</v>
      </c>
      <c r="AE650" s="324">
        <f t="shared" ca="1" si="295"/>
        <v>2664.1629877385076</v>
      </c>
      <c r="AG650" s="306">
        <f t="shared" ca="1" si="317"/>
        <v>-8.7634903558839508</v>
      </c>
      <c r="AH650" s="304">
        <f t="shared" ca="1" si="318"/>
        <v>-0.34651411819695255</v>
      </c>
    </row>
    <row r="651" spans="1:34" x14ac:dyDescent="0.2">
      <c r="A651" s="347">
        <f t="shared" ca="1" si="296"/>
        <v>0.1</v>
      </c>
      <c r="B651" s="304">
        <f t="shared" ca="1" si="297"/>
        <v>19.69999999999995</v>
      </c>
      <c r="D651" s="306">
        <f t="shared" ca="1" si="298"/>
        <v>-0.17342023847400928</v>
      </c>
      <c r="E651" s="307">
        <f t="shared" ca="1" si="299"/>
        <v>-10.090406229188407</v>
      </c>
      <c r="F651" s="304">
        <f t="shared" ca="1" si="300"/>
        <v>10.091896375268455</v>
      </c>
      <c r="G651" s="306">
        <f t="shared" ca="1" si="301"/>
        <v>18.32638921338215</v>
      </c>
      <c r="H651" s="307">
        <f t="shared" ca="1" si="302"/>
        <v>28.651260566483558</v>
      </c>
      <c r="I651" s="304">
        <f t="shared" ca="1" si="303"/>
        <v>34.011046347457544</v>
      </c>
      <c r="J651" s="306">
        <f t="shared" ca="1" si="304"/>
        <v>428.66838512597292</v>
      </c>
      <c r="K651" s="307">
        <f t="shared" ca="1" si="305"/>
        <v>2667.0785658263017</v>
      </c>
      <c r="L651" s="304">
        <f t="shared" ca="1" si="290"/>
        <v>2701.3079536951336</v>
      </c>
      <c r="M651" s="306">
        <f t="shared" ca="1" si="306"/>
        <v>1.0017411225769763</v>
      </c>
      <c r="N651" s="304">
        <f t="shared" ca="1" si="307"/>
        <v>57.395538488358007</v>
      </c>
      <c r="P651" s="310">
        <f t="shared" ca="1" si="308"/>
        <v>23</v>
      </c>
      <c r="Q651" s="304">
        <f t="shared" ca="1" si="309"/>
        <v>0</v>
      </c>
      <c r="R651" s="306">
        <f t="shared" ca="1" si="310"/>
        <v>0</v>
      </c>
      <c r="S651" s="307">
        <f t="shared" ca="1" si="311"/>
        <v>9.137999999999975</v>
      </c>
      <c r="T651" s="304">
        <f t="shared" ca="1" si="291"/>
        <v>89.643779999999765</v>
      </c>
      <c r="U651" s="311">
        <f t="shared" ca="1" si="292"/>
        <v>0</v>
      </c>
      <c r="V651" s="306">
        <f t="shared" ca="1" si="293"/>
        <v>0.93672542296095251</v>
      </c>
      <c r="W651" s="304">
        <f t="shared" ca="1" si="294"/>
        <v>2.8646211703510653</v>
      </c>
      <c r="Y651" s="314" t="str">
        <f t="shared" ca="1" si="312"/>
        <v/>
      </c>
      <c r="Z651" s="315" t="str">
        <f t="shared" ca="1" si="313"/>
        <v/>
      </c>
      <c r="AA651" s="316" t="str">
        <f t="shared" ca="1" si="314"/>
        <v/>
      </c>
      <c r="AC651" s="310" t="e">
        <f t="shared" ca="1" si="315"/>
        <v>#N/A</v>
      </c>
      <c r="AD651" s="323" t="e">
        <f t="shared" ca="1" si="316"/>
        <v>#N/A</v>
      </c>
      <c r="AE651" s="324">
        <f t="shared" ca="1" si="295"/>
        <v>2667.0785658263017</v>
      </c>
      <c r="AG651" s="306">
        <f t="shared" ca="1" si="317"/>
        <v>-8.6729920133445404</v>
      </c>
      <c r="AH651" s="304">
        <f t="shared" ca="1" si="318"/>
        <v>-0.32970021607521421</v>
      </c>
    </row>
    <row r="652" spans="1:34" x14ac:dyDescent="0.2">
      <c r="A652" s="347">
        <f t="shared" ca="1" si="296"/>
        <v>0.1</v>
      </c>
      <c r="B652" s="304">
        <f t="shared" ca="1" si="297"/>
        <v>19.799999999999951</v>
      </c>
      <c r="D652" s="306">
        <f t="shared" ca="1" si="298"/>
        <v>-0.16891684302570184</v>
      </c>
      <c r="E652" s="307">
        <f t="shared" ca="1" si="299"/>
        <v>-10.074082598445699</v>
      </c>
      <c r="F652" s="304">
        <f t="shared" ca="1" si="300"/>
        <v>10.075498652680382</v>
      </c>
      <c r="G652" s="306">
        <f t="shared" ca="1" si="301"/>
        <v>18.309497529079579</v>
      </c>
      <c r="H652" s="307">
        <f t="shared" ca="1" si="302"/>
        <v>27.643852306638987</v>
      </c>
      <c r="I652" s="304">
        <f t="shared" ca="1" si="303"/>
        <v>33.157506994927118</v>
      </c>
      <c r="J652" s="306">
        <f t="shared" ca="1" si="304"/>
        <v>430.500179463096</v>
      </c>
      <c r="K652" s="307">
        <f t="shared" ca="1" si="305"/>
        <v>2669.8933214699578</v>
      </c>
      <c r="L652" s="304">
        <f t="shared" ca="1" si="290"/>
        <v>2704.3780713035744</v>
      </c>
      <c r="M652" s="306">
        <f t="shared" ca="1" si="306"/>
        <v>0.98579840151184084</v>
      </c>
      <c r="N652" s="304">
        <f t="shared" ca="1" si="307"/>
        <v>56.482087857371432</v>
      </c>
      <c r="P652" s="310">
        <f t="shared" ca="1" si="308"/>
        <v>23</v>
      </c>
      <c r="Q652" s="304">
        <f t="shared" ca="1" si="309"/>
        <v>0</v>
      </c>
      <c r="R652" s="306">
        <f t="shared" ca="1" si="310"/>
        <v>0</v>
      </c>
      <c r="S652" s="307">
        <f t="shared" ca="1" si="311"/>
        <v>9.137999999999975</v>
      </c>
      <c r="T652" s="304">
        <f t="shared" ca="1" si="291"/>
        <v>89.643779999999765</v>
      </c>
      <c r="U652" s="311">
        <f t="shared" ca="1" si="292"/>
        <v>0</v>
      </c>
      <c r="V652" s="306">
        <f t="shared" ca="1" si="293"/>
        <v>0.93645701724999353</v>
      </c>
      <c r="W652" s="304">
        <f t="shared" ca="1" si="294"/>
        <v>2.7218644397881566</v>
      </c>
      <c r="Y652" s="314" t="str">
        <f t="shared" ca="1" si="312"/>
        <v/>
      </c>
      <c r="Z652" s="315" t="str">
        <f t="shared" ca="1" si="313"/>
        <v/>
      </c>
      <c r="AA652" s="316" t="str">
        <f t="shared" ca="1" si="314"/>
        <v/>
      </c>
      <c r="AC652" s="310" t="e">
        <f t="shared" ca="1" si="315"/>
        <v>#N/A</v>
      </c>
      <c r="AD652" s="323" t="e">
        <f t="shared" ca="1" si="316"/>
        <v>#N/A</v>
      </c>
      <c r="AE652" s="324">
        <f t="shared" ca="1" si="295"/>
        <v>2669.8933214699578</v>
      </c>
      <c r="AG652" s="306">
        <f t="shared" ca="1" si="317"/>
        <v>-8.5775309093993304</v>
      </c>
      <c r="AH652" s="304">
        <f t="shared" ca="1" si="318"/>
        <v>-0.31348447913668998</v>
      </c>
    </row>
    <row r="653" spans="1:34" x14ac:dyDescent="0.2">
      <c r="A653" s="347">
        <f t="shared" ca="1" si="296"/>
        <v>0.1</v>
      </c>
      <c r="B653" s="304">
        <f t="shared" ca="1" si="297"/>
        <v>19.899999999999952</v>
      </c>
      <c r="D653" s="306">
        <f t="shared" ca="1" si="298"/>
        <v>-0.16447878686587</v>
      </c>
      <c r="E653" s="307">
        <f t="shared" ca="1" si="299"/>
        <v>-10.058331625948441</v>
      </c>
      <c r="F653" s="304">
        <f t="shared" ca="1" si="300"/>
        <v>10.059676355076412</v>
      </c>
      <c r="G653" s="306">
        <f t="shared" ca="1" si="301"/>
        <v>18.293049650392991</v>
      </c>
      <c r="H653" s="307">
        <f t="shared" ca="1" si="302"/>
        <v>26.638019144044144</v>
      </c>
      <c r="I653" s="304">
        <f t="shared" ca="1" si="303"/>
        <v>32.314388891486182</v>
      </c>
      <c r="J653" s="306">
        <f t="shared" ca="1" si="304"/>
        <v>432.33030682206964</v>
      </c>
      <c r="K653" s="307">
        <f t="shared" ca="1" si="305"/>
        <v>2672.607415042492</v>
      </c>
      <c r="L653" s="304">
        <f t="shared" ca="1" si="290"/>
        <v>2707.3492366403298</v>
      </c>
      <c r="M653" s="306">
        <f t="shared" ca="1" si="306"/>
        <v>0.96903400365109693</v>
      </c>
      <c r="N653" s="304">
        <f t="shared" ca="1" si="307"/>
        <v>55.521558613872664</v>
      </c>
      <c r="P653" s="310">
        <f t="shared" ca="1" si="308"/>
        <v>23</v>
      </c>
      <c r="Q653" s="304">
        <f t="shared" ca="1" si="309"/>
        <v>0</v>
      </c>
      <c r="R653" s="306">
        <f t="shared" ca="1" si="310"/>
        <v>0</v>
      </c>
      <c r="S653" s="307">
        <f t="shared" ca="1" si="311"/>
        <v>9.137999999999975</v>
      </c>
      <c r="T653" s="304">
        <f t="shared" ca="1" si="291"/>
        <v>89.643779999999765</v>
      </c>
      <c r="U653" s="311">
        <f t="shared" ca="1" si="292"/>
        <v>0</v>
      </c>
      <c r="V653" s="306">
        <f t="shared" ca="1" si="293"/>
        <v>0.93619827345002216</v>
      </c>
      <c r="W653" s="304">
        <f t="shared" ca="1" si="294"/>
        <v>2.5844886775718821</v>
      </c>
      <c r="Y653" s="314" t="str">
        <f t="shared" ca="1" si="312"/>
        <v/>
      </c>
      <c r="Z653" s="315" t="str">
        <f t="shared" ca="1" si="313"/>
        <v/>
      </c>
      <c r="AA653" s="316" t="str">
        <f t="shared" ca="1" si="314"/>
        <v/>
      </c>
      <c r="AC653" s="310" t="e">
        <f t="shared" ca="1" si="315"/>
        <v>#N/A</v>
      </c>
      <c r="AD653" s="323" t="e">
        <f t="shared" ca="1" si="316"/>
        <v>#N/A</v>
      </c>
      <c r="AE653" s="324">
        <f t="shared" ca="1" si="295"/>
        <v>2672.607415042492</v>
      </c>
      <c r="AG653" s="306">
        <f t="shared" ca="1" si="317"/>
        <v>-8.4765889638090712</v>
      </c>
      <c r="AH653" s="304">
        <f t="shared" ca="1" si="318"/>
        <v>-0.29786216237559249</v>
      </c>
    </row>
    <row r="654" spans="1:34" x14ac:dyDescent="0.2">
      <c r="A654" s="347">
        <f t="shared" ca="1" si="296"/>
        <v>0.1</v>
      </c>
      <c r="B654" s="304">
        <f t="shared" ca="1" si="297"/>
        <v>19.999999999999954</v>
      </c>
      <c r="D654" s="306">
        <f t="shared" ca="1" si="298"/>
        <v>-0.16010822618386822</v>
      </c>
      <c r="E654" s="307">
        <f t="shared" ca="1" si="299"/>
        <v>-10.043146800326605</v>
      </c>
      <c r="F654" s="304">
        <f t="shared" ca="1" si="300"/>
        <v>10.04442294494822</v>
      </c>
      <c r="G654" s="306">
        <f t="shared" ca="1" si="301"/>
        <v>18.277038827774604</v>
      </c>
      <c r="H654" s="307">
        <f t="shared" ca="1" si="302"/>
        <v>25.633704464011483</v>
      </c>
      <c r="I654" s="304">
        <f t="shared" ca="1" si="303"/>
        <v>31.482327627738435</v>
      </c>
      <c r="J654" s="306">
        <f t="shared" ca="1" si="304"/>
        <v>434.15881124597803</v>
      </c>
      <c r="K654" s="307">
        <f t="shared" ca="1" si="305"/>
        <v>2675.2210012228948</v>
      </c>
      <c r="L654" s="304">
        <f t="shared" ca="1" si="290"/>
        <v>2710.2216290861802</v>
      </c>
      <c r="M654" s="306">
        <f t="shared" ca="1" si="306"/>
        <v>0.9513933422456321</v>
      </c>
      <c r="N654" s="304">
        <f t="shared" ca="1" si="307"/>
        <v>54.510823167520208</v>
      </c>
      <c r="P654" s="310">
        <f t="shared" ca="1" si="308"/>
        <v>23</v>
      </c>
      <c r="Q654" s="304">
        <f t="shared" ca="1" si="309"/>
        <v>0</v>
      </c>
      <c r="R654" s="306">
        <f t="shared" ca="1" si="310"/>
        <v>0</v>
      </c>
      <c r="S654" s="307">
        <f t="shared" ca="1" si="311"/>
        <v>9.137999999999975</v>
      </c>
      <c r="T654" s="304">
        <f t="shared" ca="1" si="291"/>
        <v>89.643779999999765</v>
      </c>
      <c r="U654" s="311">
        <f t="shared" ca="1" si="292"/>
        <v>0</v>
      </c>
      <c r="V654" s="306">
        <f t="shared" ca="1" si="293"/>
        <v>0.93594916990477806</v>
      </c>
      <c r="W654" s="304">
        <f t="shared" ca="1" si="294"/>
        <v>2.4524538034129608</v>
      </c>
      <c r="Y654" s="314" t="str">
        <f t="shared" ca="1" si="312"/>
        <v/>
      </c>
      <c r="Z654" s="315" t="str">
        <f t="shared" ca="1" si="313"/>
        <v/>
      </c>
      <c r="AA654" s="316" t="str">
        <f t="shared" ca="1" si="314"/>
        <v/>
      </c>
      <c r="AC654" s="310">
        <f t="shared" ca="1" si="315"/>
        <v>19.999999999999954</v>
      </c>
      <c r="AD654" s="323">
        <f t="shared" ca="1" si="316"/>
        <v>434.15881124597803</v>
      </c>
      <c r="AE654" s="324">
        <f t="shared" ca="1" si="295"/>
        <v>2675.2210012228948</v>
      </c>
      <c r="AG654" s="306">
        <f t="shared" ca="1" si="317"/>
        <v>-8.3695967568125944</v>
      </c>
      <c r="AH654" s="304">
        <f t="shared" ca="1" si="318"/>
        <v>-0.28282870185728703</v>
      </c>
    </row>
    <row r="655" spans="1:34" x14ac:dyDescent="0.2">
      <c r="A655" s="347">
        <f t="shared" ca="1" si="296"/>
        <v>0.1</v>
      </c>
      <c r="B655" s="304">
        <f t="shared" ca="1" si="297"/>
        <v>20.099999999999955</v>
      </c>
      <c r="D655" s="306">
        <f t="shared" ca="1" si="298"/>
        <v>-0.15580761578767419</v>
      </c>
      <c r="E655" s="307">
        <f t="shared" ca="1" si="299"/>
        <v>-10.028521523862725</v>
      </c>
      <c r="F655" s="304">
        <f t="shared" ca="1" si="300"/>
        <v>10.029731799391017</v>
      </c>
      <c r="G655" s="306">
        <f t="shared" ca="1" si="301"/>
        <v>18.261458066195836</v>
      </c>
      <c r="H655" s="307">
        <f t="shared" ca="1" si="302"/>
        <v>24.630852311625212</v>
      </c>
      <c r="I655" s="304">
        <f t="shared" ca="1" si="303"/>
        <v>30.662024334680222</v>
      </c>
      <c r="J655" s="306">
        <f t="shared" ca="1" si="304"/>
        <v>435.98573609067654</v>
      </c>
      <c r="K655" s="307">
        <f t="shared" ca="1" si="305"/>
        <v>2677.7342290616766</v>
      </c>
      <c r="L655" s="304">
        <f t="shared" ca="1" si="290"/>
        <v>2712.995422694823</v>
      </c>
      <c r="M655" s="306">
        <f t="shared" ca="1" si="306"/>
        <v>0.93281819956028855</v>
      </c>
      <c r="N655" s="304">
        <f t="shared" ca="1" si="307"/>
        <v>53.446545887796717</v>
      </c>
      <c r="P655" s="310">
        <f t="shared" ca="1" si="308"/>
        <v>23</v>
      </c>
      <c r="Q655" s="304">
        <f t="shared" ca="1" si="309"/>
        <v>0</v>
      </c>
      <c r="R655" s="306">
        <f t="shared" ca="1" si="310"/>
        <v>0</v>
      </c>
      <c r="S655" s="307">
        <f t="shared" ca="1" si="311"/>
        <v>9.137999999999975</v>
      </c>
      <c r="T655" s="304">
        <f t="shared" ca="1" si="291"/>
        <v>89.643779999999765</v>
      </c>
      <c r="U655" s="311">
        <f t="shared" ca="1" si="292"/>
        <v>0</v>
      </c>
      <c r="V655" s="306">
        <f t="shared" ca="1" si="293"/>
        <v>0.93570968576773228</v>
      </c>
      <c r="W655" s="304">
        <f t="shared" ca="1" si="294"/>
        <v>2.32572133292989</v>
      </c>
      <c r="Y655" s="314" t="str">
        <f t="shared" ca="1" si="312"/>
        <v/>
      </c>
      <c r="Z655" s="315" t="str">
        <f t="shared" ca="1" si="313"/>
        <v/>
      </c>
      <c r="AA655" s="316" t="str">
        <f t="shared" ca="1" si="314"/>
        <v/>
      </c>
      <c r="AC655" s="310" t="e">
        <f t="shared" ca="1" si="315"/>
        <v>#N/A</v>
      </c>
      <c r="AD655" s="323" t="e">
        <f t="shared" ca="1" si="316"/>
        <v>#N/A</v>
      </c>
      <c r="AE655" s="324">
        <f t="shared" ca="1" si="295"/>
        <v>2677.7342290616766</v>
      </c>
      <c r="AG655" s="306">
        <f t="shared" ca="1" si="317"/>
        <v>-8.255928909401316</v>
      </c>
      <c r="AH655" s="304">
        <f t="shared" ca="1" si="318"/>
        <v>-0.26837971147001177</v>
      </c>
    </row>
    <row r="656" spans="1:34" x14ac:dyDescent="0.2">
      <c r="A656" s="347">
        <f t="shared" ca="1" si="296"/>
        <v>0.1</v>
      </c>
      <c r="B656" s="304">
        <f t="shared" ca="1" si="297"/>
        <v>20.199999999999957</v>
      </c>
      <c r="D656" s="306">
        <f t="shared" ca="1" si="298"/>
        <v>-0.15157973698374042</v>
      </c>
      <c r="E656" s="307">
        <f t="shared" ca="1" si="299"/>
        <v>-10.014449069814022</v>
      </c>
      <c r="F656" s="304">
        <f t="shared" ca="1" si="300"/>
        <v>10.015596167406262</v>
      </c>
      <c r="G656" s="306">
        <f t="shared" ca="1" si="301"/>
        <v>18.24630009249746</v>
      </c>
      <c r="H656" s="307">
        <f t="shared" ca="1" si="302"/>
        <v>23.629407404643811</v>
      </c>
      <c r="I656" s="304">
        <f t="shared" ca="1" si="303"/>
        <v>29.854251981252329</v>
      </c>
      <c r="J656" s="306">
        <f t="shared" ca="1" si="304"/>
        <v>437.81112399861121</v>
      </c>
      <c r="K656" s="307">
        <f t="shared" ca="1" si="305"/>
        <v>2680.1472420474902</v>
      </c>
      <c r="L656" s="304">
        <f t="shared" ca="1" si="290"/>
        <v>2715.6707862610474</v>
      </c>
      <c r="M656" s="306">
        <f t="shared" ca="1" si="306"/>
        <v>0.91324665207984324</v>
      </c>
      <c r="N656" s="304">
        <f t="shared" ca="1" si="307"/>
        <v>52.3251788186273</v>
      </c>
      <c r="P656" s="310">
        <f t="shared" ca="1" si="308"/>
        <v>23</v>
      </c>
      <c r="Q656" s="304">
        <f t="shared" ca="1" si="309"/>
        <v>0</v>
      </c>
      <c r="R656" s="306">
        <f t="shared" ca="1" si="310"/>
        <v>0</v>
      </c>
      <c r="S656" s="307">
        <f t="shared" ca="1" si="311"/>
        <v>9.137999999999975</v>
      </c>
      <c r="T656" s="304">
        <f t="shared" ca="1" si="291"/>
        <v>89.643779999999765</v>
      </c>
      <c r="U656" s="311">
        <f t="shared" ca="1" si="292"/>
        <v>0</v>
      </c>
      <c r="V656" s="306">
        <f t="shared" ca="1" si="293"/>
        <v>0.93547980099341022</v>
      </c>
      <c r="W656" s="304">
        <f t="shared" ca="1" si="294"/>
        <v>2.2042543491555002</v>
      </c>
      <c r="Y656" s="314" t="str">
        <f t="shared" ca="1" si="312"/>
        <v/>
      </c>
      <c r="Z656" s="315" t="str">
        <f t="shared" ca="1" si="313"/>
        <v/>
      </c>
      <c r="AA656" s="316" t="str">
        <f t="shared" ca="1" si="314"/>
        <v/>
      </c>
      <c r="AC656" s="310" t="e">
        <f t="shared" ca="1" si="315"/>
        <v>#N/A</v>
      </c>
      <c r="AD656" s="323" t="e">
        <f t="shared" ca="1" si="316"/>
        <v>#N/A</v>
      </c>
      <c r="AE656" s="324">
        <f t="shared" ca="1" si="295"/>
        <v>2680.1472420474902</v>
      </c>
      <c r="AG656" s="306">
        <f t="shared" ca="1" si="317"/>
        <v>-8.1348993891892256</v>
      </c>
      <c r="AH656" s="304">
        <f t="shared" ca="1" si="318"/>
        <v>-0.25451097974719811</v>
      </c>
    </row>
    <row r="657" spans="1:34" x14ac:dyDescent="0.2">
      <c r="A657" s="347">
        <f t="shared" ca="1" si="296"/>
        <v>0.1</v>
      </c>
      <c r="B657" s="304">
        <f t="shared" ca="1" si="297"/>
        <v>20.299999999999958</v>
      </c>
      <c r="D657" s="306">
        <f t="shared" ca="1" si="298"/>
        <v>-0.14742772771277537</v>
      </c>
      <c r="E657" s="307">
        <f t="shared" ca="1" si="299"/>
        <v>-10.000922533511245</v>
      </c>
      <c r="F657" s="304">
        <f t="shared" ca="1" si="300"/>
        <v>10.002009120981221</v>
      </c>
      <c r="G657" s="306">
        <f t="shared" ca="1" si="301"/>
        <v>18.231557319726182</v>
      </c>
      <c r="H657" s="307">
        <f t="shared" ca="1" si="302"/>
        <v>22.629315151292687</v>
      </c>
      <c r="I657" s="304">
        <f t="shared" ca="1" si="303"/>
        <v>29.059862121472396</v>
      </c>
      <c r="J657" s="306">
        <f t="shared" ca="1" si="304"/>
        <v>439.6350168692224</v>
      </c>
      <c r="K657" s="307">
        <f t="shared" ca="1" si="305"/>
        <v>2682.4601781752872</v>
      </c>
      <c r="L657" s="304">
        <f t="shared" ca="1" si="290"/>
        <v>2718.2478833899227</v>
      </c>
      <c r="M657" s="306">
        <f t="shared" ca="1" si="306"/>
        <v>0.89261305744922248</v>
      </c>
      <c r="N657" s="304">
        <f t="shared" ca="1" si="307"/>
        <v>51.142960930108934</v>
      </c>
      <c r="P657" s="310">
        <f t="shared" ca="1" si="308"/>
        <v>23</v>
      </c>
      <c r="Q657" s="304">
        <f t="shared" ca="1" si="309"/>
        <v>0</v>
      </c>
      <c r="R657" s="306">
        <f t="shared" ca="1" si="310"/>
        <v>0</v>
      </c>
      <c r="S657" s="307">
        <f t="shared" ca="1" si="311"/>
        <v>9.137999999999975</v>
      </c>
      <c r="T657" s="304">
        <f t="shared" ca="1" si="291"/>
        <v>89.643779999999765</v>
      </c>
      <c r="U657" s="311">
        <f t="shared" ca="1" si="292"/>
        <v>0</v>
      </c>
      <c r="V657" s="306">
        <f t="shared" ca="1" si="293"/>
        <v>0.93525949632866756</v>
      </c>
      <c r="W657" s="304">
        <f t="shared" ca="1" si="294"/>
        <v>2.0880174744764086</v>
      </c>
      <c r="Y657" s="314" t="str">
        <f t="shared" ca="1" si="312"/>
        <v/>
      </c>
      <c r="Z657" s="315" t="str">
        <f t="shared" ca="1" si="313"/>
        <v/>
      </c>
      <c r="AA657" s="316" t="str">
        <f t="shared" ca="1" si="314"/>
        <v/>
      </c>
      <c r="AC657" s="310" t="e">
        <f t="shared" ca="1" si="315"/>
        <v>#N/A</v>
      </c>
      <c r="AD657" s="323" t="e">
        <f t="shared" ca="1" si="316"/>
        <v>#N/A</v>
      </c>
      <c r="AE657" s="324">
        <f t="shared" ca="1" si="295"/>
        <v>2682.4601781752872</v>
      </c>
      <c r="AG657" s="306">
        <f t="shared" ca="1" si="317"/>
        <v>-8.0057568911293213</v>
      </c>
      <c r="AH657" s="304">
        <f t="shared" ca="1" si="318"/>
        <v>-0.24121846674934408</v>
      </c>
    </row>
    <row r="658" spans="1:34" x14ac:dyDescent="0.2">
      <c r="A658" s="347">
        <f t="shared" ca="1" si="296"/>
        <v>0.1</v>
      </c>
      <c r="B658" s="304">
        <f t="shared" ca="1" si="297"/>
        <v>20.399999999999959</v>
      </c>
      <c r="D658" s="306">
        <f t="shared" ca="1" si="298"/>
        <v>-0.14335511485240313</v>
      </c>
      <c r="E658" s="307">
        <f t="shared" ca="1" si="299"/>
        <v>-9.9879347762593387</v>
      </c>
      <c r="F658" s="304">
        <f t="shared" ca="1" si="300"/>
        <v>9.9889634989705023</v>
      </c>
      <c r="G658" s="306">
        <f t="shared" ca="1" si="301"/>
        <v>18.217221808240943</v>
      </c>
      <c r="H658" s="307">
        <f t="shared" ca="1" si="302"/>
        <v>21.630521673666752</v>
      </c>
      <c r="I658" s="304">
        <f t="shared" ca="1" si="303"/>
        <v>28.279792048132471</v>
      </c>
      <c r="J658" s="306">
        <f t="shared" ca="1" si="304"/>
        <v>441.45745582562074</v>
      </c>
      <c r="K658" s="307">
        <f t="shared" ca="1" si="305"/>
        <v>2684.6731700165351</v>
      </c>
      <c r="L658" s="304">
        <f t="shared" ca="1" si="290"/>
        <v>2720.7268725674508</v>
      </c>
      <c r="M658" s="306">
        <f t="shared" ca="1" si="306"/>
        <v>0.87084812605462314</v>
      </c>
      <c r="N658" s="304">
        <f t="shared" ca="1" si="307"/>
        <v>49.895922219806607</v>
      </c>
      <c r="P658" s="310">
        <f t="shared" ca="1" si="308"/>
        <v>23</v>
      </c>
      <c r="Q658" s="304">
        <f t="shared" ca="1" si="309"/>
        <v>0</v>
      </c>
      <c r="R658" s="306">
        <f t="shared" ca="1" si="310"/>
        <v>0</v>
      </c>
      <c r="S658" s="307">
        <f t="shared" ca="1" si="311"/>
        <v>9.137999999999975</v>
      </c>
      <c r="T658" s="304">
        <f t="shared" ca="1" si="291"/>
        <v>89.643779999999765</v>
      </c>
      <c r="U658" s="311">
        <f t="shared" ca="1" si="292"/>
        <v>0</v>
      </c>
      <c r="V658" s="306">
        <f t="shared" ca="1" si="293"/>
        <v>0.93504875330387149</v>
      </c>
      <c r="W658" s="304">
        <f t="shared" ca="1" si="294"/>
        <v>1.9769768428818444</v>
      </c>
      <c r="Y658" s="314" t="str">
        <f t="shared" ca="1" si="312"/>
        <v/>
      </c>
      <c r="Z658" s="315" t="str">
        <f t="shared" ca="1" si="313"/>
        <v/>
      </c>
      <c r="AA658" s="316" t="str">
        <f t="shared" ca="1" si="314"/>
        <v/>
      </c>
      <c r="AC658" s="310" t="e">
        <f t="shared" ca="1" si="315"/>
        <v>#N/A</v>
      </c>
      <c r="AD658" s="323" t="e">
        <f t="shared" ca="1" si="316"/>
        <v>#N/A</v>
      </c>
      <c r="AE658" s="324">
        <f t="shared" ca="1" si="295"/>
        <v>2684.6731700165351</v>
      </c>
      <c r="AG658" s="306">
        <f t="shared" ca="1" si="317"/>
        <v>-7.8676805072346916</v>
      </c>
      <c r="AH658" s="304">
        <f t="shared" ca="1" si="318"/>
        <v>-0.22849830099326049</v>
      </c>
    </row>
    <row r="659" spans="1:34" x14ac:dyDescent="0.2">
      <c r="A659" s="347">
        <f t="shared" ca="1" si="296"/>
        <v>0.1</v>
      </c>
      <c r="B659" s="304">
        <f t="shared" ca="1" si="297"/>
        <v>20.499999999999961</v>
      </c>
      <c r="D659" s="306">
        <f t="shared" ca="1" si="298"/>
        <v>-0.1393658484738888</v>
      </c>
      <c r="E659" s="307">
        <f t="shared" ca="1" si="299"/>
        <v>-9.9754783609551119</v>
      </c>
      <c r="F659" s="304">
        <f t="shared" ca="1" si="300"/>
        <v>9.9764518426946029</v>
      </c>
      <c r="G659" s="306">
        <f t="shared" ca="1" si="301"/>
        <v>18.203285223393554</v>
      </c>
      <c r="H659" s="307">
        <f t="shared" ca="1" si="302"/>
        <v>20.632973837571242</v>
      </c>
      <c r="I659" s="304">
        <f t="shared" ca="1" si="303"/>
        <v>27.515072275138902</v>
      </c>
      <c r="J659" s="306">
        <f t="shared" ca="1" si="304"/>
        <v>443.27848117720248</v>
      </c>
      <c r="K659" s="307">
        <f t="shared" ca="1" si="305"/>
        <v>2686.7863447920968</v>
      </c>
      <c r="L659" s="304">
        <f t="shared" ca="1" si="290"/>
        <v>2723.1079072332122</v>
      </c>
      <c r="M659" s="306">
        <f t="shared" ca="1" si="306"/>
        <v>0.84787910573525305</v>
      </c>
      <c r="N659" s="304">
        <f t="shared" ca="1" si="307"/>
        <v>48.579894295956471</v>
      </c>
      <c r="P659" s="310">
        <f t="shared" ca="1" si="308"/>
        <v>23</v>
      </c>
      <c r="Q659" s="304">
        <f t="shared" ca="1" si="309"/>
        <v>0</v>
      </c>
      <c r="R659" s="306">
        <f t="shared" ca="1" si="310"/>
        <v>0</v>
      </c>
      <c r="S659" s="307">
        <f t="shared" ca="1" si="311"/>
        <v>9.137999999999975</v>
      </c>
      <c r="T659" s="304">
        <f t="shared" ca="1" si="291"/>
        <v>89.643779999999765</v>
      </c>
      <c r="U659" s="311">
        <f t="shared" ca="1" si="292"/>
        <v>0</v>
      </c>
      <c r="V659" s="306">
        <f t="shared" ca="1" si="293"/>
        <v>0.93484755422392729</v>
      </c>
      <c r="W659" s="304">
        <f t="shared" ca="1" si="294"/>
        <v>1.8711000723840785</v>
      </c>
      <c r="Y659" s="314" t="str">
        <f t="shared" ca="1" si="312"/>
        <v/>
      </c>
      <c r="Z659" s="315" t="str">
        <f t="shared" ca="1" si="313"/>
        <v/>
      </c>
      <c r="AA659" s="316" t="str">
        <f t="shared" ca="1" si="314"/>
        <v/>
      </c>
      <c r="AC659" s="310" t="e">
        <f t="shared" ca="1" si="315"/>
        <v>#N/A</v>
      </c>
      <c r="AD659" s="323" t="e">
        <f t="shared" ca="1" si="316"/>
        <v>#N/A</v>
      </c>
      <c r="AE659" s="324">
        <f t="shared" ca="1" si="295"/>
        <v>2686.7863447920968</v>
      </c>
      <c r="AG659" s="306">
        <f t="shared" ca="1" si="317"/>
        <v>-7.7197759833029851</v>
      </c>
      <c r="AH659" s="304">
        <f t="shared" ca="1" si="318"/>
        <v>-0.21634677641517289</v>
      </c>
    </row>
    <row r="660" spans="1:34" x14ac:dyDescent="0.2">
      <c r="A660" s="347">
        <f t="shared" ca="1" si="296"/>
        <v>0.1</v>
      </c>
      <c r="B660" s="304">
        <f t="shared" ca="1" si="297"/>
        <v>20.599999999999962</v>
      </c>
      <c r="D660" s="306">
        <f t="shared" ca="1" si="298"/>
        <v>-0.13546433767048205</v>
      </c>
      <c r="E660" s="307">
        <f t="shared" ca="1" si="299"/>
        <v>-9.9635454782352699</v>
      </c>
      <c r="F660" s="304">
        <f t="shared" ca="1" si="300"/>
        <v>9.9644663220687839</v>
      </c>
      <c r="G660" s="306">
        <f t="shared" ca="1" si="301"/>
        <v>18.189738789626507</v>
      </c>
      <c r="H660" s="307">
        <f t="shared" ca="1" si="302"/>
        <v>19.636619289747717</v>
      </c>
      <c r="I660" s="304">
        <f t="shared" ca="1" si="303"/>
        <v>26.766834223817639</v>
      </c>
      <c r="J660" s="306">
        <f t="shared" ca="1" si="304"/>
        <v>445.09813237785346</v>
      </c>
      <c r="K660" s="307">
        <f t="shared" ca="1" si="305"/>
        <v>2688.7998244484629</v>
      </c>
      <c r="L660" s="304">
        <f t="shared" ca="1" si="290"/>
        <v>2725.3911358556111</v>
      </c>
      <c r="M660" s="306">
        <f t="shared" ca="1" si="306"/>
        <v>0.82363011447806544</v>
      </c>
      <c r="N660" s="304">
        <f t="shared" ca="1" si="307"/>
        <v>47.190529439469991</v>
      </c>
      <c r="P660" s="310">
        <f t="shared" ca="1" si="308"/>
        <v>23</v>
      </c>
      <c r="Q660" s="304">
        <f t="shared" ca="1" si="309"/>
        <v>0</v>
      </c>
      <c r="R660" s="306">
        <f t="shared" ca="1" si="310"/>
        <v>0</v>
      </c>
      <c r="S660" s="307">
        <f t="shared" ca="1" si="311"/>
        <v>9.137999999999975</v>
      </c>
      <c r="T660" s="304">
        <f t="shared" ca="1" si="291"/>
        <v>89.643779999999765</v>
      </c>
      <c r="U660" s="311">
        <f t="shared" ca="1" si="292"/>
        <v>0</v>
      </c>
      <c r="V660" s="306">
        <f t="shared" ca="1" si="293"/>
        <v>0.93465588215907902</v>
      </c>
      <c r="W660" s="304">
        <f t="shared" ca="1" si="294"/>
        <v>1.7703562374560895</v>
      </c>
      <c r="Y660" s="314" t="str">
        <f t="shared" ca="1" si="312"/>
        <v/>
      </c>
      <c r="Z660" s="315" t="str">
        <f t="shared" ca="1" si="313"/>
        <v/>
      </c>
      <c r="AA660" s="316" t="str">
        <f t="shared" ca="1" si="314"/>
        <v/>
      </c>
      <c r="AC660" s="310" t="e">
        <f t="shared" ca="1" si="315"/>
        <v>#N/A</v>
      </c>
      <c r="AD660" s="323" t="e">
        <f t="shared" ca="1" si="316"/>
        <v>#N/A</v>
      </c>
      <c r="AE660" s="324">
        <f t="shared" ca="1" si="295"/>
        <v>2688.7998244484629</v>
      </c>
      <c r="AG660" s="306">
        <f t="shared" ca="1" si="317"/>
        <v>-7.5610729667633851</v>
      </c>
      <c r="AH660" s="304">
        <f t="shared" ca="1" si="318"/>
        <v>-0.20476034935260271</v>
      </c>
    </row>
    <row r="661" spans="1:34" x14ac:dyDescent="0.2">
      <c r="A661" s="347">
        <f t="shared" ca="1" si="296"/>
        <v>0.1</v>
      </c>
      <c r="B661" s="304">
        <f t="shared" ca="1" si="297"/>
        <v>20.699999999999964</v>
      </c>
      <c r="D661" s="306">
        <f t="shared" ca="1" si="298"/>
        <v>-0.13165548734797075</v>
      </c>
      <c r="E661" s="307">
        <f t="shared" ca="1" si="299"/>
        <v>-9.9521278618873108</v>
      </c>
      <c r="F661" s="304">
        <f t="shared" ca="1" si="300"/>
        <v>9.9529986509947115</v>
      </c>
      <c r="G661" s="306">
        <f t="shared" ca="1" si="301"/>
        <v>18.17657324089171</v>
      </c>
      <c r="H661" s="307">
        <f t="shared" ca="1" si="302"/>
        <v>18.641406503558986</v>
      </c>
      <c r="I661" s="304">
        <f t="shared" ca="1" si="303"/>
        <v>26.036317927318983</v>
      </c>
      <c r="J661" s="306">
        <f t="shared" ca="1" si="304"/>
        <v>446.91644797937937</v>
      </c>
      <c r="K661" s="307">
        <f t="shared" ca="1" si="305"/>
        <v>2690.7137257381282</v>
      </c>
      <c r="L661" s="304">
        <f t="shared" ca="1" si="290"/>
        <v>2727.5767020104245</v>
      </c>
      <c r="M661" s="306">
        <f t="shared" ca="1" si="306"/>
        <v>0.79802266291917623</v>
      </c>
      <c r="N661" s="304">
        <f t="shared" ca="1" si="307"/>
        <v>45.723330541059937</v>
      </c>
      <c r="P661" s="310">
        <f t="shared" ca="1" si="308"/>
        <v>23</v>
      </c>
      <c r="Q661" s="304">
        <f t="shared" ca="1" si="309"/>
        <v>0</v>
      </c>
      <c r="R661" s="306">
        <f t="shared" ca="1" si="310"/>
        <v>0</v>
      </c>
      <c r="S661" s="307">
        <f t="shared" ca="1" si="311"/>
        <v>9.137999999999975</v>
      </c>
      <c r="T661" s="304">
        <f t="shared" ca="1" si="291"/>
        <v>89.643779999999765</v>
      </c>
      <c r="U661" s="311">
        <f t="shared" ca="1" si="292"/>
        <v>0</v>
      </c>
      <c r="V661" s="306">
        <f t="shared" ca="1" si="293"/>
        <v>0.93447372093541459</v>
      </c>
      <c r="W661" s="304">
        <f t="shared" ca="1" si="294"/>
        <v>1.6747158413131253</v>
      </c>
      <c r="Y661" s="314" t="str">
        <f t="shared" ca="1" si="312"/>
        <v/>
      </c>
      <c r="Z661" s="315" t="str">
        <f t="shared" ca="1" si="313"/>
        <v/>
      </c>
      <c r="AA661" s="316" t="str">
        <f t="shared" ca="1" si="314"/>
        <v/>
      </c>
      <c r="AC661" s="310" t="e">
        <f t="shared" ca="1" si="315"/>
        <v>#N/A</v>
      </c>
      <c r="AD661" s="323" t="e">
        <f t="shared" ca="1" si="316"/>
        <v>#N/A</v>
      </c>
      <c r="AE661" s="324">
        <f t="shared" ca="1" si="295"/>
        <v>2690.7137257381282</v>
      </c>
      <c r="AG661" s="306">
        <f t="shared" ca="1" si="317"/>
        <v>-7.3905237809493292</v>
      </c>
      <c r="AH661" s="304">
        <f t="shared" ca="1" si="318"/>
        <v>-0.19373563552813464</v>
      </c>
    </row>
    <row r="662" spans="1:34" x14ac:dyDescent="0.2">
      <c r="A662" s="347">
        <f t="shared" ca="1" si="296"/>
        <v>0.1</v>
      </c>
      <c r="B662" s="304">
        <f t="shared" ca="1" si="297"/>
        <v>20.799999999999965</v>
      </c>
      <c r="D662" s="306">
        <f t="shared" ca="1" si="298"/>
        <v>-0.12794473507129941</v>
      </c>
      <c r="E662" s="307">
        <f t="shared" ca="1" si="299"/>
        <v>-9.941216692213942</v>
      </c>
      <c r="F662" s="304">
        <f t="shared" ca="1" si="300"/>
        <v>9.9420399907054069</v>
      </c>
      <c r="G662" s="306">
        <f t="shared" ca="1" si="301"/>
        <v>18.163778767384578</v>
      </c>
      <c r="H662" s="307">
        <f t="shared" ca="1" si="302"/>
        <v>17.647284834337594</v>
      </c>
      <c r="I662" s="304">
        <f t="shared" ca="1" si="303"/>
        <v>25.324879489046584</v>
      </c>
      <c r="J662" s="306">
        <f t="shared" ca="1" si="304"/>
        <v>448.73346557979318</v>
      </c>
      <c r="K662" s="307">
        <f t="shared" ca="1" si="305"/>
        <v>2692.528160305023</v>
      </c>
      <c r="L662" s="304">
        <f t="shared" ca="1" si="290"/>
        <v>2729.6647444634668</v>
      </c>
      <c r="M662" s="306">
        <f t="shared" ca="1" si="306"/>
        <v>0.7709764156850748</v>
      </c>
      <c r="N662" s="304">
        <f t="shared" ca="1" si="307"/>
        <v>44.173694722878551</v>
      </c>
      <c r="P662" s="310">
        <f t="shared" ca="1" si="308"/>
        <v>23</v>
      </c>
      <c r="Q662" s="304">
        <f t="shared" ca="1" si="309"/>
        <v>0</v>
      </c>
      <c r="R662" s="306">
        <f t="shared" ca="1" si="310"/>
        <v>0</v>
      </c>
      <c r="S662" s="307">
        <f t="shared" ca="1" si="311"/>
        <v>9.137999999999975</v>
      </c>
      <c r="T662" s="304">
        <f t="shared" ca="1" si="291"/>
        <v>89.643779999999765</v>
      </c>
      <c r="U662" s="311">
        <f t="shared" ca="1" si="292"/>
        <v>0</v>
      </c>
      <c r="V662" s="306">
        <f t="shared" ca="1" si="293"/>
        <v>0.93430105512498185</v>
      </c>
      <c r="W662" s="304">
        <f t="shared" ca="1" si="294"/>
        <v>1.5841507878432137</v>
      </c>
      <c r="Y662" s="314" t="str">
        <f t="shared" ca="1" si="312"/>
        <v/>
      </c>
      <c r="Z662" s="315" t="str">
        <f t="shared" ca="1" si="313"/>
        <v/>
      </c>
      <c r="AA662" s="316" t="str">
        <f t="shared" ca="1" si="314"/>
        <v/>
      </c>
      <c r="AC662" s="310" t="e">
        <f t="shared" ca="1" si="315"/>
        <v>#N/A</v>
      </c>
      <c r="AD662" s="323" t="e">
        <f t="shared" ca="1" si="316"/>
        <v>#N/A</v>
      </c>
      <c r="AE662" s="324">
        <f t="shared" ca="1" si="295"/>
        <v>2692.528160305023</v>
      </c>
      <c r="AG662" s="306">
        <f t="shared" ca="1" si="317"/>
        <v>-7.2070044186412412</v>
      </c>
      <c r="AH662" s="304">
        <f t="shared" ca="1" si="318"/>
        <v>-0.18326940701610089</v>
      </c>
    </row>
    <row r="663" spans="1:34" x14ac:dyDescent="0.2">
      <c r="A663" s="347">
        <f t="shared" ca="1" si="296"/>
        <v>0.1</v>
      </c>
      <c r="B663" s="304">
        <f t="shared" ca="1" si="297"/>
        <v>20.899999999999967</v>
      </c>
      <c r="D663" s="306">
        <f t="shared" ca="1" si="298"/>
        <v>-0.12433808668219486</v>
      </c>
      <c r="E663" s="307">
        <f t="shared" ca="1" si="299"/>
        <v>-9.93080248606514</v>
      </c>
      <c r="F663" s="304">
        <f t="shared" ca="1" si="300"/>
        <v>9.93158083977759</v>
      </c>
      <c r="G663" s="306">
        <f t="shared" ca="1" si="301"/>
        <v>18.151344958716358</v>
      </c>
      <c r="H663" s="307">
        <f t="shared" ca="1" si="302"/>
        <v>16.65420458573108</v>
      </c>
      <c r="I663" s="304">
        <f t="shared" ca="1" si="303"/>
        <v>24.633997933622222</v>
      </c>
      <c r="J663" s="306">
        <f t="shared" ca="1" si="304"/>
        <v>450.54922176609824</v>
      </c>
      <c r="K663" s="307">
        <f t="shared" ca="1" si="305"/>
        <v>2694.2432347760264</v>
      </c>
      <c r="L663" s="304">
        <f t="shared" ca="1" si="290"/>
        <v>2731.6553972583042</v>
      </c>
      <c r="M663" s="306">
        <f t="shared" ca="1" si="306"/>
        <v>0.74241024739079842</v>
      </c>
      <c r="N663" s="304">
        <f t="shared" ca="1" si="307"/>
        <v>42.53697384275609</v>
      </c>
      <c r="P663" s="310">
        <f t="shared" ca="1" si="308"/>
        <v>23</v>
      </c>
      <c r="Q663" s="304">
        <f t="shared" ca="1" si="309"/>
        <v>0</v>
      </c>
      <c r="R663" s="306">
        <f t="shared" ca="1" si="310"/>
        <v>0</v>
      </c>
      <c r="S663" s="307">
        <f t="shared" ca="1" si="311"/>
        <v>9.137999999999975</v>
      </c>
      <c r="T663" s="304">
        <f t="shared" ca="1" si="291"/>
        <v>89.643779999999765</v>
      </c>
      <c r="U663" s="311">
        <f t="shared" ca="1" si="292"/>
        <v>0</v>
      </c>
      <c r="V663" s="306">
        <f t="shared" ca="1" si="293"/>
        <v>0.93413787003541804</v>
      </c>
      <c r="W663" s="304">
        <f t="shared" ca="1" si="294"/>
        <v>1.4986343529675281</v>
      </c>
      <c r="Y663" s="314" t="str">
        <f t="shared" ca="1" si="312"/>
        <v/>
      </c>
      <c r="Z663" s="315" t="str">
        <f t="shared" ca="1" si="313"/>
        <v/>
      </c>
      <c r="AA663" s="316" t="str">
        <f t="shared" ca="1" si="314"/>
        <v/>
      </c>
      <c r="AC663" s="310" t="e">
        <f t="shared" ca="1" si="315"/>
        <v>#N/A</v>
      </c>
      <c r="AD663" s="323" t="e">
        <f t="shared" ca="1" si="316"/>
        <v>#N/A</v>
      </c>
      <c r="AE663" s="324">
        <f t="shared" ca="1" si="295"/>
        <v>2694.2432347760264</v>
      </c>
      <c r="AG663" s="306">
        <f t="shared" ca="1" si="317"/>
        <v>-7.0093186299571801</v>
      </c>
      <c r="AH663" s="304">
        <f t="shared" ca="1" si="318"/>
        <v>-0.17335858917084898</v>
      </c>
    </row>
    <row r="664" spans="1:34" x14ac:dyDescent="0.2">
      <c r="A664" s="347">
        <f t="shared" ca="1" si="296"/>
        <v>0.1</v>
      </c>
      <c r="B664" s="304">
        <f t="shared" ca="1" si="297"/>
        <v>20.999999999999968</v>
      </c>
      <c r="D664" s="306">
        <f t="shared" ca="1" si="298"/>
        <v>-0.12084214893124647</v>
      </c>
      <c r="E664" s="307">
        <f t="shared" ca="1" si="299"/>
        <v>-9.9208749723757492</v>
      </c>
      <c r="F664" s="304">
        <f t="shared" ca="1" si="300"/>
        <v>9.9216109096491909</v>
      </c>
      <c r="G664" s="306">
        <f t="shared" ca="1" si="301"/>
        <v>18.139260743823233</v>
      </c>
      <c r="H664" s="307">
        <f t="shared" ca="1" si="302"/>
        <v>15.662117088493504</v>
      </c>
      <c r="I664" s="304">
        <f t="shared" ca="1" si="303"/>
        <v>23.965280971148385</v>
      </c>
      <c r="J664" s="306">
        <f t="shared" ca="1" si="304"/>
        <v>452.36375205122522</v>
      </c>
      <c r="K664" s="307">
        <f t="shared" ca="1" si="305"/>
        <v>2695.8590508597376</v>
      </c>
      <c r="L664" s="304">
        <f t="shared" ca="1" si="290"/>
        <v>2733.5487898100937</v>
      </c>
      <c r="M664" s="306">
        <f t="shared" ca="1" si="306"/>
        <v>0.7122436544015972</v>
      </c>
      <c r="N664" s="304">
        <f t="shared" ca="1" si="307"/>
        <v>40.808555382185922</v>
      </c>
      <c r="P664" s="310">
        <f t="shared" ca="1" si="308"/>
        <v>23</v>
      </c>
      <c r="Q664" s="304">
        <f t="shared" ca="1" si="309"/>
        <v>0</v>
      </c>
      <c r="R664" s="306">
        <f t="shared" ca="1" si="310"/>
        <v>0</v>
      </c>
      <c r="S664" s="307">
        <f t="shared" ca="1" si="311"/>
        <v>9.137999999999975</v>
      </c>
      <c r="T664" s="304">
        <f t="shared" ca="1" si="291"/>
        <v>89.643779999999765</v>
      </c>
      <c r="U664" s="311">
        <f t="shared" ca="1" si="292"/>
        <v>0</v>
      </c>
      <c r="V664" s="306">
        <f t="shared" ca="1" si="293"/>
        <v>0.93398415169897897</v>
      </c>
      <c r="W664" s="304">
        <f t="shared" ca="1" si="294"/>
        <v>1.4181411551849166</v>
      </c>
      <c r="Y664" s="314" t="str">
        <f t="shared" ca="1" si="312"/>
        <v/>
      </c>
      <c r="Z664" s="315" t="str">
        <f t="shared" ca="1" si="313"/>
        <v/>
      </c>
      <c r="AA664" s="316" t="str">
        <f t="shared" ca="1" si="314"/>
        <v/>
      </c>
      <c r="AC664" s="310">
        <f t="shared" ca="1" si="315"/>
        <v>20.999999999999968</v>
      </c>
      <c r="AD664" s="323">
        <f t="shared" ca="1" si="316"/>
        <v>452.36375205122522</v>
      </c>
      <c r="AE664" s="324">
        <f t="shared" ca="1" si="295"/>
        <v>2695.8590508597376</v>
      </c>
      <c r="AG664" s="306">
        <f t="shared" ca="1" si="317"/>
        <v>-6.7962061798221152</v>
      </c>
      <c r="AH664" s="304">
        <f t="shared" ca="1" si="318"/>
        <v>-0.16400025749261679</v>
      </c>
    </row>
    <row r="665" spans="1:34" x14ac:dyDescent="0.2">
      <c r="A665" s="347">
        <f t="shared" ca="1" si="296"/>
        <v>0.1</v>
      </c>
      <c r="B665" s="304">
        <f t="shared" ca="1" si="297"/>
        <v>21.099999999999969</v>
      </c>
      <c r="D665" s="306">
        <f t="shared" ca="1" si="298"/>
        <v>-0.11746415679856183</v>
      </c>
      <c r="E665" s="307">
        <f t="shared" ca="1" si="299"/>
        <v>-9.9114229523166593</v>
      </c>
      <c r="F665" s="304">
        <f t="shared" ca="1" si="300"/>
        <v>9.9121189847500251</v>
      </c>
      <c r="G665" s="306">
        <f t="shared" ca="1" si="301"/>
        <v>18.127514328143377</v>
      </c>
      <c r="H665" s="307">
        <f t="shared" ca="1" si="302"/>
        <v>14.670974793261838</v>
      </c>
      <c r="I665" s="304">
        <f t="shared" ca="1" si="303"/>
        <v>23.320469058352312</v>
      </c>
      <c r="J665" s="306">
        <f t="shared" ca="1" si="304"/>
        <v>454.17709080482354</v>
      </c>
      <c r="K665" s="307">
        <f t="shared" ca="1" si="305"/>
        <v>2697.3757054538255</v>
      </c>
      <c r="L665" s="304">
        <f t="shared" ca="1" si="290"/>
        <v>2735.3450470067673</v>
      </c>
      <c r="M665" s="306">
        <f t="shared" ca="1" si="306"/>
        <v>0.68039858566371092</v>
      </c>
      <c r="N665" s="304">
        <f t="shared" ca="1" si="307"/>
        <v>38.983967345201037</v>
      </c>
      <c r="P665" s="310">
        <f t="shared" ca="1" si="308"/>
        <v>23</v>
      </c>
      <c r="Q665" s="304">
        <f t="shared" ca="1" si="309"/>
        <v>0</v>
      </c>
      <c r="R665" s="306">
        <f t="shared" ca="1" si="310"/>
        <v>0</v>
      </c>
      <c r="S665" s="307">
        <f t="shared" ca="1" si="311"/>
        <v>9.137999999999975</v>
      </c>
      <c r="T665" s="304">
        <f t="shared" ca="1" si="291"/>
        <v>89.643779999999765</v>
      </c>
      <c r="U665" s="311">
        <f t="shared" ca="1" si="292"/>
        <v>0</v>
      </c>
      <c r="V665" s="306">
        <f t="shared" ca="1" si="293"/>
        <v>0.93383988686084374</v>
      </c>
      <c r="W665" s="304">
        <f t="shared" ca="1" si="294"/>
        <v>1.3426471250263134</v>
      </c>
      <c r="Y665" s="314" t="str">
        <f t="shared" ca="1" si="312"/>
        <v/>
      </c>
      <c r="Z665" s="315" t="str">
        <f t="shared" ca="1" si="313"/>
        <v/>
      </c>
      <c r="AA665" s="316" t="str">
        <f t="shared" ca="1" si="314"/>
        <v/>
      </c>
      <c r="AC665" s="310" t="e">
        <f t="shared" ca="1" si="315"/>
        <v>#N/A</v>
      </c>
      <c r="AD665" s="323" t="e">
        <f t="shared" ca="1" si="316"/>
        <v>#N/A</v>
      </c>
      <c r="AE665" s="324">
        <f t="shared" ca="1" si="295"/>
        <v>2697.3757054538255</v>
      </c>
      <c r="AG665" s="306">
        <f t="shared" ca="1" si="317"/>
        <v>-6.5663565534840984</v>
      </c>
      <c r="AH665" s="304">
        <f t="shared" ca="1" si="318"/>
        <v>-0.15519163440412787</v>
      </c>
    </row>
    <row r="666" spans="1:34" x14ac:dyDescent="0.2">
      <c r="A666" s="347">
        <f t="shared" ca="1" si="296"/>
        <v>0.1</v>
      </c>
      <c r="B666" s="304">
        <f t="shared" ca="1" si="297"/>
        <v>21.199999999999971</v>
      </c>
      <c r="D666" s="306">
        <f t="shared" ca="1" si="298"/>
        <v>-0.11421199251464949</v>
      </c>
      <c r="E666" s="307">
        <f t="shared" ca="1" si="299"/>
        <v>-9.9024341436414822</v>
      </c>
      <c r="F666" s="304">
        <f t="shared" ca="1" si="300"/>
        <v>9.9030927668274806</v>
      </c>
      <c r="G666" s="306">
        <f t="shared" ca="1" si="301"/>
        <v>18.116093128891912</v>
      </c>
      <c r="H666" s="307">
        <f t="shared" ca="1" si="302"/>
        <v>13.68073137889769</v>
      </c>
      <c r="I666" s="304">
        <f t="shared" ca="1" si="303"/>
        <v>22.701436987914235</v>
      </c>
      <c r="J666" s="306">
        <f t="shared" ca="1" si="304"/>
        <v>455.98927117767528</v>
      </c>
      <c r="K666" s="307">
        <f t="shared" ca="1" si="305"/>
        <v>2698.7932907624336</v>
      </c>
      <c r="L666" s="304">
        <f t="shared" ca="1" si="290"/>
        <v>2737.0442893189493</v>
      </c>
      <c r="M666" s="306">
        <f t="shared" ca="1" si="306"/>
        <v>0.64680175279536667</v>
      </c>
      <c r="N666" s="304">
        <f t="shared" ca="1" si="307"/>
        <v>37.059010616838506</v>
      </c>
      <c r="P666" s="310">
        <f t="shared" ca="1" si="308"/>
        <v>23</v>
      </c>
      <c r="Q666" s="304">
        <f t="shared" ca="1" si="309"/>
        <v>0</v>
      </c>
      <c r="R666" s="306">
        <f t="shared" ca="1" si="310"/>
        <v>0</v>
      </c>
      <c r="S666" s="307">
        <f t="shared" ca="1" si="311"/>
        <v>9.137999999999975</v>
      </c>
      <c r="T666" s="304">
        <f t="shared" ca="1" si="291"/>
        <v>89.643779999999765</v>
      </c>
      <c r="U666" s="311">
        <f t="shared" ca="1" si="292"/>
        <v>0</v>
      </c>
      <c r="V666" s="306">
        <f t="shared" ca="1" si="293"/>
        <v>0.93370506296654909</v>
      </c>
      <c r="W666" s="304">
        <f t="shared" ca="1" si="294"/>
        <v>1.2721294731148394</v>
      </c>
      <c r="Y666" s="314" t="str">
        <f t="shared" ca="1" si="312"/>
        <v/>
      </c>
      <c r="Z666" s="315" t="str">
        <f t="shared" ca="1" si="313"/>
        <v/>
      </c>
      <c r="AA666" s="316" t="str">
        <f t="shared" ca="1" si="314"/>
        <v/>
      </c>
      <c r="AC666" s="310" t="e">
        <f t="shared" ca="1" si="315"/>
        <v>#N/A</v>
      </c>
      <c r="AD666" s="323" t="e">
        <f t="shared" ca="1" si="316"/>
        <v>#N/A</v>
      </c>
      <c r="AE666" s="324">
        <f t="shared" ca="1" si="295"/>
        <v>2698.7932907624336</v>
      </c>
      <c r="AG666" s="306">
        <f t="shared" ca="1" si="317"/>
        <v>-6.3184295682629585</v>
      </c>
      <c r="AH666" s="304">
        <f t="shared" ca="1" si="318"/>
        <v>-0.146930085907892</v>
      </c>
    </row>
    <row r="667" spans="1:34" x14ac:dyDescent="0.2">
      <c r="A667" s="347">
        <f t="shared" ca="1" si="296"/>
        <v>0.1</v>
      </c>
      <c r="B667" s="304">
        <f t="shared" ca="1" si="297"/>
        <v>21.299999999999972</v>
      </c>
      <c r="D667" s="306">
        <f t="shared" ca="1" si="298"/>
        <v>-0.11109419255887737</v>
      </c>
      <c r="E667" s="307">
        <f t="shared" ca="1" si="299"/>
        <v>-9.8938950095553242</v>
      </c>
      <c r="F667" s="304">
        <f t="shared" ca="1" si="300"/>
        <v>9.8945187037937359</v>
      </c>
      <c r="G667" s="306">
        <f t="shared" ca="1" si="301"/>
        <v>18.104983709636024</v>
      </c>
      <c r="H667" s="307">
        <f t="shared" ca="1" si="302"/>
        <v>12.691341877942158</v>
      </c>
      <c r="I667" s="304">
        <f t="shared" ca="1" si="303"/>
        <v>22.110192079423332</v>
      </c>
      <c r="J667" s="306">
        <f t="shared" ca="1" si="304"/>
        <v>457.8003250196017</v>
      </c>
      <c r="K667" s="307">
        <f t="shared" ca="1" si="305"/>
        <v>2700.1118944252758</v>
      </c>
      <c r="L667" s="304">
        <f t="shared" ca="1" si="290"/>
        <v>2738.6466329201553</v>
      </c>
      <c r="M667" s="306">
        <f t="shared" ca="1" si="306"/>
        <v>0.61138746831720203</v>
      </c>
      <c r="N667" s="304">
        <f t="shared" ca="1" si="307"/>
        <v>35.029921581764015</v>
      </c>
      <c r="P667" s="310">
        <f t="shared" ca="1" si="308"/>
        <v>23</v>
      </c>
      <c r="Q667" s="304">
        <f t="shared" ca="1" si="309"/>
        <v>0</v>
      </c>
      <c r="R667" s="306">
        <f t="shared" ca="1" si="310"/>
        <v>0</v>
      </c>
      <c r="S667" s="307">
        <f t="shared" ca="1" si="311"/>
        <v>9.137999999999975</v>
      </c>
      <c r="T667" s="304">
        <f t="shared" ca="1" si="291"/>
        <v>89.643779999999765</v>
      </c>
      <c r="U667" s="311">
        <f t="shared" ca="1" si="292"/>
        <v>0</v>
      </c>
      <c r="V667" s="306">
        <f t="shared" ca="1" si="293"/>
        <v>0.93357966814839755</v>
      </c>
      <c r="W667" s="304">
        <f t="shared" ca="1" si="294"/>
        <v>1.2065666564974893</v>
      </c>
      <c r="Y667" s="314" t="str">
        <f t="shared" ca="1" si="312"/>
        <v/>
      </c>
      <c r="Z667" s="315" t="str">
        <f t="shared" ca="1" si="313"/>
        <v/>
      </c>
      <c r="AA667" s="316" t="str">
        <f t="shared" ca="1" si="314"/>
        <v/>
      </c>
      <c r="AC667" s="310" t="e">
        <f t="shared" ca="1" si="315"/>
        <v>#N/A</v>
      </c>
      <c r="AD667" s="323" t="e">
        <f t="shared" ca="1" si="316"/>
        <v>#N/A</v>
      </c>
      <c r="AE667" s="324">
        <f t="shared" ca="1" si="295"/>
        <v>2700.1118944252758</v>
      </c>
      <c r="AG667" s="306">
        <f t="shared" ca="1" si="317"/>
        <v>-6.0510844634350871</v>
      </c>
      <c r="AH667" s="304">
        <f t="shared" ca="1" si="318"/>
        <v>-0.13921311809092174</v>
      </c>
    </row>
    <row r="668" spans="1:34" x14ac:dyDescent="0.2">
      <c r="A668" s="347">
        <f t="shared" ca="1" si="296"/>
        <v>0.1</v>
      </c>
      <c r="B668" s="304">
        <f t="shared" ca="1" si="297"/>
        <v>21.399999999999974</v>
      </c>
      <c r="D668" s="306">
        <f t="shared" ca="1" si="298"/>
        <v>-0.10811993815324107</v>
      </c>
      <c r="E668" s="307">
        <f t="shared" ca="1" si="299"/>
        <v>-9.8857905735200653</v>
      </c>
      <c r="F668" s="304">
        <f t="shared" ca="1" si="300"/>
        <v>9.8863818045088898</v>
      </c>
      <c r="G668" s="306">
        <f t="shared" ca="1" si="301"/>
        <v>18.0941717158207</v>
      </c>
      <c r="H668" s="307">
        <f t="shared" ca="1" si="302"/>
        <v>11.70276282059015</v>
      </c>
      <c r="I668" s="304">
        <f t="shared" ca="1" si="303"/>
        <v>21.548867898722499</v>
      </c>
      <c r="J668" s="306">
        <f t="shared" ca="1" si="304"/>
        <v>459.61028279087452</v>
      </c>
      <c r="K668" s="307">
        <f t="shared" ca="1" si="305"/>
        <v>2701.3315996602023</v>
      </c>
      <c r="L668" s="304">
        <f t="shared" ca="1" si="290"/>
        <v>2740.152189818999</v>
      </c>
      <c r="M668" s="306">
        <f t="shared" ca="1" si="306"/>
        <v>0.57410103796294343</v>
      </c>
      <c r="N668" s="304">
        <f t="shared" ca="1" si="307"/>
        <v>32.893566489356509</v>
      </c>
      <c r="P668" s="310">
        <f t="shared" ca="1" si="308"/>
        <v>23</v>
      </c>
      <c r="Q668" s="304">
        <f t="shared" ca="1" si="309"/>
        <v>0</v>
      </c>
      <c r="R668" s="306">
        <f t="shared" ca="1" si="310"/>
        <v>0</v>
      </c>
      <c r="S668" s="307">
        <f t="shared" ca="1" si="311"/>
        <v>9.137999999999975</v>
      </c>
      <c r="T668" s="304">
        <f t="shared" ca="1" si="291"/>
        <v>89.643779999999765</v>
      </c>
      <c r="U668" s="311">
        <f t="shared" ca="1" si="292"/>
        <v>0</v>
      </c>
      <c r="V668" s="306">
        <f t="shared" ca="1" si="293"/>
        <v>0.93346369121067074</v>
      </c>
      <c r="W668" s="304">
        <f t="shared" ca="1" si="294"/>
        <v>1.1459383428861418</v>
      </c>
      <c r="Y668" s="314" t="str">
        <f t="shared" ca="1" si="312"/>
        <v/>
      </c>
      <c r="Z668" s="315" t="str">
        <f t="shared" ca="1" si="313"/>
        <v/>
      </c>
      <c r="AA668" s="316" t="str">
        <f t="shared" ca="1" si="314"/>
        <v/>
      </c>
      <c r="AC668" s="310" t="e">
        <f t="shared" ca="1" si="315"/>
        <v>#N/A</v>
      </c>
      <c r="AD668" s="323" t="e">
        <f t="shared" ca="1" si="316"/>
        <v>#N/A</v>
      </c>
      <c r="AE668" s="324">
        <f t="shared" ca="1" si="295"/>
        <v>2701.3315996602023</v>
      </c>
      <c r="AG668" s="306">
        <f t="shared" ca="1" si="317"/>
        <v>-5.763019025954824</v>
      </c>
      <c r="AH668" s="304">
        <f t="shared" ca="1" si="318"/>
        <v>-0.13203837344030342</v>
      </c>
    </row>
    <row r="669" spans="1:34" x14ac:dyDescent="0.2">
      <c r="A669" s="347">
        <f t="shared" ca="1" si="296"/>
        <v>0.1</v>
      </c>
      <c r="B669" s="304">
        <f t="shared" ca="1" si="297"/>
        <v>21.499999999999975</v>
      </c>
      <c r="D669" s="306">
        <f t="shared" ca="1" si="298"/>
        <v>-0.10529902406577335</v>
      </c>
      <c r="E669" s="307">
        <f t="shared" ca="1" si="299"/>
        <v>-9.8781042229086342</v>
      </c>
      <c r="F669" s="304">
        <f t="shared" ca="1" si="300"/>
        <v>9.8786654424124816</v>
      </c>
      <c r="G669" s="306">
        <f t="shared" ca="1" si="301"/>
        <v>18.083641813414122</v>
      </c>
      <c r="H669" s="307">
        <f t="shared" ca="1" si="302"/>
        <v>10.714952398299287</v>
      </c>
      <c r="I669" s="304">
        <f t="shared" ca="1" si="303"/>
        <v>21.019712322809731</v>
      </c>
      <c r="J669" s="306">
        <f t="shared" ca="1" si="304"/>
        <v>461.41917346733624</v>
      </c>
      <c r="K669" s="307">
        <f t="shared" ca="1" si="305"/>
        <v>2702.4524854211468</v>
      </c>
      <c r="L669" s="304">
        <f t="shared" ca="1" si="290"/>
        <v>2741.5610680052728</v>
      </c>
      <c r="M669" s="306">
        <f t="shared" ca="1" si="306"/>
        <v>0.53490269484425312</v>
      </c>
      <c r="N669" s="304">
        <f t="shared" ca="1" si="307"/>
        <v>30.647666864749883</v>
      </c>
      <c r="P669" s="310">
        <f t="shared" ca="1" si="308"/>
        <v>23</v>
      </c>
      <c r="Q669" s="304">
        <f t="shared" ca="1" si="309"/>
        <v>0</v>
      </c>
      <c r="R669" s="306">
        <f t="shared" ca="1" si="310"/>
        <v>0</v>
      </c>
      <c r="S669" s="307">
        <f t="shared" ca="1" si="311"/>
        <v>9.137999999999975</v>
      </c>
      <c r="T669" s="304">
        <f t="shared" ca="1" si="291"/>
        <v>89.643779999999765</v>
      </c>
      <c r="U669" s="311">
        <f t="shared" ca="1" si="292"/>
        <v>0</v>
      </c>
      <c r="V669" s="306">
        <f t="shared" ca="1" si="293"/>
        <v>0.93335712161346307</v>
      </c>
      <c r="W669" s="304">
        <f t="shared" ca="1" si="294"/>
        <v>1.0902253724218407</v>
      </c>
      <c r="Y669" s="314" t="str">
        <f t="shared" ca="1" si="312"/>
        <v/>
      </c>
      <c r="Z669" s="315" t="str">
        <f t="shared" ca="1" si="313"/>
        <v/>
      </c>
      <c r="AA669" s="316" t="str">
        <f t="shared" ca="1" si="314"/>
        <v/>
      </c>
      <c r="AC669" s="310" t="e">
        <f t="shared" ca="1" si="315"/>
        <v>#N/A</v>
      </c>
      <c r="AD669" s="323" t="e">
        <f t="shared" ca="1" si="316"/>
        <v>#N/A</v>
      </c>
      <c r="AE669" s="324">
        <f t="shared" ca="1" si="295"/>
        <v>2702.4524854211468</v>
      </c>
      <c r="AG669" s="306">
        <f t="shared" ca="1" si="317"/>
        <v>-5.4530200849990091</v>
      </c>
      <c r="AH669" s="304">
        <f t="shared" ca="1" si="318"/>
        <v>-0.12540362692997867</v>
      </c>
    </row>
    <row r="670" spans="1:34" x14ac:dyDescent="0.2">
      <c r="A670" s="347">
        <f t="shared" ca="1" si="296"/>
        <v>0.1</v>
      </c>
      <c r="B670" s="304">
        <f t="shared" ca="1" si="297"/>
        <v>21.599999999999977</v>
      </c>
      <c r="D670" s="306">
        <f t="shared" ca="1" si="298"/>
        <v>-0.10264180001650124</v>
      </c>
      <c r="E670" s="307">
        <f t="shared" ca="1" si="299"/>
        <v>-9.8708175063740065</v>
      </c>
      <c r="F670" s="304">
        <f t="shared" ca="1" si="300"/>
        <v>9.8713511528691029</v>
      </c>
      <c r="G670" s="306">
        <f t="shared" ca="1" si="301"/>
        <v>18.073377633412473</v>
      </c>
      <c r="H670" s="307">
        <f t="shared" ca="1" si="302"/>
        <v>9.7278706476618861</v>
      </c>
      <c r="I670" s="304">
        <f t="shared" ca="1" si="303"/>
        <v>20.52506873112916</v>
      </c>
      <c r="J670" s="306">
        <f t="shared" ca="1" si="304"/>
        <v>463.22702443967756</v>
      </c>
      <c r="K670" s="307">
        <f t="shared" ca="1" si="305"/>
        <v>2703.4746265734448</v>
      </c>
      <c r="L670" s="304">
        <f t="shared" ca="1" si="290"/>
        <v>2742.8733716119059</v>
      </c>
      <c r="M670" s="306">
        <f t="shared" ca="1" si="306"/>
        <v>0.49377200682581446</v>
      </c>
      <c r="N670" s="304">
        <f t="shared" ca="1" si="307"/>
        <v>28.291052032824044</v>
      </c>
      <c r="P670" s="310">
        <f t="shared" ca="1" si="308"/>
        <v>23</v>
      </c>
      <c r="Q670" s="304">
        <f t="shared" ca="1" si="309"/>
        <v>0</v>
      </c>
      <c r="R670" s="306">
        <f t="shared" ca="1" si="310"/>
        <v>0</v>
      </c>
      <c r="S670" s="307">
        <f t="shared" ca="1" si="311"/>
        <v>9.137999999999975</v>
      </c>
      <c r="T670" s="304">
        <f t="shared" ca="1" si="291"/>
        <v>89.643779999999765</v>
      </c>
      <c r="U670" s="311">
        <f t="shared" ca="1" si="292"/>
        <v>0</v>
      </c>
      <c r="V670" s="306">
        <f t="shared" ca="1" si="293"/>
        <v>0.93325994945494384</v>
      </c>
      <c r="W670" s="304">
        <f t="shared" ca="1" si="294"/>
        <v>1.0394097165602754</v>
      </c>
      <c r="Y670" s="314" t="str">
        <f t="shared" ca="1" si="312"/>
        <v/>
      </c>
      <c r="Z670" s="315" t="str">
        <f t="shared" ca="1" si="313"/>
        <v/>
      </c>
      <c r="AA670" s="316" t="str">
        <f t="shared" ca="1" si="314"/>
        <v/>
      </c>
      <c r="AC670" s="310" t="e">
        <f t="shared" ca="1" si="315"/>
        <v>#N/A</v>
      </c>
      <c r="AD670" s="323" t="e">
        <f t="shared" ca="1" si="316"/>
        <v>#N/A</v>
      </c>
      <c r="AE670" s="324">
        <f t="shared" ca="1" si="295"/>
        <v>2703.4746265734448</v>
      </c>
      <c r="AG670" s="306">
        <f t="shared" ca="1" si="317"/>
        <v>-5.1200261738545692</v>
      </c>
      <c r="AH670" s="304">
        <f t="shared" ca="1" si="318"/>
        <v>-0.11930678183648978</v>
      </c>
    </row>
    <row r="671" spans="1:34" x14ac:dyDescent="0.2">
      <c r="A671" s="347">
        <f t="shared" ca="1" si="296"/>
        <v>0.1</v>
      </c>
      <c r="B671" s="304">
        <f t="shared" ca="1" si="297"/>
        <v>21.699999999999978</v>
      </c>
      <c r="D671" s="306">
        <f t="shared" ca="1" si="298"/>
        <v>-0.100159078814595</v>
      </c>
      <c r="E671" s="307">
        <f t="shared" ca="1" si="299"/>
        <v>-9.8639099322030486</v>
      </c>
      <c r="F671" s="304">
        <f t="shared" ca="1" si="300"/>
        <v>9.8644184314982777</v>
      </c>
      <c r="G671" s="306">
        <f t="shared" ca="1" si="301"/>
        <v>18.063361725531013</v>
      </c>
      <c r="H671" s="307">
        <f t="shared" ca="1" si="302"/>
        <v>8.7414796544415818</v>
      </c>
      <c r="I671" s="304">
        <f t="shared" ca="1" si="303"/>
        <v>20.067349186586526</v>
      </c>
      <c r="J671" s="306">
        <f t="shared" ca="1" si="304"/>
        <v>465.03386140762473</v>
      </c>
      <c r="K671" s="307">
        <f t="shared" ca="1" si="305"/>
        <v>2704.3980940885499</v>
      </c>
      <c r="L671" s="304">
        <f t="shared" ca="1" si="290"/>
        <v>2744.0892010948673</v>
      </c>
      <c r="M671" s="306">
        <f t="shared" ca="1" si="306"/>
        <v>0.45071261258296774</v>
      </c>
      <c r="N671" s="304">
        <f t="shared" ca="1" si="307"/>
        <v>25.823930474319013</v>
      </c>
      <c r="P671" s="310">
        <f t="shared" ca="1" si="308"/>
        <v>23</v>
      </c>
      <c r="Q671" s="304">
        <f t="shared" ca="1" si="309"/>
        <v>0</v>
      </c>
      <c r="R671" s="306">
        <f t="shared" ca="1" si="310"/>
        <v>0</v>
      </c>
      <c r="S671" s="307">
        <f t="shared" ca="1" si="311"/>
        <v>9.137999999999975</v>
      </c>
      <c r="T671" s="304">
        <f t="shared" ca="1" si="291"/>
        <v>89.643779999999765</v>
      </c>
      <c r="U671" s="311">
        <f t="shared" ca="1" si="292"/>
        <v>0</v>
      </c>
      <c r="V671" s="306">
        <f t="shared" ca="1" si="293"/>
        <v>0.93317216545185278</v>
      </c>
      <c r="W671" s="304">
        <f t="shared" ca="1" si="294"/>
        <v>0.99347443367248334</v>
      </c>
      <c r="Y671" s="314" t="str">
        <f t="shared" ca="1" si="312"/>
        <v/>
      </c>
      <c r="Z671" s="315" t="str">
        <f t="shared" ca="1" si="313"/>
        <v/>
      </c>
      <c r="AA671" s="316" t="str">
        <f t="shared" ca="1" si="314"/>
        <v/>
      </c>
      <c r="AC671" s="310" t="e">
        <f t="shared" ca="1" si="315"/>
        <v>#N/A</v>
      </c>
      <c r="AD671" s="323" t="e">
        <f t="shared" ca="1" si="316"/>
        <v>#N/A</v>
      </c>
      <c r="AE671" s="324">
        <f t="shared" ca="1" si="295"/>
        <v>2704.3980940885499</v>
      </c>
      <c r="AG671" s="306">
        <f t="shared" ca="1" si="317"/>
        <v>-4.7632022107295064</v>
      </c>
      <c r="AH671" s="304">
        <f t="shared" ca="1" si="318"/>
        <v>-0.11374586523968902</v>
      </c>
    </row>
    <row r="672" spans="1:34" x14ac:dyDescent="0.2">
      <c r="A672" s="347">
        <f t="shared" ca="1" si="296"/>
        <v>0.1</v>
      </c>
      <c r="B672" s="304">
        <f t="shared" ca="1" si="297"/>
        <v>21.799999999999979</v>
      </c>
      <c r="D672" s="306">
        <f t="shared" ca="1" si="298"/>
        <v>-9.7862005768559523E-2</v>
      </c>
      <c r="E672" s="307">
        <f t="shared" ca="1" si="299"/>
        <v>-9.8573587776941647</v>
      </c>
      <c r="F672" s="304">
        <f t="shared" ca="1" si="300"/>
        <v>9.8578445435276194</v>
      </c>
      <c r="G672" s="306">
        <f t="shared" ca="1" si="301"/>
        <v>18.053575524954159</v>
      </c>
      <c r="H672" s="307">
        <f t="shared" ca="1" si="302"/>
        <v>7.7557437766721655</v>
      </c>
      <c r="I672" s="304">
        <f t="shared" ca="1" si="303"/>
        <v>19.64899872168078</v>
      </c>
      <c r="J672" s="306">
        <f t="shared" ca="1" si="304"/>
        <v>466.839708270149</v>
      </c>
      <c r="K672" s="307">
        <f t="shared" ca="1" si="305"/>
        <v>2705.2229552601057</v>
      </c>
      <c r="L672" s="304">
        <f t="shared" ca="1" si="290"/>
        <v>2745.2086534331006</v>
      </c>
      <c r="M672" s="306">
        <f t="shared" ca="1" si="306"/>
        <v>0.40575704874186308</v>
      </c>
      <c r="N672" s="304">
        <f t="shared" ca="1" si="307"/>
        <v>23.248166400592783</v>
      </c>
      <c r="P672" s="310">
        <f t="shared" ca="1" si="308"/>
        <v>23</v>
      </c>
      <c r="Q672" s="304">
        <f t="shared" ca="1" si="309"/>
        <v>0</v>
      </c>
      <c r="R672" s="306">
        <f t="shared" ca="1" si="310"/>
        <v>0</v>
      </c>
      <c r="S672" s="307">
        <f t="shared" ca="1" si="311"/>
        <v>9.137999999999975</v>
      </c>
      <c r="T672" s="304">
        <f t="shared" ca="1" si="291"/>
        <v>89.643779999999765</v>
      </c>
      <c r="U672" s="311">
        <f t="shared" ca="1" si="292"/>
        <v>0</v>
      </c>
      <c r="V672" s="306">
        <f t="shared" ca="1" si="293"/>
        <v>0.93309376091804452</v>
      </c>
      <c r="W672" s="304">
        <f t="shared" ca="1" si="294"/>
        <v>0.95240362096807563</v>
      </c>
      <c r="Y672" s="314" t="str">
        <f t="shared" ca="1" si="312"/>
        <v/>
      </c>
      <c r="Z672" s="315" t="str">
        <f t="shared" ca="1" si="313"/>
        <v/>
      </c>
      <c r="AA672" s="316" t="str">
        <f t="shared" ca="1" si="314"/>
        <v/>
      </c>
      <c r="AC672" s="310" t="e">
        <f t="shared" ca="1" si="315"/>
        <v>#N/A</v>
      </c>
      <c r="AD672" s="323" t="e">
        <f t="shared" ca="1" si="316"/>
        <v>#N/A</v>
      </c>
      <c r="AE672" s="324">
        <f t="shared" ca="1" si="295"/>
        <v>2705.2229552601057</v>
      </c>
      <c r="AG672" s="306">
        <f t="shared" ca="1" si="317"/>
        <v>-4.3820246108990997</v>
      </c>
      <c r="AH672" s="304">
        <f t="shared" ca="1" si="318"/>
        <v>-0.10871902316398403</v>
      </c>
    </row>
    <row r="673" spans="1:34" x14ac:dyDescent="0.2">
      <c r="A673" s="347">
        <f t="shared" ca="1" si="296"/>
        <v>0.1</v>
      </c>
      <c r="B673" s="304">
        <f t="shared" ca="1" si="297"/>
        <v>21.899999999999981</v>
      </c>
      <c r="D673" s="306">
        <f t="shared" ca="1" si="298"/>
        <v>-9.5761885146526116E-2</v>
      </c>
      <c r="E673" s="307">
        <f t="shared" ca="1" si="299"/>
        <v>-9.8511389225220789</v>
      </c>
      <c r="F673" s="304">
        <f t="shared" ca="1" si="300"/>
        <v>9.8516043571327145</v>
      </c>
      <c r="G673" s="306">
        <f t="shared" ca="1" si="301"/>
        <v>18.043999336439505</v>
      </c>
      <c r="H673" s="307">
        <f t="shared" ca="1" si="302"/>
        <v>6.7706298844199573</v>
      </c>
      <c r="I673" s="304">
        <f t="shared" ca="1" si="303"/>
        <v>19.272450313471555</v>
      </c>
      <c r="J673" s="306">
        <f t="shared" ca="1" si="304"/>
        <v>468.64458701321871</v>
      </c>
      <c r="K673" s="307">
        <f t="shared" ca="1" si="305"/>
        <v>2705.9492739431603</v>
      </c>
      <c r="L673" s="304">
        <f t="shared" ca="1" si="290"/>
        <v>2746.2318223504562</v>
      </c>
      <c r="M673" s="306">
        <f t="shared" ca="1" si="306"/>
        <v>0.35897132790554281</v>
      </c>
      <c r="N673" s="304">
        <f t="shared" ca="1" si="307"/>
        <v>20.567542055194355</v>
      </c>
      <c r="P673" s="310">
        <f t="shared" ca="1" si="308"/>
        <v>23</v>
      </c>
      <c r="Q673" s="304">
        <f t="shared" ca="1" si="309"/>
        <v>0</v>
      </c>
      <c r="R673" s="306">
        <f t="shared" ca="1" si="310"/>
        <v>0</v>
      </c>
      <c r="S673" s="307">
        <f t="shared" ca="1" si="311"/>
        <v>9.137999999999975</v>
      </c>
      <c r="T673" s="304">
        <f t="shared" ca="1" si="291"/>
        <v>89.643779999999765</v>
      </c>
      <c r="U673" s="311">
        <f t="shared" ca="1" si="292"/>
        <v>0</v>
      </c>
      <c r="V673" s="306">
        <f t="shared" ca="1" si="293"/>
        <v>0.93302472774090572</v>
      </c>
      <c r="W673" s="304">
        <f t="shared" ca="1" si="294"/>
        <v>0.91618236238429729</v>
      </c>
      <c r="Y673" s="314" t="str">
        <f t="shared" ca="1" si="312"/>
        <v/>
      </c>
      <c r="Z673" s="315" t="str">
        <f t="shared" ca="1" si="313"/>
        <v/>
      </c>
      <c r="AA673" s="316" t="str">
        <f t="shared" ca="1" si="314"/>
        <v/>
      </c>
      <c r="AC673" s="310" t="e">
        <f t="shared" ca="1" si="315"/>
        <v>#N/A</v>
      </c>
      <c r="AD673" s="323" t="e">
        <f t="shared" ca="1" si="316"/>
        <v>#N/A</v>
      </c>
      <c r="AE673" s="324">
        <f t="shared" ca="1" si="295"/>
        <v>2705.9492739431603</v>
      </c>
      <c r="AG673" s="306">
        <f t="shared" ca="1" si="317"/>
        <v>-3.9763732963745109</v>
      </c>
      <c r="AH673" s="304">
        <f t="shared" ca="1" si="318"/>
        <v>-0.10422451531714579</v>
      </c>
    </row>
    <row r="674" spans="1:34" x14ac:dyDescent="0.2">
      <c r="A674" s="347">
        <f t="shared" ca="1" si="296"/>
        <v>0.1</v>
      </c>
      <c r="B674" s="304">
        <f t="shared" ca="1" si="297"/>
        <v>21.999999999999982</v>
      </c>
      <c r="D674" s="306">
        <f t="shared" ca="1" si="298"/>
        <v>-9.386996174518844E-2</v>
      </c>
      <c r="E674" s="307">
        <f t="shared" ca="1" si="299"/>
        <v>-9.8452227217697708</v>
      </c>
      <c r="F674" s="304">
        <f t="shared" ca="1" si="300"/>
        <v>9.8456702164438674</v>
      </c>
      <c r="G674" s="306">
        <f t="shared" ca="1" si="301"/>
        <v>18.034612340264985</v>
      </c>
      <c r="H674" s="307">
        <f t="shared" ca="1" si="302"/>
        <v>5.7861076122429802</v>
      </c>
      <c r="I674" s="304">
        <f t="shared" ca="1" si="303"/>
        <v>18.940070843692595</v>
      </c>
      <c r="J674" s="306">
        <f t="shared" ca="1" si="304"/>
        <v>470.44851759705392</v>
      </c>
      <c r="K674" s="307">
        <f t="shared" ca="1" si="305"/>
        <v>2706.5771108179933</v>
      </c>
      <c r="L674" s="304">
        <f t="shared" ca="1" si="290"/>
        <v>2747.1587985613687</v>
      </c>
      <c r="M674" s="306">
        <f t="shared" ca="1" si="306"/>
        <v>0.31045882981006567</v>
      </c>
      <c r="N674" s="304">
        <f t="shared" ca="1" si="307"/>
        <v>17.787980660687072</v>
      </c>
      <c r="P674" s="310">
        <f t="shared" ca="1" si="308"/>
        <v>23</v>
      </c>
      <c r="Q674" s="304">
        <f t="shared" ca="1" si="309"/>
        <v>0</v>
      </c>
      <c r="R674" s="306">
        <f t="shared" ca="1" si="310"/>
        <v>0</v>
      </c>
      <c r="S674" s="307">
        <f t="shared" ca="1" si="311"/>
        <v>9.137999999999975</v>
      </c>
      <c r="T674" s="304">
        <f t="shared" ca="1" si="291"/>
        <v>89.643779999999765</v>
      </c>
      <c r="U674" s="311">
        <f t="shared" ca="1" si="292"/>
        <v>0</v>
      </c>
      <c r="V674" s="306">
        <f t="shared" ca="1" si="293"/>
        <v>0.93296505835549948</v>
      </c>
      <c r="W674" s="304">
        <f t="shared" ca="1" si="294"/>
        <v>0.88479667214847424</v>
      </c>
      <c r="Y674" s="314" t="str">
        <f t="shared" ca="1" si="312"/>
        <v/>
      </c>
      <c r="Z674" s="315" t="str">
        <f t="shared" ca="1" si="313"/>
        <v>Para</v>
      </c>
      <c r="AA674" s="316" t="str">
        <f t="shared" ca="1" si="314"/>
        <v/>
      </c>
      <c r="AC674" s="310">
        <f t="shared" ca="1" si="315"/>
        <v>21.999999999999982</v>
      </c>
      <c r="AD674" s="323">
        <f t="shared" ca="1" si="316"/>
        <v>470.44851759705392</v>
      </c>
      <c r="AE674" s="324" t="e">
        <f t="shared" ca="1" si="295"/>
        <v>#N/A</v>
      </c>
      <c r="AG674" s="306">
        <f t="shared" ca="1" si="317"/>
        <v>-3.5466247204927557</v>
      </c>
      <c r="AH674" s="304">
        <f t="shared" ca="1" si="318"/>
        <v>-0.10026070938764498</v>
      </c>
    </row>
    <row r="675" spans="1:34" x14ac:dyDescent="0.2">
      <c r="A675" s="347">
        <f t="shared" ca="1" si="296"/>
        <v>0.1</v>
      </c>
      <c r="B675" s="304">
        <f t="shared" ca="1" si="297"/>
        <v>22.099999999999984</v>
      </c>
      <c r="D675" s="306">
        <f t="shared" ca="1" si="298"/>
        <v>-9.2197159086373784E-2</v>
      </c>
      <c r="E675" s="307">
        <f t="shared" ca="1" si="299"/>
        <v>-9.8395799362887235</v>
      </c>
      <c r="F675" s="304">
        <f t="shared" ca="1" si="300"/>
        <v>9.8400118718810088</v>
      </c>
      <c r="G675" s="306">
        <f t="shared" ca="1" si="301"/>
        <v>18.025392624356346</v>
      </c>
      <c r="H675" s="307">
        <f t="shared" ca="1" si="302"/>
        <v>4.8021496186141075</v>
      </c>
      <c r="I675" s="304">
        <f t="shared" ca="1" si="303"/>
        <v>18.654099287335097</v>
      </c>
      <c r="J675" s="306">
        <f t="shared" ca="1" si="304"/>
        <v>472.25151784528498</v>
      </c>
      <c r="K675" s="307">
        <f t="shared" ca="1" si="305"/>
        <v>2707.1065236795362</v>
      </c>
      <c r="L675" s="304">
        <f t="shared" ca="1" si="290"/>
        <v>2747.9896700416252</v>
      </c>
      <c r="M675" s="306">
        <f t="shared" ca="1" si="306"/>
        <v>0.26036299694953063</v>
      </c>
      <c r="N675" s="304">
        <f t="shared" ca="1" si="307"/>
        <v>14.917700866585633</v>
      </c>
      <c r="P675" s="310">
        <f t="shared" ca="1" si="308"/>
        <v>23</v>
      </c>
      <c r="Q675" s="304">
        <f t="shared" ca="1" si="309"/>
        <v>0</v>
      </c>
      <c r="R675" s="306">
        <f t="shared" ca="1" si="310"/>
        <v>0</v>
      </c>
      <c r="S675" s="307">
        <f t="shared" ca="1" si="311"/>
        <v>9.137999999999975</v>
      </c>
      <c r="T675" s="304">
        <f t="shared" ca="1" si="291"/>
        <v>89.643779999999765</v>
      </c>
      <c r="U675" s="311">
        <f t="shared" ca="1" si="292"/>
        <v>0</v>
      </c>
      <c r="V675" s="306">
        <f t="shared" ca="1" si="293"/>
        <v>0.93291474571635014</v>
      </c>
      <c r="W675" s="304">
        <f t="shared" ca="1" si="294"/>
        <v>0.85823343381828476</v>
      </c>
      <c r="Y675" s="314" t="str">
        <f t="shared" ca="1" si="312"/>
        <v/>
      </c>
      <c r="Z675" s="315" t="str">
        <f t="shared" ca="1" si="313"/>
        <v/>
      </c>
      <c r="AA675" s="316" t="str">
        <f t="shared" ca="1" si="314"/>
        <v/>
      </c>
      <c r="AC675" s="310" t="e">
        <f t="shared" ca="1" si="315"/>
        <v>#N/A</v>
      </c>
      <c r="AD675" s="323" t="e">
        <f t="shared" ca="1" si="316"/>
        <v>#N/A</v>
      </c>
      <c r="AE675" s="324" t="e">
        <f t="shared" ca="1" si="295"/>
        <v>#N/A</v>
      </c>
      <c r="AG675" s="306">
        <f t="shared" ca="1" si="317"/>
        <v>-3.0937375513114005</v>
      </c>
      <c r="AH675" s="304">
        <f t="shared" ca="1" si="318"/>
        <v>-9.6826074868513537E-2</v>
      </c>
    </row>
    <row r="676" spans="1:34" x14ac:dyDescent="0.2">
      <c r="A676" s="347">
        <f t="shared" ca="1" si="296"/>
        <v>0.1</v>
      </c>
      <c r="B676" s="304">
        <f t="shared" ca="1" si="297"/>
        <v>22.199999999999985</v>
      </c>
      <c r="D676" s="306">
        <f t="shared" ca="1" si="298"/>
        <v>-9.0753780348385424E-2</v>
      </c>
      <c r="E676" s="307">
        <f t="shared" ca="1" si="299"/>
        <v>-9.8341777386362672</v>
      </c>
      <c r="F676" s="304">
        <f t="shared" ca="1" si="300"/>
        <v>9.8345964860657418</v>
      </c>
      <c r="G676" s="306">
        <f t="shared" ca="1" si="301"/>
        <v>18.016317246321506</v>
      </c>
      <c r="H676" s="307">
        <f t="shared" ca="1" si="302"/>
        <v>3.8187318447504808</v>
      </c>
      <c r="I676" s="304">
        <f t="shared" ca="1" si="303"/>
        <v>18.416579487576218</v>
      </c>
      <c r="J676" s="306">
        <f t="shared" ca="1" si="304"/>
        <v>474.05360333881885</v>
      </c>
      <c r="K676" s="307">
        <f t="shared" ca="1" si="305"/>
        <v>2707.5375677527045</v>
      </c>
      <c r="L676" s="304">
        <f t="shared" ca="1" si="290"/>
        <v>2748.7245223249911</v>
      </c>
      <c r="M676" s="306">
        <f t="shared" ca="1" si="306"/>
        <v>0.20886830809059603</v>
      </c>
      <c r="N676" s="304">
        <f t="shared" ca="1" si="307"/>
        <v>11.967272527629339</v>
      </c>
      <c r="P676" s="310">
        <f t="shared" ca="1" si="308"/>
        <v>23</v>
      </c>
      <c r="Q676" s="304">
        <f t="shared" ca="1" si="309"/>
        <v>0</v>
      </c>
      <c r="R676" s="306">
        <f t="shared" ca="1" si="310"/>
        <v>0</v>
      </c>
      <c r="S676" s="307">
        <f t="shared" ca="1" si="311"/>
        <v>9.137999999999975</v>
      </c>
      <c r="T676" s="304">
        <f t="shared" ca="1" si="291"/>
        <v>89.643779999999765</v>
      </c>
      <c r="U676" s="311">
        <f t="shared" ca="1" si="292"/>
        <v>0</v>
      </c>
      <c r="V676" s="306">
        <f t="shared" ca="1" si="293"/>
        <v>0.93287378326682124</v>
      </c>
      <c r="W676" s="304">
        <f t="shared" ca="1" si="294"/>
        <v>0.83648033473608474</v>
      </c>
      <c r="Y676" s="314" t="str">
        <f t="shared" ca="1" si="312"/>
        <v/>
      </c>
      <c r="Z676" s="315" t="str">
        <f t="shared" ca="1" si="313"/>
        <v/>
      </c>
      <c r="AA676" s="316" t="str">
        <f t="shared" ca="1" si="314"/>
        <v/>
      </c>
      <c r="AC676" s="310" t="e">
        <f t="shared" ca="1" si="315"/>
        <v>#N/A</v>
      </c>
      <c r="AD676" s="323" t="e">
        <f t="shared" ca="1" si="316"/>
        <v>#N/A</v>
      </c>
      <c r="AE676" s="324" t="e">
        <f t="shared" ca="1" si="295"/>
        <v>#N/A</v>
      </c>
      <c r="AG676" s="306">
        <f t="shared" ca="1" si="317"/>
        <v>-2.6193205390020196</v>
      </c>
      <c r="AH676" s="304">
        <f t="shared" ca="1" si="318"/>
        <v>-9.3919176386330391E-2</v>
      </c>
    </row>
    <row r="677" spans="1:34" x14ac:dyDescent="0.2">
      <c r="A677" s="347">
        <f t="shared" ca="1" si="296"/>
        <v>0.1</v>
      </c>
      <c r="B677" s="304">
        <f t="shared" ca="1" si="297"/>
        <v>22.299999999999986</v>
      </c>
      <c r="D677" s="306">
        <f t="shared" ca="1" si="298"/>
        <v>-8.9549183527406567E-2</v>
      </c>
      <c r="E677" s="307">
        <f t="shared" ca="1" si="299"/>
        <v>-9.8289808113463</v>
      </c>
      <c r="F677" s="304">
        <f t="shared" ca="1" si="300"/>
        <v>9.8293887320669224</v>
      </c>
      <c r="G677" s="306">
        <f t="shared" ca="1" si="301"/>
        <v>18.007362327968764</v>
      </c>
      <c r="H677" s="307">
        <f t="shared" ca="1" si="302"/>
        <v>2.8358337636158506</v>
      </c>
      <c r="I677" s="304">
        <f t="shared" ca="1" si="303"/>
        <v>18.229291021474541</v>
      </c>
      <c r="J677" s="306">
        <f t="shared" ca="1" si="304"/>
        <v>475.85478731753335</v>
      </c>
      <c r="K677" s="307">
        <f t="shared" ca="1" si="305"/>
        <v>2707.8702960331229</v>
      </c>
      <c r="L677" s="304">
        <f t="shared" ca="1" si="290"/>
        <v>2749.3634388257092</v>
      </c>
      <c r="M677" s="306">
        <f t="shared" ca="1" si="306"/>
        <v>0.15619906357630486</v>
      </c>
      <c r="N677" s="304">
        <f t="shared" ca="1" si="307"/>
        <v>8.9495471068178922</v>
      </c>
      <c r="P677" s="310">
        <f t="shared" ca="1" si="308"/>
        <v>23</v>
      </c>
      <c r="Q677" s="304">
        <f t="shared" ca="1" si="309"/>
        <v>0</v>
      </c>
      <c r="R677" s="306">
        <f t="shared" ca="1" si="310"/>
        <v>0</v>
      </c>
      <c r="S677" s="307">
        <f t="shared" ca="1" si="311"/>
        <v>9.137999999999975</v>
      </c>
      <c r="T677" s="304">
        <f t="shared" ca="1" si="291"/>
        <v>89.643779999999765</v>
      </c>
      <c r="U677" s="311">
        <f t="shared" ca="1" si="292"/>
        <v>0</v>
      </c>
      <c r="V677" s="306">
        <f t="shared" ca="1" si="293"/>
        <v>0.93284216490614269</v>
      </c>
      <c r="W677" s="304">
        <f t="shared" ca="1" si="294"/>
        <v>0.81952579599895503</v>
      </c>
      <c r="Y677" s="314" t="str">
        <f t="shared" ca="1" si="312"/>
        <v/>
      </c>
      <c r="Z677" s="315" t="str">
        <f t="shared" ca="1" si="313"/>
        <v/>
      </c>
      <c r="AA677" s="316" t="str">
        <f t="shared" ca="1" si="314"/>
        <v/>
      </c>
      <c r="AC677" s="310" t="e">
        <f t="shared" ca="1" si="315"/>
        <v>#N/A</v>
      </c>
      <c r="AD677" s="323" t="e">
        <f t="shared" ca="1" si="316"/>
        <v>#N/A</v>
      </c>
      <c r="AE677" s="324" t="e">
        <f t="shared" ca="1" si="295"/>
        <v>#N/A</v>
      </c>
      <c r="AG677" s="306">
        <f t="shared" ca="1" si="317"/>
        <v>-2.1256709777033911</v>
      </c>
      <c r="AH677" s="304">
        <f t="shared" ca="1" si="318"/>
        <v>-9.15386665283527E-2</v>
      </c>
    </row>
    <row r="678" spans="1:34" x14ac:dyDescent="0.2">
      <c r="A678" s="347">
        <f t="shared" ca="1" si="296"/>
        <v>0.1</v>
      </c>
      <c r="B678" s="304">
        <f t="shared" ca="1" si="297"/>
        <v>22.399999999999988</v>
      </c>
      <c r="D678" s="306">
        <f t="shared" ca="1" si="298"/>
        <v>-8.8591447853092004E-2</v>
      </c>
      <c r="E678" s="307">
        <f t="shared" ca="1" si="299"/>
        <v>-9.823951550172298</v>
      </c>
      <c r="F678" s="304">
        <f t="shared" ca="1" si="300"/>
        <v>9.8243509966188309</v>
      </c>
      <c r="G678" s="306">
        <f t="shared" ca="1" si="301"/>
        <v>17.998503183183455</v>
      </c>
      <c r="H678" s="307">
        <f t="shared" ca="1" si="302"/>
        <v>1.8534386085986208</v>
      </c>
      <c r="I678" s="304">
        <f t="shared" ca="1" si="303"/>
        <v>18.093682640936006</v>
      </c>
      <c r="J678" s="306">
        <f t="shared" ca="1" si="304"/>
        <v>477.65508059309099</v>
      </c>
      <c r="K678" s="307">
        <f t="shared" ca="1" si="305"/>
        <v>2708.1047596517337</v>
      </c>
      <c r="L678" s="304">
        <f t="shared" ca="1" si="290"/>
        <v>2749.9065011859525</v>
      </c>
      <c r="M678" s="306">
        <f t="shared" ca="1" si="306"/>
        <v>0.10261567107384939</v>
      </c>
      <c r="N678" s="304">
        <f t="shared" ca="1" si="307"/>
        <v>5.8794448644342543</v>
      </c>
      <c r="P678" s="310">
        <f t="shared" ca="1" si="308"/>
        <v>23</v>
      </c>
      <c r="Q678" s="304">
        <f t="shared" ca="1" si="309"/>
        <v>0</v>
      </c>
      <c r="R678" s="306">
        <f t="shared" ca="1" si="310"/>
        <v>0</v>
      </c>
      <c r="S678" s="307">
        <f t="shared" ca="1" si="311"/>
        <v>9.137999999999975</v>
      </c>
      <c r="T678" s="304">
        <f t="shared" ca="1" si="291"/>
        <v>89.643779999999765</v>
      </c>
      <c r="U678" s="311">
        <f t="shared" ca="1" si="292"/>
        <v>0</v>
      </c>
      <c r="V678" s="306">
        <f t="shared" ca="1" si="293"/>
        <v>0.93281988495421653</v>
      </c>
      <c r="W678" s="304">
        <f t="shared" ca="1" si="294"/>
        <v>0.80735889823929607</v>
      </c>
      <c r="Y678" s="314" t="str">
        <f t="shared" ca="1" si="312"/>
        <v/>
      </c>
      <c r="Z678" s="315" t="str">
        <f t="shared" ca="1" si="313"/>
        <v/>
      </c>
      <c r="AA678" s="316" t="str">
        <f t="shared" ca="1" si="314"/>
        <v/>
      </c>
      <c r="AC678" s="310" t="e">
        <f t="shared" ca="1" si="315"/>
        <v>#N/A</v>
      </c>
      <c r="AD678" s="323" t="e">
        <f t="shared" ca="1" si="316"/>
        <v>#N/A</v>
      </c>
      <c r="AE678" s="324" t="e">
        <f t="shared" ca="1" si="295"/>
        <v>#N/A</v>
      </c>
      <c r="AG678" s="306">
        <f t="shared" ca="1" si="317"/>
        <v>-1.6157727562776238</v>
      </c>
      <c r="AH678" s="304">
        <f t="shared" ca="1" si="318"/>
        <v>-8.9683278178918496E-2</v>
      </c>
    </row>
    <row r="679" spans="1:34" x14ac:dyDescent="0.2">
      <c r="A679" s="347">
        <f t="shared" ca="1" si="296"/>
        <v>0.1</v>
      </c>
      <c r="B679" s="304">
        <f t="shared" ca="1" si="297"/>
        <v>22.499999999999989</v>
      </c>
      <c r="D679" s="306">
        <f t="shared" ca="1" si="298"/>
        <v>-8.7887053190079598E-2</v>
      </c>
      <c r="E679" s="307">
        <f t="shared" ca="1" si="299"/>
        <v>-9.8190503780186926</v>
      </c>
      <c r="F679" s="304">
        <f t="shared" ca="1" si="300"/>
        <v>9.8194436940280614</v>
      </c>
      <c r="G679" s="306">
        <f t="shared" ca="1" si="301"/>
        <v>17.989714477864446</v>
      </c>
      <c r="H679" s="307">
        <f t="shared" ca="1" si="302"/>
        <v>0.87153357079675142</v>
      </c>
      <c r="I679" s="304">
        <f t="shared" ca="1" si="303"/>
        <v>18.010813356428724</v>
      </c>
      <c r="J679" s="306">
        <f t="shared" ca="1" si="304"/>
        <v>479.4544914761434</v>
      </c>
      <c r="K679" s="307">
        <f t="shared" ca="1" si="305"/>
        <v>2708.2410082607034</v>
      </c>
      <c r="L679" s="304">
        <f t="shared" ca="1" si="290"/>
        <v>2750.3537896462699</v>
      </c>
      <c r="M679" s="306">
        <f t="shared" ca="1" si="306"/>
        <v>4.8408366364119382E-2</v>
      </c>
      <c r="N679" s="304">
        <f t="shared" ca="1" si="307"/>
        <v>2.7735950857870946</v>
      </c>
      <c r="P679" s="310">
        <f t="shared" ca="1" si="308"/>
        <v>23</v>
      </c>
      <c r="Q679" s="304">
        <f t="shared" ca="1" si="309"/>
        <v>0</v>
      </c>
      <c r="R679" s="306">
        <f t="shared" ca="1" si="310"/>
        <v>0</v>
      </c>
      <c r="S679" s="307">
        <f t="shared" ca="1" si="311"/>
        <v>9.137999999999975</v>
      </c>
      <c r="T679" s="304">
        <f t="shared" ca="1" si="291"/>
        <v>89.643779999999765</v>
      </c>
      <c r="U679" s="311">
        <f t="shared" ca="1" si="292"/>
        <v>0</v>
      </c>
      <c r="V679" s="306">
        <f t="shared" ca="1" si="293"/>
        <v>0.93280693811444937</v>
      </c>
      <c r="W679" s="304">
        <f t="shared" ca="1" si="294"/>
        <v>0.79996930372037078</v>
      </c>
      <c r="Y679" s="314" t="str">
        <f t="shared" ca="1" si="312"/>
        <v>Apogée</v>
      </c>
      <c r="Z679" s="315" t="str">
        <f t="shared" ca="1" si="313"/>
        <v/>
      </c>
      <c r="AA679" s="316" t="str">
        <f t="shared" ca="1" si="314"/>
        <v/>
      </c>
      <c r="AC679" s="310" t="e">
        <f t="shared" ca="1" si="315"/>
        <v>#N/A</v>
      </c>
      <c r="AD679" s="323" t="e">
        <f t="shared" ca="1" si="316"/>
        <v>#N/A</v>
      </c>
      <c r="AE679" s="324" t="e">
        <f t="shared" ca="1" si="295"/>
        <v>#N/A</v>
      </c>
      <c r="AG679" s="306">
        <f t="shared" ca="1" si="317"/>
        <v>-1.0932457957587847</v>
      </c>
      <c r="AH679" s="304">
        <f t="shared" ca="1" si="318"/>
        <v>-8.8351816397384361E-2</v>
      </c>
    </row>
    <row r="680" spans="1:34" x14ac:dyDescent="0.2">
      <c r="A680" s="347">
        <f t="shared" ca="1" si="296"/>
        <v>0.1</v>
      </c>
      <c r="B680" s="304">
        <f t="shared" ca="1" si="297"/>
        <v>22.599999999999991</v>
      </c>
      <c r="D680" s="306">
        <f t="shared" ca="1" si="298"/>
        <v>-8.7440596929075617E-2</v>
      </c>
      <c r="E680" s="307">
        <f t="shared" ca="1" si="299"/>
        <v>-9.8142361659362614</v>
      </c>
      <c r="F680" s="304">
        <f t="shared" ca="1" si="300"/>
        <v>9.8146256871448028</v>
      </c>
      <c r="G680" s="306">
        <f t="shared" ca="1" si="301"/>
        <v>17.980970418171538</v>
      </c>
      <c r="H680" s="307">
        <f t="shared" ca="1" si="302"/>
        <v>-0.10989004579687478</v>
      </c>
      <c r="I680" s="304">
        <f t="shared" ca="1" si="303"/>
        <v>17.981306209542318</v>
      </c>
      <c r="J680" s="306">
        <f t="shared" ca="1" si="304"/>
        <v>481.25302572094517</v>
      </c>
      <c r="K680" s="307">
        <f t="shared" ca="1" si="305"/>
        <v>2708.2790904369535</v>
      </c>
      <c r="L680" s="304">
        <f t="shared" ca="1" si="290"/>
        <v>2750.7053834359608</v>
      </c>
      <c r="M680" s="306">
        <f t="shared" ca="1" si="306"/>
        <v>-6.1113874914050436E-3</v>
      </c>
      <c r="N680" s="304">
        <f t="shared" ca="1" si="307"/>
        <v>-0.35015671022655265</v>
      </c>
      <c r="P680" s="310">
        <f t="shared" ca="1" si="308"/>
        <v>23</v>
      </c>
      <c r="Q680" s="304">
        <f t="shared" ca="1" si="309"/>
        <v>0</v>
      </c>
      <c r="R680" s="306">
        <f t="shared" ca="1" si="310"/>
        <v>0</v>
      </c>
      <c r="S680" s="307">
        <f t="shared" ca="1" si="311"/>
        <v>9.137999999999975</v>
      </c>
      <c r="T680" s="304">
        <f t="shared" ca="1" si="291"/>
        <v>89.643779999999765</v>
      </c>
      <c r="U680" s="311">
        <f t="shared" ca="1" si="292"/>
        <v>0</v>
      </c>
      <c r="V680" s="306">
        <f t="shared" ca="1" si="293"/>
        <v>0.93280331943494454</v>
      </c>
      <c r="W680" s="304">
        <f t="shared" ca="1" si="294"/>
        <v>0.79734717546089318</v>
      </c>
      <c r="Y680" s="314" t="str">
        <f t="shared" ca="1" si="312"/>
        <v/>
      </c>
      <c r="Z680" s="315" t="str">
        <f t="shared" ca="1" si="313"/>
        <v/>
      </c>
      <c r="AA680" s="316" t="str">
        <f t="shared" ca="1" si="314"/>
        <v/>
      </c>
      <c r="AC680" s="310" t="e">
        <f t="shared" ca="1" si="315"/>
        <v>#N/A</v>
      </c>
      <c r="AD680" s="323" t="e">
        <f t="shared" ca="1" si="316"/>
        <v>#N/A</v>
      </c>
      <c r="AE680" s="324" t="e">
        <f t="shared" ca="1" si="295"/>
        <v>#N/A</v>
      </c>
      <c r="AG680" s="306">
        <f t="shared" ca="1" si="317"/>
        <v>-0.56224377336377429</v>
      </c>
      <c r="AH680" s="304">
        <f t="shared" ca="1" si="318"/>
        <v>-8.7543149892796338E-2</v>
      </c>
    </row>
    <row r="681" spans="1:34" x14ac:dyDescent="0.2">
      <c r="A681" s="347">
        <f t="shared" ca="1" si="296"/>
        <v>0.1</v>
      </c>
      <c r="B681" s="304">
        <f t="shared" ca="1" si="297"/>
        <v>22.699999999999992</v>
      </c>
      <c r="D681" s="306">
        <f t="shared" ca="1" si="298"/>
        <v>-8.7254572710074307E-2</v>
      </c>
      <c r="E681" s="307">
        <f t="shared" ca="1" si="299"/>
        <v>-9.8094667468569217</v>
      </c>
      <c r="F681" s="304">
        <f t="shared" ca="1" si="300"/>
        <v>9.8098548010737936</v>
      </c>
      <c r="G681" s="306">
        <f t="shared" ca="1" si="301"/>
        <v>17.972244960900529</v>
      </c>
      <c r="H681" s="307">
        <f t="shared" ca="1" si="302"/>
        <v>-1.0908367204825669</v>
      </c>
      <c r="I681" s="304">
        <f t="shared" ca="1" si="303"/>
        <v>18.005319038699859</v>
      </c>
      <c r="J681" s="306">
        <f t="shared" ca="1" si="304"/>
        <v>483.05068648989879</v>
      </c>
      <c r="K681" s="307">
        <f t="shared" ca="1" si="305"/>
        <v>2708.2190540986394</v>
      </c>
      <c r="L681" s="304">
        <f t="shared" ca="1" si="290"/>
        <v>2750.9613611792679</v>
      </c>
      <c r="M681" s="306">
        <f t="shared" ca="1" si="306"/>
        <v>-6.0621260349609123E-2</v>
      </c>
      <c r="N681" s="304">
        <f t="shared" ca="1" si="307"/>
        <v>-3.4733423667963641</v>
      </c>
      <c r="P681" s="310">
        <f t="shared" ca="1" si="308"/>
        <v>23</v>
      </c>
      <c r="Q681" s="304">
        <f t="shared" ca="1" si="309"/>
        <v>0</v>
      </c>
      <c r="R681" s="306">
        <f t="shared" ca="1" si="310"/>
        <v>0</v>
      </c>
      <c r="S681" s="307">
        <f t="shared" ca="1" si="311"/>
        <v>9.137999999999975</v>
      </c>
      <c r="T681" s="304">
        <f t="shared" ca="1" si="291"/>
        <v>89.643779999999765</v>
      </c>
      <c r="U681" s="311">
        <f t="shared" ca="1" si="292"/>
        <v>0</v>
      </c>
      <c r="V681" s="306">
        <f t="shared" ca="1" si="293"/>
        <v>0.93280902426850232</v>
      </c>
      <c r="W681" s="304">
        <f t="shared" ca="1" si="294"/>
        <v>0.79948309429284448</v>
      </c>
      <c r="Y681" s="314" t="str">
        <f t="shared" ca="1" si="312"/>
        <v/>
      </c>
      <c r="Z681" s="315" t="str">
        <f t="shared" ca="1" si="313"/>
        <v/>
      </c>
      <c r="AA681" s="316" t="str">
        <f t="shared" ca="1" si="314"/>
        <v/>
      </c>
      <c r="AC681" s="310" t="e">
        <f t="shared" ca="1" si="315"/>
        <v>#N/A</v>
      </c>
      <c r="AD681" s="323" t="e">
        <f t="shared" ca="1" si="316"/>
        <v>#N/A</v>
      </c>
      <c r="AE681" s="324" t="e">
        <f t="shared" ca="1" si="295"/>
        <v>#N/A</v>
      </c>
      <c r="AG681" s="306">
        <f t="shared" ca="1" si="317"/>
        <v>-2.7303864078265579E-2</v>
      </c>
      <c r="AH681" s="304">
        <f t="shared" ca="1" si="318"/>
        <v>-8.7256202173440073E-2</v>
      </c>
    </row>
    <row r="682" spans="1:34" x14ac:dyDescent="0.2">
      <c r="A682" s="347">
        <f t="shared" ca="1" si="296"/>
        <v>0.1</v>
      </c>
      <c r="B682" s="304">
        <f t="shared" ca="1" si="297"/>
        <v>22.799999999999994</v>
      </c>
      <c r="D682" s="306">
        <f t="shared" ca="1" si="298"/>
        <v>-8.7329231673718921E-2</v>
      </c>
      <c r="E682" s="307">
        <f t="shared" ca="1" si="299"/>
        <v>-9.8046994973144166</v>
      </c>
      <c r="F682" s="304">
        <f t="shared" ca="1" si="300"/>
        <v>9.8050884048713343</v>
      </c>
      <c r="G682" s="306">
        <f t="shared" ca="1" si="301"/>
        <v>17.963512037733157</v>
      </c>
      <c r="H682" s="307">
        <f t="shared" ca="1" si="302"/>
        <v>-2.0713066702140086</v>
      </c>
      <c r="I682" s="304">
        <f t="shared" ca="1" si="303"/>
        <v>18.082535111312712</v>
      </c>
      <c r="J682" s="306">
        <f t="shared" ca="1" si="304"/>
        <v>484.84747433983046</v>
      </c>
      <c r="K682" s="307">
        <f t="shared" ca="1" si="305"/>
        <v>2708.0609469291044</v>
      </c>
      <c r="L682" s="304">
        <f t="shared" ca="1" si="290"/>
        <v>2751.1218013123794</v>
      </c>
      <c r="M682" s="306">
        <f t="shared" ca="1" si="306"/>
        <v>-0.11479934918717066</v>
      </c>
      <c r="N682" s="304">
        <f t="shared" ca="1" si="307"/>
        <v>-6.5775181992734764</v>
      </c>
      <c r="P682" s="310">
        <f t="shared" ca="1" si="308"/>
        <v>23</v>
      </c>
      <c r="Q682" s="304">
        <f t="shared" ca="1" si="309"/>
        <v>0</v>
      </c>
      <c r="R682" s="306">
        <f t="shared" ca="1" si="310"/>
        <v>0</v>
      </c>
      <c r="S682" s="307">
        <f t="shared" ca="1" si="311"/>
        <v>9.137999999999975</v>
      </c>
      <c r="T682" s="304">
        <f t="shared" ca="1" si="291"/>
        <v>89.643779999999765</v>
      </c>
      <c r="U682" s="311">
        <f t="shared" ca="1" si="292"/>
        <v>0</v>
      </c>
      <c r="V682" s="306">
        <f t="shared" ca="1" si="293"/>
        <v>0.93282404823193199</v>
      </c>
      <c r="W682" s="304">
        <f t="shared" ca="1" si="294"/>
        <v>0.80636797490662415</v>
      </c>
      <c r="Y682" s="314" t="str">
        <f t="shared" ca="1" si="312"/>
        <v/>
      </c>
      <c r="Z682" s="315" t="str">
        <f t="shared" ca="1" si="313"/>
        <v/>
      </c>
      <c r="AA682" s="316" t="str">
        <f t="shared" ca="1" si="314"/>
        <v/>
      </c>
      <c r="AC682" s="310" t="e">
        <f t="shared" ca="1" si="315"/>
        <v>#N/A</v>
      </c>
      <c r="AD682" s="323" t="e">
        <f t="shared" ca="1" si="316"/>
        <v>#N/A</v>
      </c>
      <c r="AE682" s="324" t="e">
        <f t="shared" ca="1" si="295"/>
        <v>#N/A</v>
      </c>
      <c r="AG682" s="306">
        <f t="shared" ca="1" si="317"/>
        <v>0.50684044428568953</v>
      </c>
      <c r="AH682" s="304">
        <f t="shared" ca="1" si="318"/>
        <v>-8.7489942470217408E-2</v>
      </c>
    </row>
    <row r="683" spans="1:34" x14ac:dyDescent="0.2">
      <c r="A683" s="347">
        <f t="shared" ca="1" si="296"/>
        <v>0.1</v>
      </c>
      <c r="B683" s="304">
        <f t="shared" ca="1" si="297"/>
        <v>22.899999999999995</v>
      </c>
      <c r="D683" s="306">
        <f t="shared" ca="1" si="298"/>
        <v>-8.7662539966541816E-2</v>
      </c>
      <c r="E683" s="307">
        <f t="shared" ca="1" si="299"/>
        <v>-9.7998919541246057</v>
      </c>
      <c r="F683" s="304">
        <f t="shared" ca="1" si="300"/>
        <v>9.8002840282019168</v>
      </c>
      <c r="G683" s="306">
        <f t="shared" ca="1" si="301"/>
        <v>17.954745783736502</v>
      </c>
      <c r="H683" s="307">
        <f t="shared" ca="1" si="302"/>
        <v>-3.0512958656264693</v>
      </c>
      <c r="I683" s="304">
        <f t="shared" ca="1" si="303"/>
        <v>18.212174571373755</v>
      </c>
      <c r="J683" s="306">
        <f t="shared" ca="1" si="304"/>
        <v>486.64338723090395</v>
      </c>
      <c r="K683" s="307">
        <f t="shared" ca="1" si="305"/>
        <v>2707.8048168023124</v>
      </c>
      <c r="L683" s="304">
        <f t="shared" ca="1" si="290"/>
        <v>2751.1867825055742</v>
      </c>
      <c r="M683" s="306">
        <f t="shared" ca="1" si="306"/>
        <v>-0.16833543446564117</v>
      </c>
      <c r="N683" s="304">
        <f t="shared" ca="1" si="307"/>
        <v>-9.6449099373822946</v>
      </c>
      <c r="P683" s="310">
        <f t="shared" ca="1" si="308"/>
        <v>23</v>
      </c>
      <c r="Q683" s="304">
        <f t="shared" ca="1" si="309"/>
        <v>0</v>
      </c>
      <c r="R683" s="306">
        <f t="shared" ca="1" si="310"/>
        <v>0</v>
      </c>
      <c r="S683" s="307">
        <f t="shared" ca="1" si="311"/>
        <v>9.137999999999975</v>
      </c>
      <c r="T683" s="304">
        <f t="shared" ca="1" si="291"/>
        <v>89.643779999999765</v>
      </c>
      <c r="U683" s="311">
        <f t="shared" ca="1" si="292"/>
        <v>0</v>
      </c>
      <c r="V683" s="306">
        <f t="shared" ca="1" si="293"/>
        <v>0.93284838716524288</v>
      </c>
      <c r="W683" s="304">
        <f t="shared" ca="1" si="294"/>
        <v>0.81799298202976789</v>
      </c>
      <c r="Y683" s="314" t="str">
        <f t="shared" ca="1" si="312"/>
        <v/>
      </c>
      <c r="Z683" s="315" t="str">
        <f t="shared" ca="1" si="313"/>
        <v/>
      </c>
      <c r="AA683" s="316" t="str">
        <f t="shared" ca="1" si="314"/>
        <v/>
      </c>
      <c r="AC683" s="310" t="e">
        <f t="shared" ca="1" si="315"/>
        <v>#N/A</v>
      </c>
      <c r="AD683" s="323" t="e">
        <f t="shared" ca="1" si="316"/>
        <v>#N/A</v>
      </c>
      <c r="AE683" s="324" t="e">
        <f t="shared" ca="1" si="295"/>
        <v>#N/A</v>
      </c>
      <c r="AG683" s="306">
        <f t="shared" ca="1" si="317"/>
        <v>1.0354662310758476</v>
      </c>
      <c r="AH683" s="304">
        <f t="shared" ca="1" si="318"/>
        <v>-8.8243376549204028E-2</v>
      </c>
    </row>
    <row r="684" spans="1:34" x14ac:dyDescent="0.2">
      <c r="A684" s="347">
        <f t="shared" ca="1" si="296"/>
        <v>0.1</v>
      </c>
      <c r="B684" s="304">
        <f t="shared" ca="1" si="297"/>
        <v>22.999999999999996</v>
      </c>
      <c r="D684" s="306">
        <f t="shared" ca="1" si="298"/>
        <v>-8.8250236889908379E-2</v>
      </c>
      <c r="E684" s="307">
        <f t="shared" ca="1" si="299"/>
        <v>-9.7950024285386075</v>
      </c>
      <c r="F684" s="304">
        <f t="shared" ca="1" si="300"/>
        <v>9.7953999754674825</v>
      </c>
      <c r="G684" s="306">
        <f t="shared" ca="1" si="301"/>
        <v>17.94592076004751</v>
      </c>
      <c r="H684" s="307">
        <f t="shared" ca="1" si="302"/>
        <v>-4.0307961084803301</v>
      </c>
      <c r="I684" s="304">
        <f t="shared" ca="1" si="303"/>
        <v>18.393025558456781</v>
      </c>
      <c r="J684" s="306">
        <f t="shared" ca="1" si="304"/>
        <v>488.43842055809313</v>
      </c>
      <c r="K684" s="307">
        <f t="shared" ca="1" si="305"/>
        <v>2707.4507122036071</v>
      </c>
      <c r="L684" s="304">
        <f t="shared" ca="1" si="290"/>
        <v>2751.156384084537</v>
      </c>
      <c r="M684" s="306">
        <f t="shared" ca="1" si="306"/>
        <v>-0.22094123287300055</v>
      </c>
      <c r="N684" s="304">
        <f t="shared" ca="1" si="307"/>
        <v>-12.659000164040016</v>
      </c>
      <c r="P684" s="310">
        <f t="shared" ca="1" si="308"/>
        <v>23</v>
      </c>
      <c r="Q684" s="304">
        <f t="shared" ca="1" si="309"/>
        <v>0</v>
      </c>
      <c r="R684" s="306">
        <f t="shared" ca="1" si="310"/>
        <v>0</v>
      </c>
      <c r="S684" s="307">
        <f t="shared" ca="1" si="311"/>
        <v>9.137999999999975</v>
      </c>
      <c r="T684" s="304">
        <f t="shared" ca="1" si="291"/>
        <v>89.643779999999765</v>
      </c>
      <c r="U684" s="311">
        <f t="shared" ca="1" si="292"/>
        <v>0</v>
      </c>
      <c r="V684" s="306">
        <f t="shared" ca="1" si="293"/>
        <v>0.93288203709129058</v>
      </c>
      <c r="W684" s="304">
        <f t="shared" ca="1" si="294"/>
        <v>0.83434944790822763</v>
      </c>
      <c r="Y684" s="314" t="str">
        <f t="shared" ca="1" si="312"/>
        <v/>
      </c>
      <c r="Z684" s="315" t="str">
        <f t="shared" ca="1" si="313"/>
        <v/>
      </c>
      <c r="AA684" s="316" t="str">
        <f t="shared" ca="1" si="314"/>
        <v/>
      </c>
      <c r="AC684" s="310">
        <f t="shared" ca="1" si="315"/>
        <v>22.999999999999996</v>
      </c>
      <c r="AD684" s="323">
        <f t="shared" ca="1" si="316"/>
        <v>488.43842055809313</v>
      </c>
      <c r="AE684" s="324" t="e">
        <f t="shared" ca="1" si="295"/>
        <v>#N/A</v>
      </c>
      <c r="AG684" s="306">
        <f t="shared" ca="1" si="317"/>
        <v>1.5540670189805532</v>
      </c>
      <c r="AH684" s="304">
        <f t="shared" ca="1" si="318"/>
        <v>-8.9515537538823603E-2</v>
      </c>
    </row>
    <row r="685" spans="1:34" x14ac:dyDescent="0.2">
      <c r="A685" s="347">
        <f t="shared" ca="1" si="296"/>
        <v>0.1</v>
      </c>
      <c r="B685" s="304">
        <f t="shared" ca="1" si="297"/>
        <v>23.099999999999998</v>
      </c>
      <c r="D685" s="306">
        <f t="shared" ca="1" si="298"/>
        <v>-8.9085987957243443E-2</v>
      </c>
      <c r="E685" s="307">
        <f t="shared" ca="1" si="299"/>
        <v>-9.7899905806796159</v>
      </c>
      <c r="F685" s="304">
        <f t="shared" ca="1" si="300"/>
        <v>9.7903959002200676</v>
      </c>
      <c r="G685" s="306">
        <f t="shared" ca="1" si="301"/>
        <v>17.937012161251786</v>
      </c>
      <c r="H685" s="307">
        <f t="shared" ca="1" si="302"/>
        <v>-5.009795166548292</v>
      </c>
      <c r="I685" s="304">
        <f t="shared" ca="1" si="303"/>
        <v>18.623491962670833</v>
      </c>
      <c r="J685" s="306">
        <f t="shared" ca="1" si="304"/>
        <v>490.2325672041581</v>
      </c>
      <c r="K685" s="307">
        <f t="shared" ca="1" si="305"/>
        <v>2706.9986826398558</v>
      </c>
      <c r="L685" s="304">
        <f t="shared" ca="1" si="290"/>
        <v>2751.0306864448994</v>
      </c>
      <c r="M685" s="306">
        <f t="shared" ca="1" si="306"/>
        <v>-0.27235883772089997</v>
      </c>
      <c r="N685" s="304">
        <f t="shared" ca="1" si="307"/>
        <v>-15.605011914496053</v>
      </c>
      <c r="P685" s="310">
        <f t="shared" ca="1" si="308"/>
        <v>23</v>
      </c>
      <c r="Q685" s="304">
        <f t="shared" ca="1" si="309"/>
        <v>0</v>
      </c>
      <c r="R685" s="306">
        <f t="shared" ca="1" si="310"/>
        <v>0</v>
      </c>
      <c r="S685" s="307">
        <f t="shared" ca="1" si="311"/>
        <v>9.137999999999975</v>
      </c>
      <c r="T685" s="304">
        <f t="shared" ca="1" si="291"/>
        <v>89.643779999999765</v>
      </c>
      <c r="U685" s="311">
        <f t="shared" ca="1" si="292"/>
        <v>0</v>
      </c>
      <c r="V685" s="306">
        <f t="shared" ca="1" si="293"/>
        <v>0.93292499417643815</v>
      </c>
      <c r="W685" s="304">
        <f t="shared" ca="1" si="294"/>
        <v>0.8554287922097249</v>
      </c>
      <c r="Y685" s="314" t="str">
        <f t="shared" ca="1" si="312"/>
        <v/>
      </c>
      <c r="Z685" s="315" t="str">
        <f t="shared" ca="1" si="313"/>
        <v/>
      </c>
      <c r="AA685" s="316" t="str">
        <f t="shared" ca="1" si="314"/>
        <v/>
      </c>
      <c r="AC685" s="310" t="e">
        <f t="shared" ca="1" si="315"/>
        <v>#N/A</v>
      </c>
      <c r="AD685" s="323" t="e">
        <f t="shared" ca="1" si="316"/>
        <v>#N/A</v>
      </c>
      <c r="AE685" s="324" t="e">
        <f t="shared" ca="1" si="295"/>
        <v>#N/A</v>
      </c>
      <c r="AG685" s="306">
        <f t="shared" ca="1" si="317"/>
        <v>2.0585371196063313</v>
      </c>
      <c r="AH685" s="304">
        <f t="shared" ca="1" si="318"/>
        <v>-9.1305476899565544E-2</v>
      </c>
    </row>
    <row r="686" spans="1:34" x14ac:dyDescent="0.2">
      <c r="A686" s="347">
        <f t="shared" ca="1" si="296"/>
        <v>0.1</v>
      </c>
      <c r="B686" s="304">
        <f t="shared" ca="1" si="297"/>
        <v>23.2</v>
      </c>
      <c r="D686" s="306">
        <f t="shared" ca="1" si="298"/>
        <v>-9.016161800155445E-2</v>
      </c>
      <c r="E686" s="307">
        <f t="shared" ca="1" si="299"/>
        <v>-9.7848179220702036</v>
      </c>
      <c r="F686" s="304">
        <f t="shared" ca="1" si="300"/>
        <v>9.7852333076645088</v>
      </c>
      <c r="G686" s="306">
        <f t="shared" ca="1" si="301"/>
        <v>17.927995999451632</v>
      </c>
      <c r="H686" s="307">
        <f t="shared" ca="1" si="302"/>
        <v>-5.9882769587553124</v>
      </c>
      <c r="I686" s="304">
        <f t="shared" ca="1" si="303"/>
        <v>18.901653406279397</v>
      </c>
      <c r="J686" s="306">
        <f t="shared" ca="1" si="304"/>
        <v>492.02581761219329</v>
      </c>
      <c r="K686" s="307">
        <f t="shared" ca="1" si="305"/>
        <v>2706.4487790335907</v>
      </c>
      <c r="L686" s="304">
        <f t="shared" ca="1" si="290"/>
        <v>2750.8097714544642</v>
      </c>
      <c r="M686" s="306">
        <f t="shared" ca="1" si="306"/>
        <v>-0.32236680797474948</v>
      </c>
      <c r="N686" s="304">
        <f t="shared" ca="1" si="307"/>
        <v>-18.470257552057394</v>
      </c>
      <c r="P686" s="310">
        <f t="shared" ca="1" si="308"/>
        <v>23</v>
      </c>
      <c r="Q686" s="304">
        <f t="shared" ca="1" si="309"/>
        <v>0</v>
      </c>
      <c r="R686" s="306">
        <f t="shared" ca="1" si="310"/>
        <v>0</v>
      </c>
      <c r="S686" s="307">
        <f t="shared" ca="1" si="311"/>
        <v>9.137999999999975</v>
      </c>
      <c r="T686" s="304">
        <f t="shared" ca="1" si="291"/>
        <v>89.643779999999765</v>
      </c>
      <c r="U686" s="311">
        <f t="shared" ca="1" si="292"/>
        <v>0</v>
      </c>
      <c r="V686" s="306">
        <f t="shared" ca="1" si="293"/>
        <v>0.93297725469272996</v>
      </c>
      <c r="W686" s="304">
        <f t="shared" ca="1" si="294"/>
        <v>0.88122244535322913</v>
      </c>
      <c r="Y686" s="314" t="str">
        <f t="shared" ca="1" si="312"/>
        <v/>
      </c>
      <c r="Z686" s="315" t="str">
        <f t="shared" ca="1" si="313"/>
        <v/>
      </c>
      <c r="AA686" s="316" t="str">
        <f t="shared" ca="1" si="314"/>
        <v/>
      </c>
      <c r="AC686" s="310" t="e">
        <f t="shared" ca="1" si="315"/>
        <v>#N/A</v>
      </c>
      <c r="AD686" s="323" t="e">
        <f t="shared" ca="1" si="316"/>
        <v>#N/A</v>
      </c>
      <c r="AE686" s="324" t="e">
        <f t="shared" ca="1" si="295"/>
        <v>#N/A</v>
      </c>
      <c r="AG686" s="306">
        <f t="shared" ca="1" si="317"/>
        <v>2.5453176873587928</v>
      </c>
      <c r="AH686" s="304">
        <f t="shared" ca="1" si="318"/>
        <v>-9.3612255658757637E-2</v>
      </c>
    </row>
    <row r="687" spans="1:34" x14ac:dyDescent="0.2">
      <c r="A687" s="347">
        <f t="shared" ca="1" si="296"/>
        <v>0.1</v>
      </c>
      <c r="B687" s="304">
        <f t="shared" ca="1" si="297"/>
        <v>23.3</v>
      </c>
      <c r="D687" s="306">
        <f t="shared" ca="1" si="298"/>
        <v>-9.1467402878333534E-2</v>
      </c>
      <c r="E687" s="307">
        <f t="shared" ca="1" si="299"/>
        <v>-9.7794482227042963</v>
      </c>
      <c r="F687" s="304">
        <f t="shared" ca="1" si="300"/>
        <v>9.7798759617054198</v>
      </c>
      <c r="G687" s="306">
        <f t="shared" ca="1" si="301"/>
        <v>17.9188492591638</v>
      </c>
      <c r="H687" s="307">
        <f t="shared" ca="1" si="302"/>
        <v>-6.9662217810257419</v>
      </c>
      <c r="I687" s="304">
        <f t="shared" ca="1" si="303"/>
        <v>19.225332368390216</v>
      </c>
      <c r="J687" s="306">
        <f t="shared" ca="1" si="304"/>
        <v>493.81815987512408</v>
      </c>
      <c r="K687" s="307">
        <f t="shared" ca="1" si="305"/>
        <v>2705.8010540966015</v>
      </c>
      <c r="L687" s="304">
        <f t="shared" ca="1" si="290"/>
        <v>2750.4937228382714</v>
      </c>
      <c r="M687" s="306">
        <f t="shared" ca="1" si="306"/>
        <v>-0.37078368727742378</v>
      </c>
      <c r="N687" s="304">
        <f t="shared" ca="1" si="307"/>
        <v>-21.244340393294941</v>
      </c>
      <c r="P687" s="310">
        <f t="shared" ca="1" si="308"/>
        <v>23</v>
      </c>
      <c r="Q687" s="304">
        <f t="shared" ca="1" si="309"/>
        <v>0</v>
      </c>
      <c r="R687" s="306">
        <f t="shared" ca="1" si="310"/>
        <v>0</v>
      </c>
      <c r="S687" s="307">
        <f t="shared" ca="1" si="311"/>
        <v>9.137999999999975</v>
      </c>
      <c r="T687" s="304">
        <f t="shared" ca="1" si="291"/>
        <v>89.643779999999765</v>
      </c>
      <c r="U687" s="311">
        <f t="shared" ca="1" si="292"/>
        <v>0</v>
      </c>
      <c r="V687" s="306">
        <f t="shared" ca="1" si="293"/>
        <v>0.93303881498201424</v>
      </c>
      <c r="W687" s="304">
        <f t="shared" ca="1" si="294"/>
        <v>0.91172177610138205</v>
      </c>
      <c r="Y687" s="314" t="str">
        <f t="shared" ca="1" si="312"/>
        <v/>
      </c>
      <c r="Z687" s="315" t="str">
        <f t="shared" ca="1" si="313"/>
        <v/>
      </c>
      <c r="AA687" s="316" t="str">
        <f t="shared" ca="1" si="314"/>
        <v/>
      </c>
      <c r="AC687" s="310" t="e">
        <f t="shared" ca="1" si="315"/>
        <v>#N/A</v>
      </c>
      <c r="AD687" s="323" t="e">
        <f t="shared" ca="1" si="316"/>
        <v>#N/A</v>
      </c>
      <c r="AE687" s="324" t="e">
        <f t="shared" ca="1" si="295"/>
        <v>#N/A</v>
      </c>
      <c r="AG687" s="306">
        <f t="shared" ca="1" si="317"/>
        <v>3.0114940743526373</v>
      </c>
      <c r="AH687" s="304">
        <f t="shared" ca="1" si="318"/>
        <v>-9.6434936020270465E-2</v>
      </c>
    </row>
    <row r="688" spans="1:34" x14ac:dyDescent="0.2">
      <c r="A688" s="347">
        <f t="shared" ca="1" si="296"/>
        <v>0.1</v>
      </c>
      <c r="B688" s="304">
        <f t="shared" ca="1" si="297"/>
        <v>23.400000000000002</v>
      </c>
      <c r="D688" s="306">
        <f t="shared" ca="1" si="298"/>
        <v>-9.2992395107964324E-2</v>
      </c>
      <c r="E688" s="307">
        <f t="shared" ca="1" si="299"/>
        <v>-9.7738478097057744</v>
      </c>
      <c r="F688" s="304">
        <f t="shared" ca="1" si="300"/>
        <v>9.7742901835805078</v>
      </c>
      <c r="G688" s="306">
        <f t="shared" ca="1" si="301"/>
        <v>17.909550019653004</v>
      </c>
      <c r="H688" s="307">
        <f t="shared" ca="1" si="302"/>
        <v>-7.9436065619963196</v>
      </c>
      <c r="I688" s="304">
        <f t="shared" ca="1" si="303"/>
        <v>19.592163410870274</v>
      </c>
      <c r="J688" s="306">
        <f t="shared" ca="1" si="304"/>
        <v>495.60957983906491</v>
      </c>
      <c r="K688" s="307">
        <f t="shared" ca="1" si="305"/>
        <v>2705.0555626794503</v>
      </c>
      <c r="L688" s="304">
        <f t="shared" ca="1" si="290"/>
        <v>2750.0826265425721</v>
      </c>
      <c r="M688" s="306">
        <f t="shared" ca="1" si="306"/>
        <v>-0.41746903983719946</v>
      </c>
      <c r="N688" s="304">
        <f t="shared" ca="1" si="307"/>
        <v>-23.919214060050361</v>
      </c>
      <c r="P688" s="310">
        <f t="shared" ca="1" si="308"/>
        <v>23</v>
      </c>
      <c r="Q688" s="304">
        <f t="shared" ca="1" si="309"/>
        <v>0</v>
      </c>
      <c r="R688" s="306">
        <f t="shared" ca="1" si="310"/>
        <v>0</v>
      </c>
      <c r="S688" s="307">
        <f t="shared" ca="1" si="311"/>
        <v>9.137999999999975</v>
      </c>
      <c r="T688" s="304">
        <f t="shared" ca="1" si="291"/>
        <v>89.643779999999765</v>
      </c>
      <c r="U688" s="311">
        <f t="shared" ca="1" si="292"/>
        <v>0</v>
      </c>
      <c r="V688" s="306">
        <f t="shared" ca="1" si="293"/>
        <v>0.93310967142233447</v>
      </c>
      <c r="W688" s="304">
        <f t="shared" ca="1" si="294"/>
        <v>0.94691802405286418</v>
      </c>
      <c r="Y688" s="314" t="str">
        <f t="shared" ca="1" si="312"/>
        <v/>
      </c>
      <c r="Z688" s="315" t="str">
        <f t="shared" ca="1" si="313"/>
        <v/>
      </c>
      <c r="AA688" s="316" t="str">
        <f t="shared" ca="1" si="314"/>
        <v/>
      </c>
      <c r="AC688" s="310" t="e">
        <f t="shared" ca="1" si="315"/>
        <v>#N/A</v>
      </c>
      <c r="AD688" s="323" t="e">
        <f t="shared" ca="1" si="316"/>
        <v>#N/A</v>
      </c>
      <c r="AE688" s="324" t="e">
        <f t="shared" ca="1" si="295"/>
        <v>#N/A</v>
      </c>
      <c r="AG688" s="306">
        <f t="shared" ca="1" si="317"/>
        <v>3.4548414307479902</v>
      </c>
      <c r="AH688" s="304">
        <f t="shared" ca="1" si="318"/>
        <v>-9.9772573440729317E-2</v>
      </c>
    </row>
    <row r="689" spans="1:34" x14ac:dyDescent="0.2">
      <c r="A689" s="347">
        <f t="shared" ca="1" si="296"/>
        <v>0.1</v>
      </c>
      <c r="B689" s="304">
        <f t="shared" ca="1" si="297"/>
        <v>23.500000000000004</v>
      </c>
      <c r="D689" s="306">
        <f t="shared" ca="1" si="298"/>
        <v>-9.4724759065446903E-2</v>
      </c>
      <c r="E689" s="307">
        <f t="shared" ca="1" si="299"/>
        <v>-9.7679857552607352</v>
      </c>
      <c r="F689" s="304">
        <f t="shared" ca="1" si="300"/>
        <v>9.7684450397674176</v>
      </c>
      <c r="G689" s="306">
        <f t="shared" ca="1" si="301"/>
        <v>17.900077543746459</v>
      </c>
      <c r="H689" s="307">
        <f t="shared" ca="1" si="302"/>
        <v>-8.9204051375223941</v>
      </c>
      <c r="I689" s="304">
        <f t="shared" ca="1" si="303"/>
        <v>19.999660094353409</v>
      </c>
      <c r="J689" s="306">
        <f t="shared" ca="1" si="304"/>
        <v>497.40006121723491</v>
      </c>
      <c r="K689" s="307">
        <f t="shared" ca="1" si="305"/>
        <v>2704.2123620944744</v>
      </c>
      <c r="L689" s="304">
        <f t="shared" ca="1" si="290"/>
        <v>2749.5765710748055</v>
      </c>
      <c r="M689" s="306">
        <f t="shared" ca="1" si="306"/>
        <v>-0.46232232967279385</v>
      </c>
      <c r="N689" s="304">
        <f t="shared" ca="1" si="307"/>
        <v>-26.489118264906953</v>
      </c>
      <c r="P689" s="310">
        <f t="shared" ca="1" si="308"/>
        <v>23</v>
      </c>
      <c r="Q689" s="304">
        <f t="shared" ca="1" si="309"/>
        <v>0</v>
      </c>
      <c r="R689" s="306">
        <f t="shared" ca="1" si="310"/>
        <v>0</v>
      </c>
      <c r="S689" s="307">
        <f t="shared" ca="1" si="311"/>
        <v>9.137999999999975</v>
      </c>
      <c r="T689" s="304">
        <f t="shared" ca="1" si="291"/>
        <v>89.643779999999765</v>
      </c>
      <c r="U689" s="311">
        <f t="shared" ca="1" si="292"/>
        <v>0</v>
      </c>
      <c r="V689" s="306">
        <f t="shared" ca="1" si="293"/>
        <v>0.93318982039682308</v>
      </c>
      <c r="W689" s="304">
        <f t="shared" ca="1" si="294"/>
        <v>0.98680223745997253</v>
      </c>
      <c r="Y689" s="314" t="str">
        <f t="shared" ca="1" si="312"/>
        <v/>
      </c>
      <c r="Z689" s="315" t="str">
        <f t="shared" ca="1" si="313"/>
        <v/>
      </c>
      <c r="AA689" s="316" t="str">
        <f t="shared" ca="1" si="314"/>
        <v/>
      </c>
      <c r="AC689" s="310" t="e">
        <f t="shared" ca="1" si="315"/>
        <v>#N/A</v>
      </c>
      <c r="AD689" s="323" t="e">
        <f t="shared" ca="1" si="316"/>
        <v>#N/A</v>
      </c>
      <c r="AE689" s="324" t="e">
        <f t="shared" ca="1" si="295"/>
        <v>#N/A</v>
      </c>
      <c r="AG689" s="306">
        <f t="shared" ca="1" si="317"/>
        <v>3.8738222186470761</v>
      </c>
      <c r="AH689" s="304">
        <f t="shared" ca="1" si="318"/>
        <v>-0.10362420924194209</v>
      </c>
    </row>
    <row r="690" spans="1:34" x14ac:dyDescent="0.2">
      <c r="A690" s="347">
        <f t="shared" ca="1" si="296"/>
        <v>0.1</v>
      </c>
      <c r="B690" s="304">
        <f t="shared" ca="1" si="297"/>
        <v>23.600000000000005</v>
      </c>
      <c r="D690" s="306">
        <f t="shared" ca="1" si="298"/>
        <v>-9.6652094429129531E-2</v>
      </c>
      <c r="E690" s="307">
        <f t="shared" ca="1" si="299"/>
        <v>-9.761833960630014</v>
      </c>
      <c r="F690" s="304">
        <f t="shared" ca="1" si="300"/>
        <v>9.7623124259709595</v>
      </c>
      <c r="G690" s="306">
        <f t="shared" ca="1" si="301"/>
        <v>17.890412334303544</v>
      </c>
      <c r="H690" s="307">
        <f t="shared" ca="1" si="302"/>
        <v>-9.8965885335853958</v>
      </c>
      <c r="I690" s="304">
        <f t="shared" ca="1" si="303"/>
        <v>20.445276180440661</v>
      </c>
      <c r="J690" s="306">
        <f t="shared" ca="1" si="304"/>
        <v>499.1895857111374</v>
      </c>
      <c r="K690" s="307">
        <f t="shared" ca="1" si="305"/>
        <v>2703.2715124109191</v>
      </c>
      <c r="L690" s="304">
        <f t="shared" ca="1" si="290"/>
        <v>2748.9756478177242</v>
      </c>
      <c r="M690" s="306">
        <f t="shared" ca="1" si="306"/>
        <v>-0.50528011706556164</v>
      </c>
      <c r="N690" s="304">
        <f t="shared" ca="1" si="307"/>
        <v>-28.950418179732843</v>
      </c>
      <c r="P690" s="310">
        <f t="shared" ca="1" si="308"/>
        <v>23</v>
      </c>
      <c r="Q690" s="304">
        <f t="shared" ca="1" si="309"/>
        <v>0</v>
      </c>
      <c r="R690" s="306">
        <f t="shared" ca="1" si="310"/>
        <v>0</v>
      </c>
      <c r="S690" s="307">
        <f t="shared" ca="1" si="311"/>
        <v>9.137999999999975</v>
      </c>
      <c r="T690" s="304">
        <f t="shared" ca="1" si="291"/>
        <v>89.643779999999765</v>
      </c>
      <c r="U690" s="311">
        <f t="shared" ca="1" si="292"/>
        <v>0</v>
      </c>
      <c r="V690" s="306">
        <f t="shared" ca="1" si="293"/>
        <v>0.93327925826521385</v>
      </c>
      <c r="W690" s="304">
        <f t="shared" ca="1" si="294"/>
        <v>1.0313652165918137</v>
      </c>
      <c r="Y690" s="314" t="str">
        <f t="shared" ca="1" si="312"/>
        <v/>
      </c>
      <c r="Z690" s="315" t="str">
        <f t="shared" ca="1" si="313"/>
        <v/>
      </c>
      <c r="AA690" s="316" t="str">
        <f t="shared" ca="1" si="314"/>
        <v/>
      </c>
      <c r="AC690" s="310" t="e">
        <f t="shared" ca="1" si="315"/>
        <v>#N/A</v>
      </c>
      <c r="AD690" s="323" t="e">
        <f t="shared" ca="1" si="316"/>
        <v>#N/A</v>
      </c>
      <c r="AE690" s="324" t="e">
        <f t="shared" ca="1" si="295"/>
        <v>#N/A</v>
      </c>
      <c r="AG690" s="306">
        <f t="shared" ca="1" si="317"/>
        <v>4.2675442195687481</v>
      </c>
      <c r="AH690" s="304">
        <f t="shared" ca="1" si="318"/>
        <v>-0.10798886380608178</v>
      </c>
    </row>
    <row r="691" spans="1:34" x14ac:dyDescent="0.2">
      <c r="A691" s="347">
        <f t="shared" ca="1" si="296"/>
        <v>0.1</v>
      </c>
      <c r="B691" s="304">
        <f t="shared" ca="1" si="297"/>
        <v>23.700000000000006</v>
      </c>
      <c r="D691" s="306">
        <f t="shared" ca="1" si="298"/>
        <v>-9.876173151035253E-2</v>
      </c>
      <c r="E691" s="307">
        <f t="shared" ca="1" si="299"/>
        <v>-9.7553671496576815</v>
      </c>
      <c r="F691" s="304">
        <f t="shared" ca="1" si="300"/>
        <v>9.7558670606067182</v>
      </c>
      <c r="G691" s="306">
        <f t="shared" ca="1" si="301"/>
        <v>17.880536161152509</v>
      </c>
      <c r="H691" s="307">
        <f t="shared" ca="1" si="302"/>
        <v>-10.872125248551164</v>
      </c>
      <c r="I691" s="304">
        <f t="shared" ca="1" si="303"/>
        <v>20.926458869824732</v>
      </c>
      <c r="J691" s="306">
        <f t="shared" ca="1" si="304"/>
        <v>500.97813313591018</v>
      </c>
      <c r="K691" s="307">
        <f t="shared" ca="1" si="305"/>
        <v>2702.2330767218123</v>
      </c>
      <c r="L691" s="304">
        <f t="shared" ca="1" si="290"/>
        <v>2748.279951316782</v>
      </c>
      <c r="M691" s="306">
        <f t="shared" ca="1" si="306"/>
        <v>-0.54631209981621087</v>
      </c>
      <c r="N691" s="304">
        <f t="shared" ca="1" si="307"/>
        <v>-31.301377616398639</v>
      </c>
      <c r="P691" s="310">
        <f t="shared" ca="1" si="308"/>
        <v>23</v>
      </c>
      <c r="Q691" s="304">
        <f t="shared" ca="1" si="309"/>
        <v>0</v>
      </c>
      <c r="R691" s="306">
        <f t="shared" ca="1" si="310"/>
        <v>0</v>
      </c>
      <c r="S691" s="307">
        <f t="shared" ca="1" si="311"/>
        <v>9.137999999999975</v>
      </c>
      <c r="T691" s="304">
        <f t="shared" ca="1" si="291"/>
        <v>89.643779999999765</v>
      </c>
      <c r="U691" s="311">
        <f t="shared" ca="1" si="292"/>
        <v>0</v>
      </c>
      <c r="V691" s="306">
        <f t="shared" ca="1" si="293"/>
        <v>0.93337798133801786</v>
      </c>
      <c r="W691" s="304">
        <f t="shared" ca="1" si="294"/>
        <v>1.08059746268014</v>
      </c>
      <c r="Y691" s="314" t="str">
        <f t="shared" ca="1" si="312"/>
        <v/>
      </c>
      <c r="Z691" s="315" t="str">
        <f t="shared" ca="1" si="313"/>
        <v/>
      </c>
      <c r="AA691" s="316" t="str">
        <f t="shared" ca="1" si="314"/>
        <v/>
      </c>
      <c r="AC691" s="310" t="e">
        <f t="shared" ca="1" si="315"/>
        <v>#N/A</v>
      </c>
      <c r="AD691" s="323" t="e">
        <f t="shared" ca="1" si="316"/>
        <v>#N/A</v>
      </c>
      <c r="AE691" s="324" t="e">
        <f t="shared" ca="1" si="295"/>
        <v>#N/A</v>
      </c>
      <c r="AG691" s="306">
        <f t="shared" ca="1" si="317"/>
        <v>4.6356902072723729</v>
      </c>
      <c r="AH691" s="304">
        <f t="shared" ca="1" si="318"/>
        <v>-0.11286553037774311</v>
      </c>
    </row>
    <row r="692" spans="1:34" x14ac:dyDescent="0.2">
      <c r="A692" s="347">
        <f t="shared" ca="1" si="296"/>
        <v>0.1</v>
      </c>
      <c r="B692" s="304">
        <f t="shared" ca="1" si="297"/>
        <v>23.800000000000008</v>
      </c>
      <c r="D692" s="306">
        <f t="shared" ca="1" si="298"/>
        <v>-0.10104098768721911</v>
      </c>
      <c r="E692" s="307">
        <f t="shared" ca="1" si="299"/>
        <v>-9.7485627889750059</v>
      </c>
      <c r="F692" s="304">
        <f t="shared" ca="1" si="300"/>
        <v>9.7490864049807744</v>
      </c>
      <c r="G692" s="306">
        <f t="shared" ca="1" si="301"/>
        <v>17.870432062383788</v>
      </c>
      <c r="H692" s="307">
        <f t="shared" ca="1" si="302"/>
        <v>-11.846981527448666</v>
      </c>
      <c r="I692" s="304">
        <f t="shared" ca="1" si="303"/>
        <v>21.440692932085575</v>
      </c>
      <c r="J692" s="306">
        <f t="shared" ca="1" si="304"/>
        <v>502.76568154708701</v>
      </c>
      <c r="K692" s="307">
        <f t="shared" ca="1" si="305"/>
        <v>2701.0971213830121</v>
      </c>
      <c r="L692" s="304">
        <f t="shared" ca="1" si="290"/>
        <v>2747.489579540767</v>
      </c>
      <c r="M692" s="306">
        <f t="shared" ca="1" si="306"/>
        <v>-0.5854165039897864</v>
      </c>
      <c r="N692" s="304">
        <f t="shared" ca="1" si="307"/>
        <v>-33.541894935918279</v>
      </c>
      <c r="P692" s="310">
        <f t="shared" ca="1" si="308"/>
        <v>23</v>
      </c>
      <c r="Q692" s="304">
        <f t="shared" ca="1" si="309"/>
        <v>0</v>
      </c>
      <c r="R692" s="306">
        <f t="shared" ca="1" si="310"/>
        <v>0</v>
      </c>
      <c r="S692" s="307">
        <f t="shared" ca="1" si="311"/>
        <v>9.137999999999975</v>
      </c>
      <c r="T692" s="304">
        <f t="shared" ca="1" si="291"/>
        <v>89.643779999999765</v>
      </c>
      <c r="U692" s="311">
        <f t="shared" ca="1" si="292"/>
        <v>0</v>
      </c>
      <c r="V692" s="306">
        <f t="shared" ca="1" si="293"/>
        <v>0.93348598585330356</v>
      </c>
      <c r="W692" s="304">
        <f t="shared" ca="1" si="294"/>
        <v>1.1344891323322022</v>
      </c>
      <c r="Y692" s="314" t="str">
        <f t="shared" ca="1" si="312"/>
        <v/>
      </c>
      <c r="Z692" s="315" t="str">
        <f t="shared" ca="1" si="313"/>
        <v/>
      </c>
      <c r="AA692" s="316" t="str">
        <f t="shared" ca="1" si="314"/>
        <v/>
      </c>
      <c r="AC692" s="310" t="e">
        <f t="shared" ca="1" si="315"/>
        <v>#N/A</v>
      </c>
      <c r="AD692" s="323" t="e">
        <f t="shared" ca="1" si="316"/>
        <v>#N/A</v>
      </c>
      <c r="AE692" s="324" t="e">
        <f t="shared" ca="1" si="295"/>
        <v>#N/A</v>
      </c>
      <c r="AG692" s="306">
        <f t="shared" ca="1" si="317"/>
        <v>4.9784308587071617</v>
      </c>
      <c r="AH692" s="304">
        <f t="shared" ca="1" si="318"/>
        <v>-0.11825316947692525</v>
      </c>
    </row>
    <row r="693" spans="1:34" x14ac:dyDescent="0.2">
      <c r="A693" s="347">
        <f t="shared" ca="1" si="296"/>
        <v>0.1</v>
      </c>
      <c r="B693" s="304">
        <f t="shared" ca="1" si="297"/>
        <v>23.900000000000009</v>
      </c>
      <c r="D693" s="306">
        <f t="shared" ca="1" si="298"/>
        <v>-0.10347737952096608</v>
      </c>
      <c r="E693" s="307">
        <f t="shared" ca="1" si="299"/>
        <v>-9.7414009532945709</v>
      </c>
      <c r="F693" s="304">
        <f t="shared" ca="1" si="300"/>
        <v>9.7419505285605368</v>
      </c>
      <c r="G693" s="306">
        <f t="shared" ca="1" si="301"/>
        <v>17.860084324431693</v>
      </c>
      <c r="H693" s="307">
        <f t="shared" ca="1" si="302"/>
        <v>-12.821121622778122</v>
      </c>
      <c r="I693" s="304">
        <f t="shared" ca="1" si="303"/>
        <v>21.985535511828665</v>
      </c>
      <c r="J693" s="306">
        <f t="shared" ca="1" si="304"/>
        <v>504.55220736642781</v>
      </c>
      <c r="K693" s="307">
        <f t="shared" ca="1" si="305"/>
        <v>2699.8637162255009</v>
      </c>
      <c r="L693" s="304">
        <f t="shared" ca="1" si="290"/>
        <v>2746.6046341163315</v>
      </c>
      <c r="M693" s="306">
        <f t="shared" ca="1" si="306"/>
        <v>-0.62261525501098725</v>
      </c>
      <c r="N693" s="304">
        <f t="shared" ca="1" si="307"/>
        <v>-35.673226372591046</v>
      </c>
      <c r="P693" s="310">
        <f t="shared" ca="1" si="308"/>
        <v>23</v>
      </c>
      <c r="Q693" s="304">
        <f t="shared" ca="1" si="309"/>
        <v>0</v>
      </c>
      <c r="R693" s="306">
        <f t="shared" ca="1" si="310"/>
        <v>0</v>
      </c>
      <c r="S693" s="307">
        <f t="shared" ca="1" si="311"/>
        <v>9.137999999999975</v>
      </c>
      <c r="T693" s="304">
        <f t="shared" ca="1" si="291"/>
        <v>89.643779999999765</v>
      </c>
      <c r="U693" s="311">
        <f t="shared" ca="1" si="292"/>
        <v>0</v>
      </c>
      <c r="V693" s="306">
        <f t="shared" ca="1" si="293"/>
        <v>0.93360326795599158</v>
      </c>
      <c r="W693" s="304">
        <f t="shared" ca="1" si="294"/>
        <v>1.1930299971772365</v>
      </c>
      <c r="Y693" s="314" t="str">
        <f t="shared" ca="1" si="312"/>
        <v/>
      </c>
      <c r="Z693" s="315" t="str">
        <f t="shared" ca="1" si="313"/>
        <v/>
      </c>
      <c r="AA693" s="316" t="str">
        <f t="shared" ca="1" si="314"/>
        <v/>
      </c>
      <c r="AC693" s="310" t="e">
        <f t="shared" ca="1" si="315"/>
        <v>#N/A</v>
      </c>
      <c r="AD693" s="323" t="e">
        <f t="shared" ca="1" si="316"/>
        <v>#N/A</v>
      </c>
      <c r="AE693" s="324" t="e">
        <f t="shared" ca="1" si="295"/>
        <v>#N/A</v>
      </c>
      <c r="AG693" s="306">
        <f t="shared" ca="1" si="317"/>
        <v>5.2963312344487159</v>
      </c>
      <c r="AH693" s="304">
        <f t="shared" ca="1" si="318"/>
        <v>-0.12415070391028729</v>
      </c>
    </row>
    <row r="694" spans="1:34" x14ac:dyDescent="0.2">
      <c r="A694" s="347">
        <f t="shared" ca="1" si="296"/>
        <v>0.1</v>
      </c>
      <c r="B694" s="304">
        <f t="shared" ca="1" si="297"/>
        <v>24.000000000000011</v>
      </c>
      <c r="D694" s="306">
        <f t="shared" ca="1" si="298"/>
        <v>-0.10605878961985016</v>
      </c>
      <c r="E694" s="307">
        <f t="shared" ca="1" si="299"/>
        <v>-9.7338641533724122</v>
      </c>
      <c r="F694" s="304">
        <f t="shared" ca="1" si="300"/>
        <v>9.7344419369147221</v>
      </c>
      <c r="G694" s="306">
        <f t="shared" ca="1" si="301"/>
        <v>17.849478445469707</v>
      </c>
      <c r="H694" s="307">
        <f t="shared" ca="1" si="302"/>
        <v>-13.794508038115364</v>
      </c>
      <c r="I694" s="304">
        <f t="shared" ca="1" si="303"/>
        <v>22.558642086546723</v>
      </c>
      <c r="J694" s="306">
        <f t="shared" ca="1" si="304"/>
        <v>506.33768550492289</v>
      </c>
      <c r="K694" s="307">
        <f t="shared" ca="1" si="305"/>
        <v>2698.5329347424563</v>
      </c>
      <c r="L694" s="304">
        <f t="shared" ca="1" si="290"/>
        <v>2745.6252205376131</v>
      </c>
      <c r="M694" s="306">
        <f t="shared" ca="1" si="306"/>
        <v>-0.65794926136673459</v>
      </c>
      <c r="N694" s="304">
        <f t="shared" ca="1" si="307"/>
        <v>-37.697715810063798</v>
      </c>
      <c r="P694" s="310">
        <f t="shared" ca="1" si="308"/>
        <v>23</v>
      </c>
      <c r="Q694" s="304">
        <f t="shared" ca="1" si="309"/>
        <v>0</v>
      </c>
      <c r="R694" s="306">
        <f t="shared" ca="1" si="310"/>
        <v>0</v>
      </c>
      <c r="S694" s="307">
        <f t="shared" ca="1" si="311"/>
        <v>9.137999999999975</v>
      </c>
      <c r="T694" s="304">
        <f t="shared" ca="1" si="291"/>
        <v>89.643779999999765</v>
      </c>
      <c r="U694" s="311">
        <f t="shared" ca="1" si="292"/>
        <v>0</v>
      </c>
      <c r="V694" s="306">
        <f t="shared" ca="1" si="293"/>
        <v>0.9337298236795043</v>
      </c>
      <c r="W694" s="304">
        <f t="shared" ca="1" si="294"/>
        <v>1.2562094084299973</v>
      </c>
      <c r="Y694" s="314" t="str">
        <f t="shared" ca="1" si="312"/>
        <v/>
      </c>
      <c r="Z694" s="315" t="str">
        <f t="shared" ca="1" si="313"/>
        <v/>
      </c>
      <c r="AA694" s="316" t="str">
        <f t="shared" ca="1" si="314"/>
        <v/>
      </c>
      <c r="AC694" s="310">
        <f t="shared" ca="1" si="315"/>
        <v>24.000000000000011</v>
      </c>
      <c r="AD694" s="323">
        <f t="shared" ca="1" si="316"/>
        <v>506.33768550492289</v>
      </c>
      <c r="AE694" s="324" t="e">
        <f t="shared" ca="1" si="295"/>
        <v>#N/A</v>
      </c>
      <c r="AG694" s="306">
        <f t="shared" ca="1" si="317"/>
        <v>5.5902589763121719</v>
      </c>
      <c r="AH694" s="304">
        <f t="shared" ca="1" si="318"/>
        <v>-0.13055701435513675</v>
      </c>
    </row>
    <row r="695" spans="1:34" x14ac:dyDescent="0.2">
      <c r="A695" s="347">
        <f t="shared" ca="1" si="296"/>
        <v>0.1</v>
      </c>
      <c r="B695" s="304">
        <f t="shared" ca="1" si="297"/>
        <v>24.100000000000012</v>
      </c>
      <c r="D695" s="306">
        <f t="shared" ca="1" si="298"/>
        <v>-0.10877359064174599</v>
      </c>
      <c r="E695" s="307">
        <f t="shared" ca="1" si="299"/>
        <v>-9.725937142083664</v>
      </c>
      <c r="F695" s="304">
        <f t="shared" ca="1" si="300"/>
        <v>9.7265453777681863</v>
      </c>
      <c r="G695" s="306">
        <f t="shared" ca="1" si="301"/>
        <v>17.838601086405532</v>
      </c>
      <c r="H695" s="307">
        <f t="shared" ca="1" si="302"/>
        <v>-14.767101752323731</v>
      </c>
      <c r="I695" s="304">
        <f t="shared" ca="1" si="303"/>
        <v>23.157784498595525</v>
      </c>
      <c r="J695" s="306">
        <f t="shared" ca="1" si="304"/>
        <v>508.12208948151664</v>
      </c>
      <c r="K695" s="307">
        <f t="shared" ca="1" si="305"/>
        <v>2697.1048542529343</v>
      </c>
      <c r="L695" s="304">
        <f t="shared" ca="1" si="290"/>
        <v>2744.5514483524998</v>
      </c>
      <c r="M695" s="306">
        <f t="shared" ca="1" si="306"/>
        <v>-0.6914740409030844</v>
      </c>
      <c r="N695" s="304">
        <f t="shared" ca="1" si="307"/>
        <v>-39.618544186603188</v>
      </c>
      <c r="P695" s="310">
        <f t="shared" ca="1" si="308"/>
        <v>23</v>
      </c>
      <c r="Q695" s="304">
        <f t="shared" ca="1" si="309"/>
        <v>0</v>
      </c>
      <c r="R695" s="306">
        <f t="shared" ca="1" si="310"/>
        <v>0</v>
      </c>
      <c r="S695" s="307">
        <f t="shared" ca="1" si="311"/>
        <v>9.137999999999975</v>
      </c>
      <c r="T695" s="304">
        <f t="shared" ca="1" si="291"/>
        <v>89.643779999999765</v>
      </c>
      <c r="U695" s="311">
        <f t="shared" ca="1" si="292"/>
        <v>0</v>
      </c>
      <c r="V695" s="306">
        <f t="shared" ca="1" si="293"/>
        <v>0.93386564892960289</v>
      </c>
      <c r="W695" s="304">
        <f t="shared" ca="1" si="294"/>
        <v>1.3240162660029384</v>
      </c>
      <c r="Y695" s="314" t="str">
        <f t="shared" ca="1" si="312"/>
        <v/>
      </c>
      <c r="Z695" s="315" t="str">
        <f t="shared" ca="1" si="313"/>
        <v/>
      </c>
      <c r="AA695" s="316" t="str">
        <f t="shared" ca="1" si="314"/>
        <v/>
      </c>
      <c r="AC695" s="310" t="e">
        <f t="shared" ca="1" si="315"/>
        <v>#N/A</v>
      </c>
      <c r="AD695" s="323" t="e">
        <f t="shared" ca="1" si="316"/>
        <v>#N/A</v>
      </c>
      <c r="AE695" s="324" t="e">
        <f t="shared" ca="1" si="295"/>
        <v>#N/A</v>
      </c>
      <c r="AG695" s="306">
        <f t="shared" ca="1" si="317"/>
        <v>5.8612998830251124</v>
      </c>
      <c r="AH695" s="304">
        <f t="shared" ca="1" si="318"/>
        <v>-0.13747093548150588</v>
      </c>
    </row>
    <row r="696" spans="1:34" x14ac:dyDescent="0.2">
      <c r="A696" s="347">
        <f t="shared" ca="1" si="296"/>
        <v>0.1</v>
      </c>
      <c r="B696" s="304">
        <f t="shared" ca="1" si="297"/>
        <v>24.200000000000014</v>
      </c>
      <c r="D696" s="306">
        <f t="shared" ca="1" si="298"/>
        <v>-0.1116107309703268</v>
      </c>
      <c r="E696" s="307">
        <f t="shared" ca="1" si="299"/>
        <v>-9.7176067112602187</v>
      </c>
      <c r="F696" s="304">
        <f t="shared" ca="1" si="300"/>
        <v>9.7182476378201734</v>
      </c>
      <c r="G696" s="306">
        <f t="shared" ca="1" si="301"/>
        <v>17.8274400133085</v>
      </c>
      <c r="H696" s="307">
        <f t="shared" ca="1" si="302"/>
        <v>-15.738862423449753</v>
      </c>
      <c r="I696" s="304">
        <f t="shared" ca="1" si="303"/>
        <v>23.780862217598241</v>
      </c>
      <c r="J696" s="306">
        <f t="shared" ca="1" si="304"/>
        <v>509.90539153650235</v>
      </c>
      <c r="K696" s="307">
        <f t="shared" ca="1" si="305"/>
        <v>2695.5795560441456</v>
      </c>
      <c r="L696" s="304">
        <f t="shared" ca="1" si="290"/>
        <v>2743.3834313272996</v>
      </c>
      <c r="M696" s="306">
        <f t="shared" ca="1" si="306"/>
        <v>-0.72325582777137232</v>
      </c>
      <c r="N696" s="304">
        <f t="shared" ca="1" si="307"/>
        <v>-41.439506439540388</v>
      </c>
      <c r="P696" s="310">
        <f t="shared" ca="1" si="308"/>
        <v>23</v>
      </c>
      <c r="Q696" s="304">
        <f t="shared" ca="1" si="309"/>
        <v>0</v>
      </c>
      <c r="R696" s="306">
        <f t="shared" ca="1" si="310"/>
        <v>0</v>
      </c>
      <c r="S696" s="307">
        <f t="shared" ca="1" si="311"/>
        <v>9.137999999999975</v>
      </c>
      <c r="T696" s="304">
        <f t="shared" ca="1" si="291"/>
        <v>89.643779999999765</v>
      </c>
      <c r="U696" s="311">
        <f t="shared" ca="1" si="292"/>
        <v>0</v>
      </c>
      <c r="V696" s="306">
        <f t="shared" ca="1" si="293"/>
        <v>0.93401073947021651</v>
      </c>
      <c r="W696" s="304">
        <f t="shared" ca="1" si="294"/>
        <v>1.3964389917731412</v>
      </c>
      <c r="Y696" s="314" t="str">
        <f t="shared" ca="1" si="312"/>
        <v/>
      </c>
      <c r="Z696" s="315" t="str">
        <f t="shared" ca="1" si="313"/>
        <v/>
      </c>
      <c r="AA696" s="316" t="str">
        <f t="shared" ca="1" si="314"/>
        <v/>
      </c>
      <c r="AC696" s="310" t="e">
        <f t="shared" ca="1" si="315"/>
        <v>#N/A</v>
      </c>
      <c r="AD696" s="323" t="e">
        <f t="shared" ca="1" si="316"/>
        <v>#N/A</v>
      </c>
      <c r="AE696" s="324" t="e">
        <f t="shared" ca="1" si="295"/>
        <v>#N/A</v>
      </c>
      <c r="AG696" s="306">
        <f t="shared" ca="1" si="317"/>
        <v>6.110684197621933</v>
      </c>
      <c r="AH696" s="304">
        <f t="shared" ca="1" si="318"/>
        <v>-0.14489125257200067</v>
      </c>
    </row>
    <row r="697" spans="1:34" x14ac:dyDescent="0.2">
      <c r="A697" s="347">
        <f t="shared" ca="1" si="296"/>
        <v>0.1</v>
      </c>
      <c r="B697" s="304">
        <f t="shared" ca="1" si="297"/>
        <v>24.300000000000015</v>
      </c>
      <c r="D697" s="306">
        <f t="shared" ca="1" si="298"/>
        <v>-0.11455978771205513</v>
      </c>
      <c r="E697" s="307">
        <f t="shared" ca="1" si="299"/>
        <v>-9.7088614889903635</v>
      </c>
      <c r="F697" s="304">
        <f t="shared" ca="1" si="300"/>
        <v>9.7095373400260847</v>
      </c>
      <c r="G697" s="306">
        <f t="shared" ca="1" si="301"/>
        <v>17.815984034537294</v>
      </c>
      <c r="H697" s="307">
        <f t="shared" ca="1" si="302"/>
        <v>-16.70974857234879</v>
      </c>
      <c r="I697" s="304">
        <f t="shared" ca="1" si="303"/>
        <v>24.425908058248318</v>
      </c>
      <c r="J697" s="306">
        <f t="shared" ca="1" si="304"/>
        <v>511.68756273889466</v>
      </c>
      <c r="K697" s="307">
        <f t="shared" ca="1" si="305"/>
        <v>2693.9571254943558</v>
      </c>
      <c r="L697" s="304">
        <f t="shared" ca="1" si="290"/>
        <v>2742.1212875916854</v>
      </c>
      <c r="M697" s="306">
        <f t="shared" ca="1" si="306"/>
        <v>-0.75336822367199496</v>
      </c>
      <c r="N697" s="304">
        <f t="shared" ca="1" si="307"/>
        <v>-43.164819635673112</v>
      </c>
      <c r="P697" s="310">
        <f t="shared" ca="1" si="308"/>
        <v>23</v>
      </c>
      <c r="Q697" s="304">
        <f t="shared" ca="1" si="309"/>
        <v>0</v>
      </c>
      <c r="R697" s="306">
        <f t="shared" ca="1" si="310"/>
        <v>0</v>
      </c>
      <c r="S697" s="307">
        <f t="shared" ca="1" si="311"/>
        <v>9.137999999999975</v>
      </c>
      <c r="T697" s="304">
        <f t="shared" ca="1" si="291"/>
        <v>89.643779999999765</v>
      </c>
      <c r="U697" s="311">
        <f t="shared" ca="1" si="292"/>
        <v>0</v>
      </c>
      <c r="V697" s="306">
        <f t="shared" ca="1" si="293"/>
        <v>0.93416509091107258</v>
      </c>
      <c r="W697" s="304">
        <f t="shared" ca="1" si="294"/>
        <v>1.4734655066053213</v>
      </c>
      <c r="Y697" s="314" t="str">
        <f t="shared" ca="1" si="312"/>
        <v/>
      </c>
      <c r="Z697" s="315" t="str">
        <f t="shared" ca="1" si="313"/>
        <v/>
      </c>
      <c r="AA697" s="316" t="str">
        <f t="shared" ca="1" si="314"/>
        <v/>
      </c>
      <c r="AC697" s="310" t="e">
        <f t="shared" ca="1" si="315"/>
        <v>#N/A</v>
      </c>
      <c r="AD697" s="323" t="e">
        <f t="shared" ca="1" si="316"/>
        <v>#N/A</v>
      </c>
      <c r="AE697" s="324" t="e">
        <f t="shared" ca="1" si="295"/>
        <v>#N/A</v>
      </c>
      <c r="AG697" s="306">
        <f t="shared" ca="1" si="317"/>
        <v>6.3397250335442772</v>
      </c>
      <c r="AH697" s="304">
        <f t="shared" ca="1" si="318"/>
        <v>-0.15281669859631702</v>
      </c>
    </row>
    <row r="698" spans="1:34" x14ac:dyDescent="0.2">
      <c r="A698" s="347">
        <f t="shared" ca="1" si="296"/>
        <v>0.1</v>
      </c>
      <c r="B698" s="304">
        <f t="shared" ca="1" si="297"/>
        <v>24.400000000000016</v>
      </c>
      <c r="D698" s="306">
        <f t="shared" ca="1" si="298"/>
        <v>-0.11761099297570649</v>
      </c>
      <c r="E698" s="307">
        <f t="shared" ca="1" si="299"/>
        <v>-9.6996917443258486</v>
      </c>
      <c r="F698" s="304">
        <f t="shared" ca="1" si="300"/>
        <v>9.7004047482881752</v>
      </c>
      <c r="G698" s="306">
        <f t="shared" ca="1" si="301"/>
        <v>17.804222935239725</v>
      </c>
      <c r="H698" s="307">
        <f t="shared" ca="1" si="302"/>
        <v>-17.679717746781375</v>
      </c>
      <c r="I698" s="304">
        <f t="shared" ca="1" si="303"/>
        <v>25.091089532612418</v>
      </c>
      <c r="J698" s="306">
        <f t="shared" ca="1" si="304"/>
        <v>513.46857308738356</v>
      </c>
      <c r="K698" s="307">
        <f t="shared" ca="1" si="305"/>
        <v>2692.2376521783995</v>
      </c>
      <c r="L698" s="304">
        <f t="shared" ca="1" si="290"/>
        <v>2740.7651397658015</v>
      </c>
      <c r="M698" s="306">
        <f t="shared" ca="1" si="306"/>
        <v>-0.78188940210655877</v>
      </c>
      <c r="N698" s="304">
        <f t="shared" ca="1" si="307"/>
        <v>-44.798962786713155</v>
      </c>
      <c r="P698" s="310">
        <f t="shared" ca="1" si="308"/>
        <v>23</v>
      </c>
      <c r="Q698" s="304">
        <f t="shared" ca="1" si="309"/>
        <v>0</v>
      </c>
      <c r="R698" s="306">
        <f t="shared" ca="1" si="310"/>
        <v>0</v>
      </c>
      <c r="S698" s="307">
        <f t="shared" ca="1" si="311"/>
        <v>9.137999999999975</v>
      </c>
      <c r="T698" s="304">
        <f t="shared" ca="1" si="291"/>
        <v>89.643779999999765</v>
      </c>
      <c r="U698" s="311">
        <f t="shared" ca="1" si="292"/>
        <v>0</v>
      </c>
      <c r="V698" s="306">
        <f t="shared" ca="1" si="293"/>
        <v>0.93432869869693613</v>
      </c>
      <c r="W698" s="304">
        <f t="shared" ca="1" si="294"/>
        <v>1.5550832107426897</v>
      </c>
      <c r="Y698" s="314" t="str">
        <f t="shared" ca="1" si="312"/>
        <v/>
      </c>
      <c r="Z698" s="315" t="str">
        <f t="shared" ca="1" si="313"/>
        <v/>
      </c>
      <c r="AA698" s="316" t="str">
        <f t="shared" ca="1" si="314"/>
        <v/>
      </c>
      <c r="AC698" s="310" t="e">
        <f t="shared" ca="1" si="315"/>
        <v>#N/A</v>
      </c>
      <c r="AD698" s="323" t="e">
        <f t="shared" ca="1" si="316"/>
        <v>#N/A</v>
      </c>
      <c r="AE698" s="324" t="e">
        <f t="shared" ca="1" si="295"/>
        <v>#N/A</v>
      </c>
      <c r="AG698" s="306">
        <f t="shared" ca="1" si="317"/>
        <v>6.5497689716311847</v>
      </c>
      <c r="AH698" s="304">
        <f t="shared" ca="1" si="318"/>
        <v>-0.16124595169679637</v>
      </c>
    </row>
    <row r="699" spans="1:34" x14ac:dyDescent="0.2">
      <c r="A699" s="347">
        <f t="shared" ca="1" si="296"/>
        <v>0.1</v>
      </c>
      <c r="B699" s="304">
        <f t="shared" ca="1" si="297"/>
        <v>24.500000000000018</v>
      </c>
      <c r="D699" s="306">
        <f t="shared" ca="1" si="298"/>
        <v>-0.1207552391594079</v>
      </c>
      <c r="E699" s="307">
        <f t="shared" ca="1" si="299"/>
        <v>-9.6900892039743116</v>
      </c>
      <c r="F699" s="304">
        <f t="shared" ca="1" si="300"/>
        <v>9.6908415841331319</v>
      </c>
      <c r="G699" s="306">
        <f t="shared" ca="1" si="301"/>
        <v>17.792147411323786</v>
      </c>
      <c r="H699" s="307">
        <f t="shared" ca="1" si="302"/>
        <v>-18.648726667178806</v>
      </c>
      <c r="I699" s="304">
        <f t="shared" ca="1" si="303"/>
        <v>25.774706900630733</v>
      </c>
      <c r="J699" s="306">
        <f t="shared" ca="1" si="304"/>
        <v>515.24839160471174</v>
      </c>
      <c r="K699" s="307">
        <f t="shared" ca="1" si="305"/>
        <v>2690.4212299577016</v>
      </c>
      <c r="L699" s="304">
        <f t="shared" ca="1" si="290"/>
        <v>2739.3151150713484</v>
      </c>
      <c r="M699" s="306">
        <f t="shared" ca="1" si="306"/>
        <v>-0.80889983747287386</v>
      </c>
      <c r="N699" s="304">
        <f t="shared" ca="1" si="307"/>
        <v>-46.346546736013906</v>
      </c>
      <c r="P699" s="310">
        <f t="shared" ca="1" si="308"/>
        <v>23</v>
      </c>
      <c r="Q699" s="304">
        <f t="shared" ca="1" si="309"/>
        <v>0</v>
      </c>
      <c r="R699" s="306">
        <f t="shared" ca="1" si="310"/>
        <v>0</v>
      </c>
      <c r="S699" s="307">
        <f t="shared" ca="1" si="311"/>
        <v>9.137999999999975</v>
      </c>
      <c r="T699" s="304">
        <f t="shared" ca="1" si="291"/>
        <v>89.643779999999765</v>
      </c>
      <c r="U699" s="311">
        <f t="shared" ca="1" si="292"/>
        <v>0</v>
      </c>
      <c r="V699" s="306">
        <f t="shared" ca="1" si="293"/>
        <v>0.9345015580982825</v>
      </c>
      <c r="W699" s="304">
        <f t="shared" ca="1" si="294"/>
        <v>1.6412789671982853</v>
      </c>
      <c r="Y699" s="314" t="str">
        <f t="shared" ca="1" si="312"/>
        <v/>
      </c>
      <c r="Z699" s="315" t="str">
        <f t="shared" ca="1" si="313"/>
        <v/>
      </c>
      <c r="AA699" s="316" t="str">
        <f t="shared" ca="1" si="314"/>
        <v/>
      </c>
      <c r="AC699" s="310" t="e">
        <f t="shared" ca="1" si="315"/>
        <v>#N/A</v>
      </c>
      <c r="AD699" s="323" t="e">
        <f t="shared" ca="1" si="316"/>
        <v>#N/A</v>
      </c>
      <c r="AE699" s="324" t="e">
        <f t="shared" ca="1" si="295"/>
        <v>#N/A</v>
      </c>
      <c r="AG699" s="306">
        <f t="shared" ca="1" si="317"/>
        <v>6.7421579540788326</v>
      </c>
      <c r="AH699" s="304">
        <f t="shared" ca="1" si="318"/>
        <v>-0.170177633042536</v>
      </c>
    </row>
    <row r="700" spans="1:34" x14ac:dyDescent="0.2">
      <c r="A700" s="347">
        <f t="shared" ca="1" si="296"/>
        <v>0.1</v>
      </c>
      <c r="B700" s="304">
        <f t="shared" ca="1" si="297"/>
        <v>24.600000000000019</v>
      </c>
      <c r="D700" s="306">
        <f t="shared" ca="1" si="298"/>
        <v>-0.12398406840022962</v>
      </c>
      <c r="E700" s="307">
        <f t="shared" ca="1" si="299"/>
        <v>-9.6800468836488438</v>
      </c>
      <c r="F700" s="304">
        <f t="shared" ca="1" si="300"/>
        <v>9.6808408580482705</v>
      </c>
      <c r="G700" s="306">
        <f t="shared" ca="1" si="301"/>
        <v>17.779749004483762</v>
      </c>
      <c r="H700" s="307">
        <f t="shared" ca="1" si="302"/>
        <v>-19.616731355543692</v>
      </c>
      <c r="I700" s="304">
        <f t="shared" ca="1" si="303"/>
        <v>26.475188832905655</v>
      </c>
      <c r="J700" s="306">
        <f t="shared" ca="1" si="304"/>
        <v>517.02698642550217</v>
      </c>
      <c r="K700" s="307">
        <f t="shared" ca="1" si="305"/>
        <v>2688.5079570565654</v>
      </c>
      <c r="L700" s="304">
        <f t="shared" ca="1" si="290"/>
        <v>2737.7713454283767</v>
      </c>
      <c r="M700" s="306">
        <f t="shared" ca="1" si="306"/>
        <v>-0.83448050891930181</v>
      </c>
      <c r="N700" s="304">
        <f t="shared" ca="1" si="307"/>
        <v>-47.812211247005045</v>
      </c>
      <c r="P700" s="310">
        <f t="shared" ca="1" si="308"/>
        <v>23</v>
      </c>
      <c r="Q700" s="304">
        <f t="shared" ca="1" si="309"/>
        <v>0</v>
      </c>
      <c r="R700" s="306">
        <f t="shared" ca="1" si="310"/>
        <v>0</v>
      </c>
      <c r="S700" s="307">
        <f t="shared" ca="1" si="311"/>
        <v>9.137999999999975</v>
      </c>
      <c r="T700" s="304">
        <f t="shared" ca="1" si="291"/>
        <v>89.643779999999765</v>
      </c>
      <c r="U700" s="311">
        <f t="shared" ca="1" si="292"/>
        <v>0</v>
      </c>
      <c r="V700" s="306">
        <f t="shared" ca="1" si="293"/>
        <v>0.93468366420322735</v>
      </c>
      <c r="W700" s="304">
        <f t="shared" ca="1" si="294"/>
        <v>1.7320390878065548</v>
      </c>
      <c r="Y700" s="314" t="str">
        <f t="shared" ca="1" si="312"/>
        <v/>
      </c>
      <c r="Z700" s="315" t="str">
        <f t="shared" ca="1" si="313"/>
        <v/>
      </c>
      <c r="AA700" s="316" t="str">
        <f t="shared" ca="1" si="314"/>
        <v/>
      </c>
      <c r="AC700" s="310" t="e">
        <f t="shared" ca="1" si="315"/>
        <v>#N/A</v>
      </c>
      <c r="AD700" s="323" t="e">
        <f t="shared" ca="1" si="316"/>
        <v>#N/A</v>
      </c>
      <c r="AE700" s="324" t="e">
        <f t="shared" ca="1" si="295"/>
        <v>#N/A</v>
      </c>
      <c r="AG700" s="306">
        <f t="shared" ca="1" si="317"/>
        <v>6.9182011001897061</v>
      </c>
      <c r="AH700" s="304">
        <f t="shared" ca="1" si="318"/>
        <v>-0.17961030501185049</v>
      </c>
    </row>
    <row r="701" spans="1:34" x14ac:dyDescent="0.2">
      <c r="A701" s="347">
        <f t="shared" ca="1" si="296"/>
        <v>0.1</v>
      </c>
      <c r="B701" s="304">
        <f t="shared" ca="1" si="297"/>
        <v>24.700000000000021</v>
      </c>
      <c r="D701" s="306">
        <f t="shared" ca="1" si="298"/>
        <v>-0.1272896506090368</v>
      </c>
      <c r="E701" s="307">
        <f t="shared" ca="1" si="299"/>
        <v>-9.6695589352971876</v>
      </c>
      <c r="F701" s="304">
        <f t="shared" ca="1" si="300"/>
        <v>9.6703967166987432</v>
      </c>
      <c r="G701" s="306">
        <f t="shared" ca="1" si="301"/>
        <v>17.767020039422857</v>
      </c>
      <c r="H701" s="307">
        <f t="shared" ca="1" si="302"/>
        <v>-20.58368724907341</v>
      </c>
      <c r="I701" s="304">
        <f t="shared" ca="1" si="303"/>
        <v>27.191086441128473</v>
      </c>
      <c r="J701" s="306">
        <f t="shared" ca="1" si="304"/>
        <v>518.80432487769747</v>
      </c>
      <c r="K701" s="307">
        <f t="shared" ca="1" si="305"/>
        <v>2686.4979361263345</v>
      </c>
      <c r="L701" s="304">
        <f t="shared" ca="1" si="290"/>
        <v>2736.1339675393929</v>
      </c>
      <c r="M701" s="306">
        <f t="shared" ca="1" si="306"/>
        <v>-0.85871151830612436</v>
      </c>
      <c r="N701" s="304">
        <f t="shared" ca="1" si="307"/>
        <v>-49.200545818211857</v>
      </c>
      <c r="P701" s="310">
        <f t="shared" ca="1" si="308"/>
        <v>23</v>
      </c>
      <c r="Q701" s="304">
        <f t="shared" ca="1" si="309"/>
        <v>0</v>
      </c>
      <c r="R701" s="306">
        <f t="shared" ca="1" si="310"/>
        <v>0</v>
      </c>
      <c r="S701" s="307">
        <f t="shared" ca="1" si="311"/>
        <v>9.137999999999975</v>
      </c>
      <c r="T701" s="304">
        <f t="shared" ca="1" si="291"/>
        <v>89.643779999999765</v>
      </c>
      <c r="U701" s="311">
        <f t="shared" ca="1" si="292"/>
        <v>0</v>
      </c>
      <c r="V701" s="306">
        <f t="shared" ca="1" si="293"/>
        <v>0.93487501191057043</v>
      </c>
      <c r="W701" s="304">
        <f t="shared" ca="1" si="294"/>
        <v>1.8273493216254333</v>
      </c>
      <c r="Y701" s="314" t="str">
        <f t="shared" ca="1" si="312"/>
        <v/>
      </c>
      <c r="Z701" s="315" t="str">
        <f t="shared" ca="1" si="313"/>
        <v/>
      </c>
      <c r="AA701" s="316" t="str">
        <f t="shared" ca="1" si="314"/>
        <v/>
      </c>
      <c r="AC701" s="310" t="e">
        <f t="shared" ca="1" si="315"/>
        <v>#N/A</v>
      </c>
      <c r="AD701" s="323" t="e">
        <f t="shared" ca="1" si="316"/>
        <v>#N/A</v>
      </c>
      <c r="AE701" s="324" t="e">
        <f t="shared" ca="1" si="295"/>
        <v>#N/A</v>
      </c>
      <c r="AG701" s="306">
        <f t="shared" ca="1" si="317"/>
        <v>7.079154868526591</v>
      </c>
      <c r="AH701" s="304">
        <f t="shared" ca="1" si="318"/>
        <v>-0.18954246966585242</v>
      </c>
    </row>
    <row r="702" spans="1:34" x14ac:dyDescent="0.2">
      <c r="A702" s="347">
        <f t="shared" ca="1" si="296"/>
        <v>0.1</v>
      </c>
      <c r="B702" s="304">
        <f t="shared" ca="1" si="297"/>
        <v>24.800000000000022</v>
      </c>
      <c r="D702" s="306">
        <f t="shared" ca="1" si="298"/>
        <v>-0.13066475373947298</v>
      </c>
      <c r="E702" s="307">
        <f t="shared" ca="1" si="299"/>
        <v>-9.658620510390449</v>
      </c>
      <c r="F702" s="304">
        <f t="shared" ca="1" si="300"/>
        <v>9.6595043062056174</v>
      </c>
      <c r="G702" s="306">
        <f t="shared" ca="1" si="301"/>
        <v>17.75395356404891</v>
      </c>
      <c r="H702" s="307">
        <f t="shared" ca="1" si="302"/>
        <v>-21.549549300112457</v>
      </c>
      <c r="I702" s="304">
        <f t="shared" ca="1" si="303"/>
        <v>27.921066279645952</v>
      </c>
      <c r="J702" s="306">
        <f t="shared" ca="1" si="304"/>
        <v>520.5803735578711</v>
      </c>
      <c r="K702" s="307">
        <f t="shared" ca="1" si="305"/>
        <v>2684.391274298875</v>
      </c>
      <c r="L702" s="304">
        <f t="shared" ca="1" si="290"/>
        <v>2734.4031229622292</v>
      </c>
      <c r="M702" s="306">
        <f t="shared" ca="1" si="306"/>
        <v>-0.88167105900607279</v>
      </c>
      <c r="N702" s="304">
        <f t="shared" ca="1" si="307"/>
        <v>-50.516030599877745</v>
      </c>
      <c r="P702" s="310">
        <f t="shared" ca="1" si="308"/>
        <v>23</v>
      </c>
      <c r="Q702" s="304">
        <f t="shared" ca="1" si="309"/>
        <v>0</v>
      </c>
      <c r="R702" s="306">
        <f t="shared" ca="1" si="310"/>
        <v>0</v>
      </c>
      <c r="S702" s="307">
        <f t="shared" ca="1" si="311"/>
        <v>9.137999999999975</v>
      </c>
      <c r="T702" s="304">
        <f t="shared" ca="1" si="291"/>
        <v>89.643779999999765</v>
      </c>
      <c r="U702" s="311">
        <f t="shared" ca="1" si="292"/>
        <v>0</v>
      </c>
      <c r="V702" s="306">
        <f t="shared" ca="1" si="293"/>
        <v>0.93507559592380918</v>
      </c>
      <c r="W702" s="304">
        <f t="shared" ca="1" si="294"/>
        <v>1.9271948454105785</v>
      </c>
      <c r="Y702" s="314" t="str">
        <f t="shared" ca="1" si="312"/>
        <v/>
      </c>
      <c r="Z702" s="315" t="str">
        <f t="shared" ca="1" si="313"/>
        <v/>
      </c>
      <c r="AA702" s="316" t="str">
        <f t="shared" ca="1" si="314"/>
        <v/>
      </c>
      <c r="AC702" s="310" t="e">
        <f t="shared" ca="1" si="315"/>
        <v>#N/A</v>
      </c>
      <c r="AD702" s="323" t="e">
        <f t="shared" ca="1" si="316"/>
        <v>#N/A</v>
      </c>
      <c r="AE702" s="324" t="e">
        <f t="shared" ca="1" si="295"/>
        <v>#N/A</v>
      </c>
      <c r="AG702" s="306">
        <f t="shared" ca="1" si="317"/>
        <v>7.2262099924048782</v>
      </c>
      <c r="AH702" s="304">
        <f t="shared" ca="1" si="318"/>
        <v>-0.19997256747925565</v>
      </c>
    </row>
    <row r="703" spans="1:34" x14ac:dyDescent="0.2">
      <c r="A703" s="347">
        <f t="shared" ca="1" si="296"/>
        <v>0.1</v>
      </c>
      <c r="B703" s="304">
        <f t="shared" ca="1" si="297"/>
        <v>24.900000000000023</v>
      </c>
      <c r="D703" s="306">
        <f t="shared" ca="1" si="298"/>
        <v>-0.13410270920164061</v>
      </c>
      <c r="E703" s="307">
        <f t="shared" ca="1" si="299"/>
        <v>-9.6472276387457025</v>
      </c>
      <c r="F703" s="304">
        <f t="shared" ca="1" si="300"/>
        <v>9.6481596509590464</v>
      </c>
      <c r="G703" s="306">
        <f t="shared" ca="1" si="301"/>
        <v>17.740543293128745</v>
      </c>
      <c r="H703" s="307">
        <f t="shared" ca="1" si="302"/>
        <v>-22.514272063987026</v>
      </c>
      <c r="I703" s="304">
        <f t="shared" ca="1" si="303"/>
        <v>28.663902785674562</v>
      </c>
      <c r="J703" s="306">
        <f t="shared" ca="1" si="304"/>
        <v>522.35509840072996</v>
      </c>
      <c r="K703" s="307">
        <f t="shared" ca="1" si="305"/>
        <v>2682.1880832306701</v>
      </c>
      <c r="L703" s="304">
        <f t="shared" ca="1" si="290"/>
        <v>2732.5789581730023</v>
      </c>
      <c r="M703" s="306">
        <f t="shared" ca="1" si="306"/>
        <v>-0.90343467477964445</v>
      </c>
      <c r="N703" s="304">
        <f t="shared" ca="1" si="307"/>
        <v>-51.762993930647745</v>
      </c>
      <c r="P703" s="310">
        <f t="shared" ca="1" si="308"/>
        <v>23</v>
      </c>
      <c r="Q703" s="304">
        <f t="shared" ca="1" si="309"/>
        <v>0</v>
      </c>
      <c r="R703" s="306">
        <f t="shared" ca="1" si="310"/>
        <v>0</v>
      </c>
      <c r="S703" s="307">
        <f t="shared" ca="1" si="311"/>
        <v>9.137999999999975</v>
      </c>
      <c r="T703" s="304">
        <f t="shared" ca="1" si="291"/>
        <v>89.643779999999765</v>
      </c>
      <c r="U703" s="311">
        <f t="shared" ca="1" si="292"/>
        <v>0</v>
      </c>
      <c r="V703" s="306">
        <f t="shared" ca="1" si="293"/>
        <v>0.93528541074600036</v>
      </c>
      <c r="W703" s="304">
        <f t="shared" ca="1" si="294"/>
        <v>2.0315602559142061</v>
      </c>
      <c r="Y703" s="314" t="str">
        <f t="shared" ca="1" si="312"/>
        <v/>
      </c>
      <c r="Z703" s="315" t="str">
        <f t="shared" ca="1" si="313"/>
        <v/>
      </c>
      <c r="AA703" s="316" t="str">
        <f t="shared" ca="1" si="314"/>
        <v/>
      </c>
      <c r="AC703" s="310" t="e">
        <f t="shared" ca="1" si="315"/>
        <v>#N/A</v>
      </c>
      <c r="AD703" s="323" t="e">
        <f t="shared" ca="1" si="316"/>
        <v>#N/A</v>
      </c>
      <c r="AE703" s="324" t="e">
        <f t="shared" ca="1" si="295"/>
        <v>#N/A</v>
      </c>
      <c r="AG703" s="306">
        <f t="shared" ca="1" si="317"/>
        <v>7.3604837394191698</v>
      </c>
      <c r="AH703" s="304">
        <f t="shared" ca="1" si="318"/>
        <v>-0.21089897629794088</v>
      </c>
    </row>
    <row r="704" spans="1:34" x14ac:dyDescent="0.2">
      <c r="A704" s="347">
        <f t="shared" ca="1" si="296"/>
        <v>0.1</v>
      </c>
      <c r="B704" s="304">
        <f t="shared" ca="1" si="297"/>
        <v>25.000000000000025</v>
      </c>
      <c r="D704" s="306">
        <f t="shared" ca="1" si="298"/>
        <v>-0.13759737467110347</v>
      </c>
      <c r="E704" s="307">
        <f t="shared" ca="1" si="299"/>
        <v>-9.6353771219151199</v>
      </c>
      <c r="F704" s="304">
        <f t="shared" ca="1" si="300"/>
        <v>9.6363595469991505</v>
      </c>
      <c r="G704" s="306">
        <f t="shared" ca="1" si="301"/>
        <v>17.726783555661633</v>
      </c>
      <c r="H704" s="307">
        <f t="shared" ca="1" si="302"/>
        <v>-23.477809776178539</v>
      </c>
      <c r="I704" s="304">
        <f t="shared" ca="1" si="303"/>
        <v>29.418470509455453</v>
      </c>
      <c r="J704" s="306">
        <f t="shared" ca="1" si="304"/>
        <v>524.1284647431695</v>
      </c>
      <c r="K704" s="307">
        <f t="shared" ca="1" si="305"/>
        <v>2679.8884791386618</v>
      </c>
      <c r="L704" s="304">
        <f t="shared" ca="1" si="290"/>
        <v>2730.6616246203339</v>
      </c>
      <c r="M704" s="306">
        <f t="shared" ca="1" si="306"/>
        <v>-0.92407475341090872</v>
      </c>
      <c r="N704" s="304">
        <f t="shared" ca="1" si="307"/>
        <v>-52.94558332503734</v>
      </c>
      <c r="P704" s="310">
        <f t="shared" ca="1" si="308"/>
        <v>23</v>
      </c>
      <c r="Q704" s="304">
        <f t="shared" ca="1" si="309"/>
        <v>0</v>
      </c>
      <c r="R704" s="306">
        <f t="shared" ca="1" si="310"/>
        <v>0</v>
      </c>
      <c r="S704" s="307">
        <f t="shared" ca="1" si="311"/>
        <v>9.137999999999975</v>
      </c>
      <c r="T704" s="304">
        <f t="shared" ca="1" si="291"/>
        <v>89.643779999999765</v>
      </c>
      <c r="U704" s="311">
        <f t="shared" ca="1" si="292"/>
        <v>0</v>
      </c>
      <c r="V704" s="306">
        <f t="shared" ca="1" si="293"/>
        <v>0.93550445067536436</v>
      </c>
      <c r="W704" s="304">
        <f t="shared" ca="1" si="294"/>
        <v>2.1404295637901498</v>
      </c>
      <c r="Y704" s="314" t="str">
        <f t="shared" ca="1" si="312"/>
        <v/>
      </c>
      <c r="Z704" s="315" t="str">
        <f t="shared" ca="1" si="313"/>
        <v/>
      </c>
      <c r="AA704" s="316" t="str">
        <f t="shared" ca="1" si="314"/>
        <v/>
      </c>
      <c r="AC704" s="310">
        <f t="shared" ca="1" si="315"/>
        <v>25.000000000000025</v>
      </c>
      <c r="AD704" s="323">
        <f t="shared" ca="1" si="316"/>
        <v>524.1284647431695</v>
      </c>
      <c r="AE704" s="324" t="e">
        <f t="shared" ca="1" si="295"/>
        <v>#N/A</v>
      </c>
      <c r="AG704" s="306">
        <f t="shared" ca="1" si="317"/>
        <v>7.4830162306696497</v>
      </c>
      <c r="AH704" s="304">
        <f t="shared" ca="1" si="318"/>
        <v>-0.22232001049619299</v>
      </c>
    </row>
    <row r="705" spans="1:34" x14ac:dyDescent="0.2">
      <c r="A705" s="347">
        <f t="shared" ca="1" si="296"/>
        <v>0.1</v>
      </c>
      <c r="B705" s="304">
        <f t="shared" ca="1" si="297"/>
        <v>25.100000000000026</v>
      </c>
      <c r="D705" s="306">
        <f t="shared" ca="1" si="298"/>
        <v>-0.14114309598079897</v>
      </c>
      <c r="E705" s="307">
        <f t="shared" ca="1" si="299"/>
        <v>-9.623066439929552</v>
      </c>
      <c r="F705" s="304">
        <f t="shared" ca="1" si="300"/>
        <v>9.6241014687523663</v>
      </c>
      <c r="G705" s="306">
        <f t="shared" ca="1" si="301"/>
        <v>17.712669246063552</v>
      </c>
      <c r="H705" s="307">
        <f t="shared" ca="1" si="302"/>
        <v>-24.440116420171496</v>
      </c>
      <c r="I705" s="304">
        <f t="shared" ca="1" si="303"/>
        <v>30.183736389850445</v>
      </c>
      <c r="J705" s="306">
        <f t="shared" ca="1" si="304"/>
        <v>525.90043738325573</v>
      </c>
      <c r="K705" s="307">
        <f t="shared" ca="1" si="305"/>
        <v>2677.4925828288442</v>
      </c>
      <c r="L705" s="304">
        <f t="shared" ca="1" si="290"/>
        <v>2728.6512787718725</v>
      </c>
      <c r="M705" s="306">
        <f t="shared" ca="1" si="306"/>
        <v>-0.9436602066352362</v>
      </c>
      <c r="N705" s="304">
        <f t="shared" ca="1" si="307"/>
        <v>-54.067747134642197</v>
      </c>
      <c r="P705" s="310">
        <f t="shared" ca="1" si="308"/>
        <v>23</v>
      </c>
      <c r="Q705" s="304">
        <f t="shared" ca="1" si="309"/>
        <v>0</v>
      </c>
      <c r="R705" s="306">
        <f t="shared" ca="1" si="310"/>
        <v>0</v>
      </c>
      <c r="S705" s="307">
        <f t="shared" ca="1" si="311"/>
        <v>9.137999999999975</v>
      </c>
      <c r="T705" s="304">
        <f t="shared" ca="1" si="291"/>
        <v>89.643779999999765</v>
      </c>
      <c r="U705" s="311">
        <f t="shared" ca="1" si="292"/>
        <v>0</v>
      </c>
      <c r="V705" s="306">
        <f t="shared" ca="1" si="293"/>
        <v>0.935732709801536</v>
      </c>
      <c r="W705" s="304">
        <f t="shared" ca="1" si="294"/>
        <v>2.253786188913685</v>
      </c>
      <c r="Y705" s="314" t="str">
        <f t="shared" ca="1" si="312"/>
        <v/>
      </c>
      <c r="Z705" s="315" t="str">
        <f t="shared" ca="1" si="313"/>
        <v/>
      </c>
      <c r="AA705" s="316" t="str">
        <f t="shared" ca="1" si="314"/>
        <v/>
      </c>
      <c r="AC705" s="310" t="e">
        <f t="shared" ca="1" si="315"/>
        <v>#N/A</v>
      </c>
      <c r="AD705" s="323" t="e">
        <f t="shared" ca="1" si="316"/>
        <v>#N/A</v>
      </c>
      <c r="AE705" s="324" t="e">
        <f t="shared" ca="1" si="295"/>
        <v>#N/A</v>
      </c>
      <c r="AG705" s="306">
        <f t="shared" ca="1" si="317"/>
        <v>7.594769760567738</v>
      </c>
      <c r="AH705" s="304">
        <f t="shared" ca="1" si="318"/>
        <v>-0.23423392030971282</v>
      </c>
    </row>
    <row r="706" spans="1:34" x14ac:dyDescent="0.2">
      <c r="A706" s="347">
        <f t="shared" ca="1" si="296"/>
        <v>0.1</v>
      </c>
      <c r="B706" s="304">
        <f t="shared" ca="1" si="297"/>
        <v>25.200000000000028</v>
      </c>
      <c r="D706" s="306">
        <f t="shared" ca="1" si="298"/>
        <v>-0.1447346693200344</v>
      </c>
      <c r="E706" s="307">
        <f t="shared" ca="1" si="299"/>
        <v>-9.6102936700800878</v>
      </c>
      <c r="F706" s="304">
        <f t="shared" ca="1" si="300"/>
        <v>9.6113834878067674</v>
      </c>
      <c r="G706" s="306">
        <f t="shared" ca="1" si="301"/>
        <v>17.698195779131549</v>
      </c>
      <c r="H706" s="307">
        <f t="shared" ca="1" si="302"/>
        <v>-25.401145787179505</v>
      </c>
      <c r="I706" s="304">
        <f t="shared" ca="1" si="303"/>
        <v>30.958752254217497</v>
      </c>
      <c r="J706" s="306">
        <f t="shared" ca="1" si="304"/>
        <v>527.67098063451544</v>
      </c>
      <c r="K706" s="307">
        <f t="shared" ca="1" si="305"/>
        <v>2675.0005197184769</v>
      </c>
      <c r="L706" s="304">
        <f t="shared" ca="1" si="290"/>
        <v>2726.5480821540473</v>
      </c>
      <c r="M706" s="306">
        <f t="shared" ca="1" si="306"/>
        <v>-0.96225629509797728</v>
      </c>
      <c r="N706" s="304">
        <f t="shared" ca="1" si="307"/>
        <v>-55.133224519009183</v>
      </c>
      <c r="P706" s="310">
        <f t="shared" ca="1" si="308"/>
        <v>23</v>
      </c>
      <c r="Q706" s="304">
        <f t="shared" ca="1" si="309"/>
        <v>0</v>
      </c>
      <c r="R706" s="306">
        <f t="shared" ca="1" si="310"/>
        <v>0</v>
      </c>
      <c r="S706" s="307">
        <f t="shared" ca="1" si="311"/>
        <v>9.137999999999975</v>
      </c>
      <c r="T706" s="304">
        <f t="shared" ca="1" si="291"/>
        <v>89.643779999999765</v>
      </c>
      <c r="U706" s="311">
        <f t="shared" ca="1" si="292"/>
        <v>0</v>
      </c>
      <c r="V706" s="306">
        <f t="shared" ca="1" si="293"/>
        <v>0.93597018200237581</v>
      </c>
      <c r="W706" s="304">
        <f t="shared" ca="1" si="294"/>
        <v>2.3716129569490314</v>
      </c>
      <c r="Y706" s="314" t="str">
        <f t="shared" ca="1" si="312"/>
        <v/>
      </c>
      <c r="Z706" s="315" t="str">
        <f t="shared" ca="1" si="313"/>
        <v/>
      </c>
      <c r="AA706" s="316" t="str">
        <f t="shared" ca="1" si="314"/>
        <v/>
      </c>
      <c r="AC706" s="310" t="e">
        <f t="shared" ca="1" si="315"/>
        <v>#N/A</v>
      </c>
      <c r="AD706" s="323" t="e">
        <f t="shared" ca="1" si="316"/>
        <v>#N/A</v>
      </c>
      <c r="AE706" s="324" t="e">
        <f t="shared" ca="1" si="295"/>
        <v>#N/A</v>
      </c>
      <c r="AG706" s="306">
        <f t="shared" ca="1" si="317"/>
        <v>7.6966302581680299</v>
      </c>
      <c r="AH706" s="304">
        <f t="shared" ca="1" si="318"/>
        <v>-0.24663889132345054</v>
      </c>
    </row>
    <row r="707" spans="1:34" x14ac:dyDescent="0.2">
      <c r="A707" s="347">
        <f t="shared" ca="1" si="296"/>
        <v>0.1</v>
      </c>
      <c r="B707" s="304">
        <f t="shared" ca="1" si="297"/>
        <v>25.300000000000029</v>
      </c>
      <c r="D707" s="306">
        <f t="shared" ca="1" si="298"/>
        <v>-0.14836730459441702</v>
      </c>
      <c r="E707" s="307">
        <f t="shared" ca="1" si="299"/>
        <v>-9.5970574164120492</v>
      </c>
      <c r="F707" s="304">
        <f t="shared" ca="1" si="300"/>
        <v>9.598204202400682</v>
      </c>
      <c r="G707" s="306">
        <f t="shared" ca="1" si="301"/>
        <v>17.683359048672106</v>
      </c>
      <c r="H707" s="307">
        <f t="shared" ca="1" si="302"/>
        <v>-26.36085152882071</v>
      </c>
      <c r="I707" s="304">
        <f t="shared" ca="1" si="303"/>
        <v>31.742647661604771</v>
      </c>
      <c r="J707" s="306">
        <f t="shared" ca="1" si="304"/>
        <v>529.44005837590566</v>
      </c>
      <c r="K707" s="307">
        <f t="shared" ca="1" si="305"/>
        <v>2672.412419852677</v>
      </c>
      <c r="L707" s="304">
        <f t="shared" ca="1" si="290"/>
        <v>2724.3522013858492</v>
      </c>
      <c r="M707" s="306">
        <f t="shared" ca="1" si="306"/>
        <v>-0.97992456401540506</v>
      </c>
      <c r="N707" s="304">
        <f t="shared" ca="1" si="307"/>
        <v>-56.145541759279972</v>
      </c>
      <c r="P707" s="310">
        <f t="shared" ca="1" si="308"/>
        <v>23</v>
      </c>
      <c r="Q707" s="304">
        <f t="shared" ca="1" si="309"/>
        <v>0</v>
      </c>
      <c r="R707" s="306">
        <f t="shared" ca="1" si="310"/>
        <v>0</v>
      </c>
      <c r="S707" s="307">
        <f t="shared" ca="1" si="311"/>
        <v>9.137999999999975</v>
      </c>
      <c r="T707" s="304">
        <f t="shared" ca="1" si="291"/>
        <v>89.643779999999765</v>
      </c>
      <c r="U707" s="311">
        <f t="shared" ca="1" si="292"/>
        <v>0</v>
      </c>
      <c r="V707" s="306">
        <f t="shared" ca="1" si="293"/>
        <v>0.93621686094127599</v>
      </c>
      <c r="W707" s="304">
        <f t="shared" ca="1" si="294"/>
        <v>2.493892097019299</v>
      </c>
      <c r="Y707" s="314" t="str">
        <f t="shared" ca="1" si="312"/>
        <v/>
      </c>
      <c r="Z707" s="315" t="str">
        <f t="shared" ca="1" si="313"/>
        <v/>
      </c>
      <c r="AA707" s="316" t="str">
        <f t="shared" ca="1" si="314"/>
        <v/>
      </c>
      <c r="AC707" s="310" t="e">
        <f t="shared" ca="1" si="315"/>
        <v>#N/A</v>
      </c>
      <c r="AD707" s="323" t="e">
        <f t="shared" ca="1" si="316"/>
        <v>#N/A</v>
      </c>
      <c r="AE707" s="324" t="e">
        <f t="shared" ca="1" si="295"/>
        <v>#N/A</v>
      </c>
      <c r="AG707" s="306">
        <f t="shared" ca="1" si="317"/>
        <v>7.7894102119515773</v>
      </c>
      <c r="AH707" s="304">
        <f t="shared" ca="1" si="318"/>
        <v>-0.25953304409597699</v>
      </c>
    </row>
    <row r="708" spans="1:34" x14ac:dyDescent="0.2">
      <c r="A708" s="347">
        <f t="shared" ca="1" si="296"/>
        <v>0.1</v>
      </c>
      <c r="B708" s="304">
        <f t="shared" ca="1" si="297"/>
        <v>25.400000000000031</v>
      </c>
      <c r="D708" s="306">
        <f t="shared" ca="1" si="298"/>
        <v>-0.15203659051213347</v>
      </c>
      <c r="E708" s="307">
        <f t="shared" ca="1" si="299"/>
        <v>-9.5833567486580318</v>
      </c>
      <c r="F708" s="304">
        <f t="shared" ca="1" si="300"/>
        <v>9.584562676351176</v>
      </c>
      <c r="G708" s="306">
        <f t="shared" ca="1" si="301"/>
        <v>17.668155389620892</v>
      </c>
      <c r="H708" s="307">
        <f t="shared" ca="1" si="302"/>
        <v>-27.319187203686514</v>
      </c>
      <c r="I708" s="304">
        <f t="shared" ca="1" si="303"/>
        <v>32.534623162745547</v>
      </c>
      <c r="J708" s="306">
        <f t="shared" ca="1" si="304"/>
        <v>531.20763409782035</v>
      </c>
      <c r="K708" s="307">
        <f t="shared" ca="1" si="305"/>
        <v>2669.7284179160515</v>
      </c>
      <c r="L708" s="304">
        <f t="shared" ref="L708:L771" ca="1" si="319">SQRT(pos_x^2+pos_z^2)</f>
        <v>2722.0638082073583</v>
      </c>
      <c r="M708" s="306">
        <f t="shared" ca="1" si="306"/>
        <v>-0.99672286151406242</v>
      </c>
      <c r="N708" s="304">
        <f t="shared" ca="1" si="307"/>
        <v>-57.108013308958206</v>
      </c>
      <c r="P708" s="310">
        <f t="shared" ca="1" si="308"/>
        <v>23</v>
      </c>
      <c r="Q708" s="304">
        <f t="shared" ca="1" si="309"/>
        <v>0</v>
      </c>
      <c r="R708" s="306">
        <f t="shared" ca="1" si="310"/>
        <v>0</v>
      </c>
      <c r="S708" s="307">
        <f t="shared" ca="1" si="311"/>
        <v>9.137999999999975</v>
      </c>
      <c r="T708" s="304">
        <f t="shared" ref="T708:T771" ca="1" si="320">m*g</f>
        <v>89.643779999999765</v>
      </c>
      <c r="U708" s="311">
        <f t="shared" ref="U708:U771" ca="1" si="321">IF(pos_xz&lt;L_rampe,Poids*COS(Beta),0)</f>
        <v>0</v>
      </c>
      <c r="V708" s="306">
        <f t="shared" ref="V708:V771" ca="1" si="322">Rho_moyen*(20000-Alt_rampe-pos_z)/(20000+Alt_rampe+pos_z)</f>
        <v>0.93647274006489389</v>
      </c>
      <c r="W708" s="304">
        <f t="shared" ref="W708:W771" ca="1" si="323">1/2*Rho*Sref*Cx*vit_xz^2</f>
        <v>2.6206052403528552</v>
      </c>
      <c r="Y708" s="314" t="str">
        <f t="shared" ca="1" si="312"/>
        <v/>
      </c>
      <c r="Z708" s="315" t="str">
        <f t="shared" ca="1" si="313"/>
        <v/>
      </c>
      <c r="AA708" s="316" t="str">
        <f t="shared" ca="1" si="314"/>
        <v/>
      </c>
      <c r="AC708" s="310" t="e">
        <f t="shared" ca="1" si="315"/>
        <v>#N/A</v>
      </c>
      <c r="AD708" s="323" t="e">
        <f t="shared" ca="1" si="316"/>
        <v>#N/A</v>
      </c>
      <c r="AE708" s="324" t="e">
        <f t="shared" ref="AE708:AE771" ca="1" si="324">IF(t&lt;T_para, pos_z, NA())</f>
        <v>#N/A</v>
      </c>
      <c r="AG708" s="306">
        <f t="shared" ca="1" si="317"/>
        <v>7.8738525357118441</v>
      </c>
      <c r="AH708" s="304">
        <f t="shared" ca="1" si="318"/>
        <v>-0.27291443390449832</v>
      </c>
    </row>
    <row r="709" spans="1:34" x14ac:dyDescent="0.2">
      <c r="A709" s="347">
        <f t="shared" ref="A709:A772" ca="1" si="325">IF(B708+0.01&lt;=T_ini+ROUNDUP(Temps_fin_propu,0), 0.01, IF(K708&gt;0, 0.1, 0.0001))</f>
        <v>0.1</v>
      </c>
      <c r="B709" s="304">
        <f t="shared" ref="B709:B772" ca="1" si="326">B708+pas</f>
        <v>25.500000000000032</v>
      </c>
      <c r="D709" s="306">
        <f t="shared" ref="D709:D772" ca="1" si="327">IF(AND(L708&lt;L_rampe,Poussee&lt;Poids*SIN(M708)),0,(-W708+Poussee)/m*COS(M708)-U708/m*SIN(M708))</f>
        <v>-0.15573846174261516</v>
      </c>
      <c r="E709" s="307">
        <f t="shared" ref="E709:E772" ca="1" si="328">IF(AND(L708&lt;L_rampe,Poussee&lt;Poids*SIN(M708)),0,(-W708+Poussee)/m*SIN(M708)+U708/m*COS(M708)-Poids/m)</f>
        <v>-9.5691911494246842</v>
      </c>
      <c r="F709" s="304">
        <f t="shared" ref="F709:F772" ca="1" si="329">SQRT(acc_x^2+acc_z^2)</f>
        <v>9.570458386236977</v>
      </c>
      <c r="G709" s="306">
        <f t="shared" ref="G709:G772" ca="1" si="330">G708+acc_x*pas</f>
        <v>17.65258154344663</v>
      </c>
      <c r="H709" s="307">
        <f t="shared" ref="H709:H772" ca="1" si="331">H708+acc_z*pas</f>
        <v>-28.276106318628983</v>
      </c>
      <c r="I709" s="304">
        <f t="shared" ref="I709:I772" ca="1" si="332">SQRT(vit_x^2+vit_z^2)</f>
        <v>33.333944016429299</v>
      </c>
      <c r="J709" s="306">
        <f t="shared" ref="J709:J772" ca="1" si="333">J708+0.5*(vit_x+G708)*pas*(K708&gt;=0)</f>
        <v>532.97367094447372</v>
      </c>
      <c r="K709" s="307">
        <f t="shared" ref="K709:K772" ca="1" si="334">K708+0.5*(vit_z+H708)*pas</f>
        <v>2666.9486532399355</v>
      </c>
      <c r="L709" s="304">
        <f t="shared" ca="1" si="319"/>
        <v>2719.6830795036276</v>
      </c>
      <c r="M709" s="306">
        <f t="shared" ref="M709:M772" ca="1" si="335">IF(AND(L708&gt;L_rampe,G709&gt;0),ATAN2(G709,H709),$M$4)</f>
        <v>-1.0127054171430832</v>
      </c>
      <c r="N709" s="304">
        <f t="shared" ref="N709:N772" ca="1" si="336">DEGREES(Beta)</f>
        <v>-58.023746292334152</v>
      </c>
      <c r="P709" s="310">
        <f t="shared" ref="P709:P772" ca="1" si="337">MATCH(t-pas/2-T_ini,CdP_t)</f>
        <v>23</v>
      </c>
      <c r="Q709" s="304">
        <f t="shared" ref="Q709:Q772" ca="1" si="338">(INDEX(CdP,2,i_P+1)-INDEX(CdP,2,i_P+0))/(INDEX(CdP,1,i_P+1)-INDEX(CdP,1,i_P+0))*(t-pas/2-T_ini-INDEX(CdP,1,i_P+0))+INDEX(CdP,2,i_P+0)</f>
        <v>0</v>
      </c>
      <c r="R709" s="306">
        <f t="shared" ref="R709:R772" ca="1" si="339">Poussee/(g*ISP)</f>
        <v>0</v>
      </c>
      <c r="S709" s="307">
        <f t="shared" ref="S709:S772" ca="1" si="340">S708-Débit*pas</f>
        <v>9.137999999999975</v>
      </c>
      <c r="T709" s="304">
        <f t="shared" ca="1" si="320"/>
        <v>89.643779999999765</v>
      </c>
      <c r="U709" s="311">
        <f t="shared" ca="1" si="321"/>
        <v>0</v>
      </c>
      <c r="V709" s="306">
        <f t="shared" ca="1" si="322"/>
        <v>0.93673781260126121</v>
      </c>
      <c r="W709" s="304">
        <f t="shared" ca="1" si="323"/>
        <v>2.7517334197969912</v>
      </c>
      <c r="Y709" s="314" t="str">
        <f t="shared" ref="Y709:Y772" ca="1" si="341">IF(AND(pos_z&lt;=0,K708&gt;0),"Impact balistique","") &amp; IF(AND(H710&lt;0,vit_z&gt;=0),"Apogée","") &amp; IF(AND(Poussee=0,Q708&gt;0),"Fin de propulsion","") &amp; IF(AND(L710&gt;L_rampe,pos_xz&lt;=L_rampe),"Sortie de rampe","")</f>
        <v/>
      </c>
      <c r="Z709" s="315" t="str">
        <f t="shared" ref="Z709:Z772" ca="1" si="342">IF(ABS(t-T_para)&lt;pas/2,"Para","")</f>
        <v/>
      </c>
      <c r="AA709" s="316" t="str">
        <f t="shared" ref="AA709:AA772" ca="1" si="343">IF(ABS(t-T_satellite)&lt;pas/2,"Satellite","")</f>
        <v/>
      </c>
      <c r="AC709" s="310" t="e">
        <f t="shared" ref="AC709:AC772" ca="1" si="344">IF(ABS(t-ROUND(t,0))&lt;0.001,t,NA())</f>
        <v>#N/A</v>
      </c>
      <c r="AD709" s="323" t="e">
        <f t="shared" ref="AD709:AD772" ca="1" si="345">IF(ABS(t-ROUND(t,0))&lt;0.001,pos_x,NA())</f>
        <v>#N/A</v>
      </c>
      <c r="AE709" s="324" t="e">
        <f t="shared" ca="1" si="324"/>
        <v>#N/A</v>
      </c>
      <c r="AG709" s="306">
        <f t="shared" ref="AG709:AG772" ca="1" si="346">IF(AND(L708&lt;L_rampe,Poussee&lt;Poids*SIN(M708)),0,(-W708+Poussee)/m-Poids*SIN(M708)/m)</f>
        <v>7.9506349823956368</v>
      </c>
      <c r="AH709" s="304">
        <f t="shared" ref="AH709:AH772" ca="1" si="347">IF(AND(L708&lt;L_rampe,Poussee&lt;Poids*SIN(M708)), g*SIN(M708), (-W708+Poussee)/m)</f>
        <v>-0.28678105059672382</v>
      </c>
    </row>
    <row r="710" spans="1:34" x14ac:dyDescent="0.2">
      <c r="A710" s="347">
        <f t="shared" ca="1" si="325"/>
        <v>0.1</v>
      </c>
      <c r="B710" s="304">
        <f t="shared" ca="1" si="326"/>
        <v>25.600000000000033</v>
      </c>
      <c r="D710" s="306">
        <f t="shared" ca="1" si="327"/>
        <v>-0.15946916833065536</v>
      </c>
      <c r="E710" s="307">
        <f t="shared" ca="1" si="328"/>
        <v>-9.5545604685545307</v>
      </c>
      <c r="F710" s="304">
        <f t="shared" ca="1" si="329"/>
        <v>9.5558911757571341</v>
      </c>
      <c r="G710" s="306">
        <f t="shared" ca="1" si="330"/>
        <v>17.636634626613564</v>
      </c>
      <c r="H710" s="307">
        <f t="shared" ca="1" si="331"/>
        <v>-29.231562365484436</v>
      </c>
      <c r="I710" s="304">
        <f t="shared" ca="1" si="332"/>
        <v>34.139934377205101</v>
      </c>
      <c r="J710" s="306">
        <f t="shared" ca="1" si="333"/>
        <v>534.73813175297676</v>
      </c>
      <c r="K710" s="307">
        <f t="shared" ca="1" si="334"/>
        <v>2664.07326980573</v>
      </c>
      <c r="L710" s="304">
        <f t="shared" ca="1" si="319"/>
        <v>2717.2101973244648</v>
      </c>
      <c r="M710" s="306">
        <f t="shared" ca="1" si="335"/>
        <v>-1.0279229627502984</v>
      </c>
      <c r="N710" s="304">
        <f t="shared" ca="1" si="336"/>
        <v>-58.89564743017543</v>
      </c>
      <c r="P710" s="310">
        <f t="shared" ca="1" si="337"/>
        <v>23</v>
      </c>
      <c r="Q710" s="304">
        <f t="shared" ca="1" si="338"/>
        <v>0</v>
      </c>
      <c r="R710" s="306">
        <f t="shared" ca="1" si="339"/>
        <v>0</v>
      </c>
      <c r="S710" s="307">
        <f t="shared" ca="1" si="340"/>
        <v>9.137999999999975</v>
      </c>
      <c r="T710" s="304">
        <f t="shared" ca="1" si="320"/>
        <v>89.643779999999765</v>
      </c>
      <c r="U710" s="311">
        <f t="shared" ca="1" si="321"/>
        <v>0</v>
      </c>
      <c r="V710" s="306">
        <f t="shared" ca="1" si="322"/>
        <v>0.93701207155822164</v>
      </c>
      <c r="W710" s="304">
        <f t="shared" ca="1" si="323"/>
        <v>2.8872570701044951</v>
      </c>
      <c r="Y710" s="314" t="str">
        <f t="shared" ca="1" si="341"/>
        <v/>
      </c>
      <c r="Z710" s="315" t="str">
        <f t="shared" ca="1" si="342"/>
        <v/>
      </c>
      <c r="AA710" s="316" t="str">
        <f t="shared" ca="1" si="343"/>
        <v/>
      </c>
      <c r="AC710" s="310" t="e">
        <f t="shared" ca="1" si="344"/>
        <v>#N/A</v>
      </c>
      <c r="AD710" s="323" t="e">
        <f t="shared" ca="1" si="345"/>
        <v>#N/A</v>
      </c>
      <c r="AE710" s="324" t="e">
        <f t="shared" ca="1" si="324"/>
        <v>#N/A</v>
      </c>
      <c r="AG710" s="306">
        <f t="shared" ca="1" si="346"/>
        <v>8.0203748169501292</v>
      </c>
      <c r="AH710" s="304">
        <f t="shared" ca="1" si="347"/>
        <v>-0.30113081853764484</v>
      </c>
    </row>
    <row r="711" spans="1:34" x14ac:dyDescent="0.2">
      <c r="A711" s="347">
        <f t="shared" ca="1" si="325"/>
        <v>0.1</v>
      </c>
      <c r="B711" s="304">
        <f t="shared" ca="1" si="326"/>
        <v>25.700000000000035</v>
      </c>
      <c r="D711" s="306">
        <f t="shared" ca="1" si="327"/>
        <v>-0.1632252474309859</v>
      </c>
      <c r="E711" s="307">
        <f t="shared" ca="1" si="328"/>
        <v>-9.5394648836972227</v>
      </c>
      <c r="F711" s="304">
        <f t="shared" ca="1" si="329"/>
        <v>9.5408612162996782</v>
      </c>
      <c r="G711" s="306">
        <f t="shared" ca="1" si="330"/>
        <v>17.620312101870464</v>
      </c>
      <c r="H711" s="307">
        <f t="shared" ca="1" si="331"/>
        <v>-30.185508853854159</v>
      </c>
      <c r="I711" s="304">
        <f t="shared" ca="1" si="332"/>
        <v>34.951971952000513</v>
      </c>
      <c r="J711" s="306">
        <f t="shared" ca="1" si="333"/>
        <v>536.50097908940097</v>
      </c>
      <c r="K711" s="307">
        <f t="shared" ca="1" si="334"/>
        <v>2661.1024162447629</v>
      </c>
      <c r="L711" s="304">
        <f t="shared" ca="1" si="319"/>
        <v>2714.6453489005889</v>
      </c>
      <c r="M711" s="306">
        <f t="shared" ca="1" si="335"/>
        <v>-1.0424228818239867</v>
      </c>
      <c r="N711" s="304">
        <f t="shared" ca="1" si="336"/>
        <v>-59.726431596379008</v>
      </c>
      <c r="P711" s="310">
        <f t="shared" ca="1" si="337"/>
        <v>23</v>
      </c>
      <c r="Q711" s="304">
        <f t="shared" ca="1" si="338"/>
        <v>0</v>
      </c>
      <c r="R711" s="306">
        <f t="shared" ca="1" si="339"/>
        <v>0</v>
      </c>
      <c r="S711" s="307">
        <f t="shared" ca="1" si="340"/>
        <v>9.137999999999975</v>
      </c>
      <c r="T711" s="304">
        <f t="shared" ca="1" si="320"/>
        <v>89.643779999999765</v>
      </c>
      <c r="U711" s="311">
        <f t="shared" ca="1" si="321"/>
        <v>0</v>
      </c>
      <c r="V711" s="306">
        <f t="shared" ca="1" si="322"/>
        <v>0.93729550972215803</v>
      </c>
      <c r="W711" s="304">
        <f t="shared" ca="1" si="323"/>
        <v>3.0271560289114223</v>
      </c>
      <c r="Y711" s="314" t="str">
        <f t="shared" ca="1" si="341"/>
        <v/>
      </c>
      <c r="Z711" s="315" t="str">
        <f t="shared" ca="1" si="342"/>
        <v/>
      </c>
      <c r="AA711" s="316" t="str">
        <f t="shared" ca="1" si="343"/>
        <v/>
      </c>
      <c r="AC711" s="310" t="e">
        <f t="shared" ca="1" si="344"/>
        <v>#N/A</v>
      </c>
      <c r="AD711" s="323" t="e">
        <f t="shared" ca="1" si="345"/>
        <v>#N/A</v>
      </c>
      <c r="AE711" s="324" t="e">
        <f t="shared" ca="1" si="324"/>
        <v>#N/A</v>
      </c>
      <c r="AG711" s="306">
        <f t="shared" ca="1" si="346"/>
        <v>8.0836335413295597</v>
      </c>
      <c r="AH711" s="304">
        <f t="shared" ca="1" si="347"/>
        <v>-0.31596159664089546</v>
      </c>
    </row>
    <row r="712" spans="1:34" x14ac:dyDescent="0.2">
      <c r="A712" s="347">
        <f t="shared" ca="1" si="325"/>
        <v>0.1</v>
      </c>
      <c r="B712" s="304">
        <f t="shared" ca="1" si="326"/>
        <v>25.800000000000036</v>
      </c>
      <c r="D712" s="306">
        <f t="shared" ca="1" si="327"/>
        <v>-0.16700349734525088</v>
      </c>
      <c r="E712" s="307">
        <f t="shared" ca="1" si="328"/>
        <v>-9.5239048662364763</v>
      </c>
      <c r="F712" s="304">
        <f t="shared" ca="1" si="329"/>
        <v>9.5253689728665307</v>
      </c>
      <c r="G712" s="306">
        <f t="shared" ca="1" si="330"/>
        <v>17.60361175213594</v>
      </c>
      <c r="H712" s="307">
        <f t="shared" ca="1" si="331"/>
        <v>-31.137899340477809</v>
      </c>
      <c r="I712" s="304">
        <f t="shared" ca="1" si="332"/>
        <v>35.769483111413095</v>
      </c>
      <c r="J712" s="306">
        <f t="shared" ca="1" si="333"/>
        <v>538.26217528210134</v>
      </c>
      <c r="K712" s="307">
        <f t="shared" ca="1" si="334"/>
        <v>2658.0362458350464</v>
      </c>
      <c r="L712" s="304">
        <f t="shared" ca="1" si="319"/>
        <v>2711.9887266565634</v>
      </c>
      <c r="M712" s="306">
        <f t="shared" ca="1" si="335"/>
        <v>-1.0562493766033905</v>
      </c>
      <c r="N712" s="304">
        <f t="shared" ca="1" si="336"/>
        <v>-60.518631392698516</v>
      </c>
      <c r="P712" s="310">
        <f t="shared" ca="1" si="337"/>
        <v>23</v>
      </c>
      <c r="Q712" s="304">
        <f t="shared" ca="1" si="338"/>
        <v>0</v>
      </c>
      <c r="R712" s="306">
        <f t="shared" ca="1" si="339"/>
        <v>0</v>
      </c>
      <c r="S712" s="307">
        <f t="shared" ca="1" si="340"/>
        <v>9.137999999999975</v>
      </c>
      <c r="T712" s="304">
        <f t="shared" ca="1" si="320"/>
        <v>89.643779999999765</v>
      </c>
      <c r="U712" s="311">
        <f t="shared" ca="1" si="321"/>
        <v>0</v>
      </c>
      <c r="V712" s="306">
        <f t="shared" ca="1" si="322"/>
        <v>0.93758811965697519</v>
      </c>
      <c r="W712" s="304">
        <f t="shared" ca="1" si="323"/>
        <v>3.1714095383354146</v>
      </c>
      <c r="Y712" s="314" t="str">
        <f t="shared" ca="1" si="341"/>
        <v/>
      </c>
      <c r="Z712" s="315" t="str">
        <f t="shared" ca="1" si="342"/>
        <v/>
      </c>
      <c r="AA712" s="316" t="str">
        <f t="shared" ca="1" si="343"/>
        <v/>
      </c>
      <c r="AC712" s="310" t="e">
        <f t="shared" ca="1" si="344"/>
        <v>#N/A</v>
      </c>
      <c r="AD712" s="323" t="e">
        <f t="shared" ca="1" si="345"/>
        <v>#N/A</v>
      </c>
      <c r="AE712" s="324" t="e">
        <f t="shared" ca="1" si="324"/>
        <v>#N/A</v>
      </c>
      <c r="AG712" s="306">
        <f t="shared" ca="1" si="346"/>
        <v>8.1409215282181719</v>
      </c>
      <c r="AH712" s="304">
        <f t="shared" ca="1" si="347"/>
        <v>-0.33127117847575299</v>
      </c>
    </row>
    <row r="713" spans="1:34" x14ac:dyDescent="0.2">
      <c r="A713" s="347">
        <f t="shared" ca="1" si="325"/>
        <v>0.1</v>
      </c>
      <c r="B713" s="304">
        <f t="shared" ca="1" si="326"/>
        <v>25.900000000000038</v>
      </c>
      <c r="D713" s="306">
        <f t="shared" ca="1" si="327"/>
        <v>-0.17080095378699856</v>
      </c>
      <c r="E713" s="307">
        <f t="shared" ca="1" si="328"/>
        <v>-9.5078811518248898</v>
      </c>
      <c r="F713" s="304">
        <f t="shared" ca="1" si="329"/>
        <v>9.5094151746067723</v>
      </c>
      <c r="G713" s="306">
        <f t="shared" ca="1" si="330"/>
        <v>17.586531656757241</v>
      </c>
      <c r="H713" s="307">
        <f t="shared" ca="1" si="331"/>
        <v>-32.088687455660299</v>
      </c>
      <c r="I713" s="304">
        <f t="shared" ca="1" si="332"/>
        <v>36.591938433774935</v>
      </c>
      <c r="J713" s="306">
        <f t="shared" ca="1" si="333"/>
        <v>540.02168245254597</v>
      </c>
      <c r="K713" s="307">
        <f t="shared" ca="1" si="334"/>
        <v>2654.8749164952396</v>
      </c>
      <c r="L713" s="304">
        <f t="shared" ca="1" si="319"/>
        <v>2709.2405282208674</v>
      </c>
      <c r="M713" s="306">
        <f t="shared" ca="1" si="335"/>
        <v>-1.0694436448440496</v>
      </c>
      <c r="N713" s="304">
        <f t="shared" ca="1" si="336"/>
        <v>-61.274607276651786</v>
      </c>
      <c r="P713" s="310">
        <f t="shared" ca="1" si="337"/>
        <v>23</v>
      </c>
      <c r="Q713" s="304">
        <f t="shared" ca="1" si="338"/>
        <v>0</v>
      </c>
      <c r="R713" s="306">
        <f t="shared" ca="1" si="339"/>
        <v>0</v>
      </c>
      <c r="S713" s="307">
        <f t="shared" ca="1" si="340"/>
        <v>9.137999999999975</v>
      </c>
      <c r="T713" s="304">
        <f t="shared" ca="1" si="320"/>
        <v>89.643779999999765</v>
      </c>
      <c r="U713" s="311">
        <f t="shared" ca="1" si="321"/>
        <v>0</v>
      </c>
      <c r="V713" s="306">
        <f t="shared" ca="1" si="322"/>
        <v>0.93788989370330245</v>
      </c>
      <c r="W713" s="304">
        <f t="shared" ca="1" si="323"/>
        <v>3.3199962471332976</v>
      </c>
      <c r="Y713" s="314" t="str">
        <f t="shared" ca="1" si="341"/>
        <v/>
      </c>
      <c r="Z713" s="315" t="str">
        <f t="shared" ca="1" si="342"/>
        <v/>
      </c>
      <c r="AA713" s="316" t="str">
        <f t="shared" ca="1" si="343"/>
        <v/>
      </c>
      <c r="AC713" s="310" t="e">
        <f t="shared" ca="1" si="344"/>
        <v>#N/A</v>
      </c>
      <c r="AD713" s="323" t="e">
        <f t="shared" ca="1" si="345"/>
        <v>#N/A</v>
      </c>
      <c r="AE713" s="324" t="e">
        <f t="shared" ca="1" si="324"/>
        <v>#N/A</v>
      </c>
      <c r="AG713" s="306">
        <f t="shared" ca="1" si="346"/>
        <v>8.1927024680959022</v>
      </c>
      <c r="AH713" s="304">
        <f t="shared" ca="1" si="347"/>
        <v>-0.34705729244204675</v>
      </c>
    </row>
    <row r="714" spans="1:34" x14ac:dyDescent="0.2">
      <c r="A714" s="347">
        <f t="shared" ca="1" si="325"/>
        <v>0.1</v>
      </c>
      <c r="B714" s="304">
        <f t="shared" ca="1" si="326"/>
        <v>26.000000000000039</v>
      </c>
      <c r="D714" s="306">
        <f t="shared" ca="1" si="327"/>
        <v>-0.17461486826406578</v>
      </c>
      <c r="E714" s="307">
        <f t="shared" ca="1" si="328"/>
        <v>-9.4913947148763693</v>
      </c>
      <c r="F714" s="304">
        <f t="shared" ca="1" si="329"/>
        <v>9.4930007893079811</v>
      </c>
      <c r="G714" s="306">
        <f t="shared" ca="1" si="330"/>
        <v>17.569070169930836</v>
      </c>
      <c r="H714" s="307">
        <f t="shared" ca="1" si="331"/>
        <v>-33.037826927147933</v>
      </c>
      <c r="I714" s="304">
        <f t="shared" ca="1" si="332"/>
        <v>37.418848655512299</v>
      </c>
      <c r="J714" s="306">
        <f t="shared" ca="1" si="333"/>
        <v>541.77946254388041</v>
      </c>
      <c r="K714" s="307">
        <f t="shared" ca="1" si="334"/>
        <v>2651.6185907760992</v>
      </c>
      <c r="L714" s="304">
        <f t="shared" ca="1" si="319"/>
        <v>2706.4009564334256</v>
      </c>
      <c r="M714" s="306">
        <f t="shared" ca="1" si="335"/>
        <v>-1.0820440601824579</v>
      </c>
      <c r="N714" s="304">
        <f t="shared" ca="1" si="336"/>
        <v>-61.99655789565449</v>
      </c>
      <c r="P714" s="310">
        <f t="shared" ca="1" si="337"/>
        <v>23</v>
      </c>
      <c r="Q714" s="304">
        <f t="shared" ca="1" si="338"/>
        <v>0</v>
      </c>
      <c r="R714" s="306">
        <f t="shared" ca="1" si="339"/>
        <v>0</v>
      </c>
      <c r="S714" s="307">
        <f t="shared" ca="1" si="340"/>
        <v>9.137999999999975</v>
      </c>
      <c r="T714" s="304">
        <f t="shared" ca="1" si="320"/>
        <v>89.643779999999765</v>
      </c>
      <c r="U714" s="311">
        <f t="shared" ca="1" si="321"/>
        <v>0</v>
      </c>
      <c r="V714" s="306">
        <f t="shared" ca="1" si="322"/>
        <v>0.93820082397790105</v>
      </c>
      <c r="W714" s="304">
        <f t="shared" ca="1" si="323"/>
        <v>3.4728942133649063</v>
      </c>
      <c r="Y714" s="314" t="str">
        <f t="shared" ca="1" si="341"/>
        <v/>
      </c>
      <c r="Z714" s="315" t="str">
        <f t="shared" ca="1" si="342"/>
        <v/>
      </c>
      <c r="AA714" s="316" t="str">
        <f t="shared" ca="1" si="343"/>
        <v/>
      </c>
      <c r="AC714" s="310">
        <f t="shared" ca="1" si="344"/>
        <v>26.000000000000039</v>
      </c>
      <c r="AD714" s="323">
        <f t="shared" ca="1" si="345"/>
        <v>541.77946254388041</v>
      </c>
      <c r="AE714" s="324" t="e">
        <f t="shared" ca="1" si="324"/>
        <v>#N/A</v>
      </c>
      <c r="AG714" s="306">
        <f t="shared" ca="1" si="346"/>
        <v>8.2393975700730362</v>
      </c>
      <c r="AH714" s="304">
        <f t="shared" ca="1" si="347"/>
        <v>-0.36331760200627122</v>
      </c>
    </row>
    <row r="715" spans="1:34" x14ac:dyDescent="0.2">
      <c r="A715" s="347">
        <f t="shared" ca="1" si="325"/>
        <v>0.1</v>
      </c>
      <c r="B715" s="304">
        <f t="shared" ca="1" si="326"/>
        <v>26.100000000000041</v>
      </c>
      <c r="D715" s="306">
        <f t="shared" ca="1" si="327"/>
        <v>-0.17844268844628564</v>
      </c>
      <c r="E715" s="307">
        <f t="shared" ca="1" si="328"/>
        <v>-9.4744467464537099</v>
      </c>
      <c r="F715" s="304">
        <f t="shared" ca="1" si="329"/>
        <v>9.47612700128313</v>
      </c>
      <c r="G715" s="306">
        <f t="shared" ca="1" si="330"/>
        <v>17.551225901086205</v>
      </c>
      <c r="H715" s="307">
        <f t="shared" ca="1" si="331"/>
        <v>-33.985271601793301</v>
      </c>
      <c r="I715" s="304">
        <f t="shared" ca="1" si="332"/>
        <v>38.249760998973805</v>
      </c>
      <c r="J715" s="306">
        <f t="shared" ca="1" si="333"/>
        <v>543.53547734743131</v>
      </c>
      <c r="K715" s="307">
        <f t="shared" ca="1" si="334"/>
        <v>2648.267435849652</v>
      </c>
      <c r="L715" s="304">
        <f t="shared" ca="1" si="319"/>
        <v>2703.4702193508606</v>
      </c>
      <c r="M715" s="306">
        <f t="shared" ca="1" si="335"/>
        <v>-1.0940863516670181</v>
      </c>
      <c r="N715" s="304">
        <f t="shared" ca="1" si="336"/>
        <v>-62.686530373386113</v>
      </c>
      <c r="P715" s="310">
        <f t="shared" ca="1" si="337"/>
        <v>23</v>
      </c>
      <c r="Q715" s="304">
        <f t="shared" ca="1" si="338"/>
        <v>0</v>
      </c>
      <c r="R715" s="306">
        <f t="shared" ca="1" si="339"/>
        <v>0</v>
      </c>
      <c r="S715" s="307">
        <f t="shared" ca="1" si="340"/>
        <v>9.137999999999975</v>
      </c>
      <c r="T715" s="304">
        <f t="shared" ca="1" si="320"/>
        <v>89.643779999999765</v>
      </c>
      <c r="U715" s="311">
        <f t="shared" ca="1" si="321"/>
        <v>0</v>
      </c>
      <c r="V715" s="306">
        <f t="shared" ca="1" si="322"/>
        <v>0.93852090237324437</v>
      </c>
      <c r="W715" s="304">
        <f t="shared" ca="1" si="323"/>
        <v>3.6300809075170029</v>
      </c>
      <c r="Y715" s="314" t="str">
        <f t="shared" ca="1" si="341"/>
        <v/>
      </c>
      <c r="Z715" s="315" t="str">
        <f t="shared" ca="1" si="342"/>
        <v/>
      </c>
      <c r="AA715" s="316" t="str">
        <f t="shared" ca="1" si="343"/>
        <v/>
      </c>
      <c r="AC715" s="310" t="e">
        <f t="shared" ca="1" si="344"/>
        <v>#N/A</v>
      </c>
      <c r="AD715" s="323" t="e">
        <f t="shared" ca="1" si="345"/>
        <v>#N/A</v>
      </c>
      <c r="AE715" s="324" t="e">
        <f t="shared" ca="1" si="324"/>
        <v>#N/A</v>
      </c>
      <c r="AG715" s="306">
        <f t="shared" ca="1" si="346"/>
        <v>8.281389483092612</v>
      </c>
      <c r="AH715" s="304">
        <f t="shared" ca="1" si="347"/>
        <v>-0.38004970599309651</v>
      </c>
    </row>
    <row r="716" spans="1:34" x14ac:dyDescent="0.2">
      <c r="A716" s="347">
        <f t="shared" ca="1" si="325"/>
        <v>0.1</v>
      </c>
      <c r="B716" s="304">
        <f t="shared" ca="1" si="326"/>
        <v>26.200000000000042</v>
      </c>
      <c r="D716" s="306">
        <f t="shared" ca="1" si="327"/>
        <v>-0.18228204037569337</v>
      </c>
      <c r="E716" s="307">
        <f t="shared" ca="1" si="328"/>
        <v>-9.4570386350668763</v>
      </c>
      <c r="F716" s="304">
        <f t="shared" ca="1" si="329"/>
        <v>9.4587951921685622</v>
      </c>
      <c r="G716" s="306">
        <f t="shared" ca="1" si="330"/>
        <v>17.532997697048636</v>
      </c>
      <c r="H716" s="307">
        <f t="shared" ca="1" si="331"/>
        <v>-34.930975465299987</v>
      </c>
      <c r="I716" s="304">
        <f t="shared" ca="1" si="332"/>
        <v>39.084255848130233</v>
      </c>
      <c r="J716" s="306">
        <f t="shared" ca="1" si="333"/>
        <v>545.28968852733806</v>
      </c>
      <c r="K716" s="307">
        <f t="shared" ca="1" si="334"/>
        <v>2644.8216234962974</v>
      </c>
      <c r="L716" s="304">
        <f t="shared" ca="1" si="319"/>
        <v>2700.4485302497123</v>
      </c>
      <c r="M716" s="306">
        <f t="shared" ca="1" si="335"/>
        <v>-1.1056037792879865</v>
      </c>
      <c r="N716" s="304">
        <f t="shared" ca="1" si="336"/>
        <v>-63.346430366915008</v>
      </c>
      <c r="P716" s="310">
        <f t="shared" ca="1" si="337"/>
        <v>23</v>
      </c>
      <c r="Q716" s="304">
        <f t="shared" ca="1" si="338"/>
        <v>0</v>
      </c>
      <c r="R716" s="306">
        <f t="shared" ca="1" si="339"/>
        <v>0</v>
      </c>
      <c r="S716" s="307">
        <f t="shared" ca="1" si="340"/>
        <v>9.137999999999975</v>
      </c>
      <c r="T716" s="304">
        <f t="shared" ca="1" si="320"/>
        <v>89.643779999999765</v>
      </c>
      <c r="U716" s="311">
        <f t="shared" ca="1" si="321"/>
        <v>0</v>
      </c>
      <c r="V716" s="306">
        <f t="shared" ca="1" si="322"/>
        <v>0.93885012055725514</v>
      </c>
      <c r="W716" s="304">
        <f t="shared" ca="1" si="323"/>
        <v>3.7915332160471138</v>
      </c>
      <c r="Y716" s="314" t="str">
        <f t="shared" ca="1" si="341"/>
        <v/>
      </c>
      <c r="Z716" s="315" t="str">
        <f t="shared" ca="1" si="342"/>
        <v/>
      </c>
      <c r="AA716" s="316" t="str">
        <f t="shared" ca="1" si="343"/>
        <v/>
      </c>
      <c r="AC716" s="310" t="e">
        <f t="shared" ca="1" si="344"/>
        <v>#N/A</v>
      </c>
      <c r="AD716" s="323" t="e">
        <f t="shared" ca="1" si="345"/>
        <v>#N/A</v>
      </c>
      <c r="AE716" s="324" t="e">
        <f t="shared" ca="1" si="324"/>
        <v>#N/A</v>
      </c>
      <c r="AG716" s="306">
        <f t="shared" ca="1" si="346"/>
        <v>8.3190259228441352</v>
      </c>
      <c r="AH716" s="304">
        <f t="shared" ca="1" si="347"/>
        <v>-0.39725113892722835</v>
      </c>
    </row>
    <row r="717" spans="1:34" x14ac:dyDescent="0.2">
      <c r="A717" s="347">
        <f t="shared" ca="1" si="325"/>
        <v>0.1</v>
      </c>
      <c r="B717" s="304">
        <f t="shared" ca="1" si="326"/>
        <v>26.300000000000043</v>
      </c>
      <c r="D717" s="306">
        <f t="shared" ca="1" si="327"/>
        <v>-0.18613071237320664</v>
      </c>
      <c r="E717" s="307">
        <f t="shared" ca="1" si="328"/>
        <v>-9.4391719499659938</v>
      </c>
      <c r="F717" s="304">
        <f t="shared" ca="1" si="329"/>
        <v>9.4410069242170014</v>
      </c>
      <c r="G717" s="306">
        <f t="shared" ca="1" si="330"/>
        <v>17.514384625811314</v>
      </c>
      <c r="H717" s="307">
        <f t="shared" ca="1" si="331"/>
        <v>-35.874892660296588</v>
      </c>
      <c r="I717" s="304">
        <f t="shared" ca="1" si="332"/>
        <v>39.921943742867249</v>
      </c>
      <c r="J717" s="306">
        <f t="shared" ca="1" si="333"/>
        <v>547.04205764348103</v>
      </c>
      <c r="K717" s="307">
        <f t="shared" ca="1" si="334"/>
        <v>2641.2813300900175</v>
      </c>
      <c r="L717" s="304">
        <f t="shared" ca="1" si="319"/>
        <v>2697.3361076278397</v>
      </c>
      <c r="M717" s="306">
        <f t="shared" ca="1" si="335"/>
        <v>-1.1166273033166336</v>
      </c>
      <c r="N717" s="304">
        <f t="shared" ca="1" si="336"/>
        <v>-63.978031769117536</v>
      </c>
      <c r="P717" s="310">
        <f t="shared" ca="1" si="337"/>
        <v>23</v>
      </c>
      <c r="Q717" s="304">
        <f t="shared" ca="1" si="338"/>
        <v>0</v>
      </c>
      <c r="R717" s="306">
        <f t="shared" ca="1" si="339"/>
        <v>0</v>
      </c>
      <c r="S717" s="307">
        <f t="shared" ca="1" si="340"/>
        <v>9.137999999999975</v>
      </c>
      <c r="T717" s="304">
        <f t="shared" ca="1" si="320"/>
        <v>89.643779999999765</v>
      </c>
      <c r="U717" s="311">
        <f t="shared" ca="1" si="321"/>
        <v>0</v>
      </c>
      <c r="V717" s="306">
        <f t="shared" ca="1" si="322"/>
        <v>0.93918846997318728</v>
      </c>
      <c r="W717" s="304">
        <f t="shared" ca="1" si="323"/>
        <v>3.9572274453122849</v>
      </c>
      <c r="Y717" s="314" t="str">
        <f t="shared" ca="1" si="341"/>
        <v/>
      </c>
      <c r="Z717" s="315" t="str">
        <f t="shared" ca="1" si="342"/>
        <v/>
      </c>
      <c r="AA717" s="316" t="str">
        <f t="shared" ca="1" si="343"/>
        <v/>
      </c>
      <c r="AC717" s="310" t="e">
        <f t="shared" ca="1" si="344"/>
        <v>#N/A</v>
      </c>
      <c r="AD717" s="323" t="e">
        <f t="shared" ca="1" si="345"/>
        <v>#N/A</v>
      </c>
      <c r="AE717" s="324" t="e">
        <f t="shared" ca="1" si="324"/>
        <v>#N/A</v>
      </c>
      <c r="AG717" s="306">
        <f t="shared" ca="1" si="346"/>
        <v>8.3526230028308941</v>
      </c>
      <c r="AH717" s="304">
        <f t="shared" ca="1" si="347"/>
        <v>-0.41491937142122171</v>
      </c>
    </row>
    <row r="718" spans="1:34" x14ac:dyDescent="0.2">
      <c r="A718" s="347">
        <f t="shared" ca="1" si="325"/>
        <v>0.1</v>
      </c>
      <c r="B718" s="304">
        <f t="shared" ca="1" si="326"/>
        <v>26.400000000000045</v>
      </c>
      <c r="D718" s="306">
        <f t="shared" ca="1" si="327"/>
        <v>-0.18998664049774341</v>
      </c>
      <c r="E718" s="307">
        <f t="shared" ca="1" si="328"/>
        <v>-9.4208484265726131</v>
      </c>
      <c r="F718" s="304">
        <f t="shared" ca="1" si="329"/>
        <v>9.4227639257291855</v>
      </c>
      <c r="G718" s="306">
        <f t="shared" ca="1" si="330"/>
        <v>17.495385961761539</v>
      </c>
      <c r="H718" s="307">
        <f t="shared" ca="1" si="331"/>
        <v>-36.816977502953847</v>
      </c>
      <c r="I718" s="304">
        <f t="shared" ca="1" si="332"/>
        <v>40.762462663632242</v>
      </c>
      <c r="J718" s="306">
        <f t="shared" ca="1" si="333"/>
        <v>548.79254617285972</v>
      </c>
      <c r="K718" s="307">
        <f t="shared" ca="1" si="334"/>
        <v>2637.6467365818548</v>
      </c>
      <c r="L718" s="304">
        <f t="shared" ca="1" si="319"/>
        <v>2694.1331752041879</v>
      </c>
      <c r="M718" s="306">
        <f t="shared" ca="1" si="335"/>
        <v>-1.1271857460110497</v>
      </c>
      <c r="N718" s="304">
        <f t="shared" ca="1" si="336"/>
        <v>-64.582985973738317</v>
      </c>
      <c r="P718" s="310">
        <f t="shared" ca="1" si="337"/>
        <v>23</v>
      </c>
      <c r="Q718" s="304">
        <f t="shared" ca="1" si="338"/>
        <v>0</v>
      </c>
      <c r="R718" s="306">
        <f t="shared" ca="1" si="339"/>
        <v>0</v>
      </c>
      <c r="S718" s="307">
        <f t="shared" ca="1" si="340"/>
        <v>9.137999999999975</v>
      </c>
      <c r="T718" s="304">
        <f t="shared" ca="1" si="320"/>
        <v>89.643779999999765</v>
      </c>
      <c r="U718" s="311">
        <f t="shared" ca="1" si="321"/>
        <v>0</v>
      </c>
      <c r="V718" s="306">
        <f t="shared" ca="1" si="322"/>
        <v>0.93953594183962885</v>
      </c>
      <c r="W718" s="304">
        <f t="shared" ca="1" si="323"/>
        <v>4.1271393258520863</v>
      </c>
      <c r="Y718" s="314" t="str">
        <f t="shared" ca="1" si="341"/>
        <v/>
      </c>
      <c r="Z718" s="315" t="str">
        <f t="shared" ca="1" si="342"/>
        <v/>
      </c>
      <c r="AA718" s="316" t="str">
        <f t="shared" ca="1" si="343"/>
        <v/>
      </c>
      <c r="AC718" s="310" t="e">
        <f t="shared" ca="1" si="344"/>
        <v>#N/A</v>
      </c>
      <c r="AD718" s="323" t="e">
        <f t="shared" ca="1" si="345"/>
        <v>#N/A</v>
      </c>
      <c r="AE718" s="324" t="e">
        <f t="shared" ca="1" si="324"/>
        <v>#N/A</v>
      </c>
      <c r="AG718" s="306">
        <f t="shared" ca="1" si="346"/>
        <v>8.3824682769000542</v>
      </c>
      <c r="AH718" s="304">
        <f t="shared" ca="1" si="347"/>
        <v>-0.43305181060541648</v>
      </c>
    </row>
    <row r="719" spans="1:34" x14ac:dyDescent="0.2">
      <c r="A719" s="347">
        <f t="shared" ca="1" si="325"/>
        <v>0.1</v>
      </c>
      <c r="B719" s="304">
        <f t="shared" ca="1" si="326"/>
        <v>26.500000000000046</v>
      </c>
      <c r="D719" s="306">
        <f t="shared" ca="1" si="327"/>
        <v>-0.1938478954191554</v>
      </c>
      <c r="E719" s="307">
        <f t="shared" ca="1" si="328"/>
        <v>-9.4020699537443413</v>
      </c>
      <c r="F719" s="304">
        <f t="shared" ca="1" si="329"/>
        <v>9.4040680783191135</v>
      </c>
      <c r="G719" s="306">
        <f t="shared" ca="1" si="330"/>
        <v>17.476001172219622</v>
      </c>
      <c r="H719" s="307">
        <f t="shared" ca="1" si="331"/>
        <v>-37.757184498328279</v>
      </c>
      <c r="I719" s="304">
        <f t="shared" ca="1" si="332"/>
        <v>41.605475579690506</v>
      </c>
      <c r="J719" s="306">
        <f t="shared" ca="1" si="333"/>
        <v>550.54111552955874</v>
      </c>
      <c r="K719" s="307">
        <f t="shared" ca="1" si="334"/>
        <v>2633.9180284817908</v>
      </c>
      <c r="L719" s="304">
        <f t="shared" ca="1" si="319"/>
        <v>2690.8399619170841</v>
      </c>
      <c r="M719" s="306">
        <f t="shared" ca="1" si="335"/>
        <v>-1.1373059448108447</v>
      </c>
      <c r="N719" s="304">
        <f t="shared" ca="1" si="336"/>
        <v>-65.162830652799926</v>
      </c>
      <c r="P719" s="310">
        <f t="shared" ca="1" si="337"/>
        <v>23</v>
      </c>
      <c r="Q719" s="304">
        <f t="shared" ca="1" si="338"/>
        <v>0</v>
      </c>
      <c r="R719" s="306">
        <f t="shared" ca="1" si="339"/>
        <v>0</v>
      </c>
      <c r="S719" s="307">
        <f t="shared" ca="1" si="340"/>
        <v>9.137999999999975</v>
      </c>
      <c r="T719" s="304">
        <f t="shared" ca="1" si="320"/>
        <v>89.643779999999765</v>
      </c>
      <c r="U719" s="311">
        <f t="shared" ca="1" si="321"/>
        <v>0</v>
      </c>
      <c r="V719" s="306">
        <f t="shared" ca="1" si="322"/>
        <v>0.93989252715062332</v>
      </c>
      <c r="W719" s="304">
        <f t="shared" ca="1" si="323"/>
        <v>4.3012440169989805</v>
      </c>
      <c r="Y719" s="314" t="str">
        <f t="shared" ca="1" si="341"/>
        <v/>
      </c>
      <c r="Z719" s="315" t="str">
        <f t="shared" ca="1" si="342"/>
        <v/>
      </c>
      <c r="AA719" s="316" t="str">
        <f t="shared" ca="1" si="343"/>
        <v/>
      </c>
      <c r="AC719" s="310" t="e">
        <f t="shared" ca="1" si="344"/>
        <v>#N/A</v>
      </c>
      <c r="AD719" s="323" t="e">
        <f t="shared" ca="1" si="345"/>
        <v>#N/A</v>
      </c>
      <c r="AE719" s="324" t="e">
        <f t="shared" ca="1" si="324"/>
        <v>#N/A</v>
      </c>
      <c r="AG719" s="306">
        <f t="shared" ca="1" si="346"/>
        <v>8.4088235062838947</v>
      </c>
      <c r="AH719" s="304">
        <f t="shared" ca="1" si="347"/>
        <v>-0.45164580059664011</v>
      </c>
    </row>
    <row r="720" spans="1:34" x14ac:dyDescent="0.2">
      <c r="A720" s="347">
        <f t="shared" ca="1" si="325"/>
        <v>0.1</v>
      </c>
      <c r="B720" s="304">
        <f t="shared" ca="1" si="326"/>
        <v>26.600000000000048</v>
      </c>
      <c r="D720" s="306">
        <f t="shared" ca="1" si="327"/>
        <v>-0.19771267057390407</v>
      </c>
      <c r="E720" s="307">
        <f t="shared" ca="1" si="328"/>
        <v>-9.3828385626122071</v>
      </c>
      <c r="F720" s="304">
        <f t="shared" ca="1" si="329"/>
        <v>9.3849214057523245</v>
      </c>
      <c r="G720" s="306">
        <f t="shared" ca="1" si="330"/>
        <v>17.456229905162232</v>
      </c>
      <c r="H720" s="307">
        <f t="shared" ca="1" si="331"/>
        <v>-38.695468354589501</v>
      </c>
      <c r="I720" s="304">
        <f t="shared" ca="1" si="332"/>
        <v>42.450668235999743</v>
      </c>
      <c r="J720" s="306">
        <f t="shared" ca="1" si="333"/>
        <v>552.28772708342785</v>
      </c>
      <c r="K720" s="307">
        <f t="shared" ca="1" si="334"/>
        <v>2630.0953958391447</v>
      </c>
      <c r="L720" s="304">
        <f t="shared" ca="1" si="319"/>
        <v>2687.4567019212136</v>
      </c>
      <c r="M720" s="306">
        <f t="shared" ca="1" si="335"/>
        <v>-1.1470128965645676</v>
      </c>
      <c r="N720" s="304">
        <f t="shared" ca="1" si="336"/>
        <v>-65.718998020225371</v>
      </c>
      <c r="P720" s="310">
        <f t="shared" ca="1" si="337"/>
        <v>23</v>
      </c>
      <c r="Q720" s="304">
        <f t="shared" ca="1" si="338"/>
        <v>0</v>
      </c>
      <c r="R720" s="306">
        <f t="shared" ca="1" si="339"/>
        <v>0</v>
      </c>
      <c r="S720" s="307">
        <f t="shared" ca="1" si="340"/>
        <v>9.137999999999975</v>
      </c>
      <c r="T720" s="304">
        <f t="shared" ca="1" si="320"/>
        <v>89.643779999999765</v>
      </c>
      <c r="U720" s="311">
        <f t="shared" ca="1" si="321"/>
        <v>0</v>
      </c>
      <c r="V720" s="306">
        <f t="shared" ca="1" si="322"/>
        <v>0.94025821667589304</v>
      </c>
      <c r="W720" s="304">
        <f t="shared" ca="1" si="323"/>
        <v>4.4795161117923739</v>
      </c>
      <c r="Y720" s="314" t="str">
        <f t="shared" ca="1" si="341"/>
        <v/>
      </c>
      <c r="Z720" s="315" t="str">
        <f t="shared" ca="1" si="342"/>
        <v/>
      </c>
      <c r="AA720" s="316" t="str">
        <f t="shared" ca="1" si="343"/>
        <v/>
      </c>
      <c r="AC720" s="310" t="e">
        <f t="shared" ca="1" si="344"/>
        <v>#N/A</v>
      </c>
      <c r="AD720" s="323" t="e">
        <f t="shared" ca="1" si="345"/>
        <v>#N/A</v>
      </c>
      <c r="AE720" s="324" t="e">
        <f t="shared" ca="1" si="324"/>
        <v>#N/A</v>
      </c>
      <c r="AG720" s="306">
        <f t="shared" ca="1" si="346"/>
        <v>8.4319271676614225</v>
      </c>
      <c r="AH720" s="304">
        <f t="shared" ca="1" si="347"/>
        <v>-0.47069862300273496</v>
      </c>
    </row>
    <row r="721" spans="1:34" x14ac:dyDescent="0.2">
      <c r="A721" s="347">
        <f t="shared" ca="1" si="325"/>
        <v>0.1</v>
      </c>
      <c r="B721" s="304">
        <f t="shared" ca="1" si="326"/>
        <v>26.700000000000049</v>
      </c>
      <c r="D721" s="306">
        <f t="shared" ca="1" si="327"/>
        <v>-0.20157927148116689</v>
      </c>
      <c r="E721" s="307">
        <f t="shared" ca="1" si="328"/>
        <v>-9.3631564167682058</v>
      </c>
      <c r="F721" s="304">
        <f t="shared" ca="1" si="329"/>
        <v>9.3653260641345799</v>
      </c>
      <c r="G721" s="306">
        <f t="shared" ca="1" si="330"/>
        <v>17.436071978014116</v>
      </c>
      <c r="H721" s="307">
        <f t="shared" ca="1" si="331"/>
        <v>-39.631783996266321</v>
      </c>
      <c r="I721" s="304">
        <f t="shared" ca="1" si="332"/>
        <v>43.297747155587672</v>
      </c>
      <c r="J721" s="306">
        <f t="shared" ca="1" si="333"/>
        <v>554.03234217758666</v>
      </c>
      <c r="K721" s="307">
        <f t="shared" ca="1" si="334"/>
        <v>2626.1790332216019</v>
      </c>
      <c r="L721" s="304">
        <f t="shared" ca="1" si="319"/>
        <v>2683.9836345834024</v>
      </c>
      <c r="M721" s="306">
        <f t="shared" ca="1" si="335"/>
        <v>-1.1563298926436261</v>
      </c>
      <c r="N721" s="304">
        <f t="shared" ca="1" si="336"/>
        <v>-66.252822573295347</v>
      </c>
      <c r="P721" s="310">
        <f t="shared" ca="1" si="337"/>
        <v>23</v>
      </c>
      <c r="Q721" s="304">
        <f t="shared" ca="1" si="338"/>
        <v>0</v>
      </c>
      <c r="R721" s="306">
        <f t="shared" ca="1" si="339"/>
        <v>0</v>
      </c>
      <c r="S721" s="307">
        <f t="shared" ca="1" si="340"/>
        <v>9.137999999999975</v>
      </c>
      <c r="T721" s="304">
        <f t="shared" ca="1" si="320"/>
        <v>89.643779999999765</v>
      </c>
      <c r="U721" s="311">
        <f t="shared" ca="1" si="321"/>
        <v>0</v>
      </c>
      <c r="V721" s="306">
        <f t="shared" ca="1" si="322"/>
        <v>0.94063300096115243</v>
      </c>
      <c r="W721" s="304">
        <f t="shared" ca="1" si="323"/>
        <v>4.6619296421754024</v>
      </c>
      <c r="Y721" s="314" t="str">
        <f t="shared" ca="1" si="341"/>
        <v/>
      </c>
      <c r="Z721" s="315" t="str">
        <f t="shared" ca="1" si="342"/>
        <v/>
      </c>
      <c r="AA721" s="316" t="str">
        <f t="shared" ca="1" si="343"/>
        <v/>
      </c>
      <c r="AC721" s="310" t="e">
        <f t="shared" ca="1" si="344"/>
        <v>#N/A</v>
      </c>
      <c r="AD721" s="323" t="e">
        <f t="shared" ca="1" si="345"/>
        <v>#N/A</v>
      </c>
      <c r="AE721" s="324" t="e">
        <f t="shared" ca="1" si="324"/>
        <v>#N/A</v>
      </c>
      <c r="AG721" s="306">
        <f t="shared" ca="1" si="346"/>
        <v>8.4519967205784923</v>
      </c>
      <c r="AH721" s="304">
        <f t="shared" ca="1" si="347"/>
        <v>-0.490207497460318</v>
      </c>
    </row>
    <row r="722" spans="1:34" x14ac:dyDescent="0.2">
      <c r="A722" s="347">
        <f t="shared" ca="1" si="325"/>
        <v>0.1</v>
      </c>
      <c r="B722" s="304">
        <f t="shared" ca="1" si="326"/>
        <v>26.80000000000005</v>
      </c>
      <c r="D722" s="306">
        <f t="shared" ca="1" si="327"/>
        <v>-0.20544610610636196</v>
      </c>
      <c r="E722" s="307">
        <f t="shared" ca="1" si="328"/>
        <v>-9.3430258036128677</v>
      </c>
      <c r="F722" s="304">
        <f t="shared" ca="1" si="329"/>
        <v>9.3452843332608211</v>
      </c>
      <c r="G722" s="306">
        <f t="shared" ca="1" si="330"/>
        <v>17.415527367403481</v>
      </c>
      <c r="H722" s="307">
        <f t="shared" ca="1" si="331"/>
        <v>-40.566086576627612</v>
      </c>
      <c r="I722" s="304">
        <f t="shared" ca="1" si="332"/>
        <v>44.146437836219881</v>
      </c>
      <c r="J722" s="306">
        <f t="shared" ca="1" si="333"/>
        <v>555.77492214485756</v>
      </c>
      <c r="K722" s="307">
        <f t="shared" ca="1" si="334"/>
        <v>2622.1691396929573</v>
      </c>
      <c r="L722" s="304">
        <f t="shared" ca="1" si="319"/>
        <v>2680.421004477324</v>
      </c>
      <c r="M722" s="306">
        <f t="shared" ca="1" si="335"/>
        <v>-1.1652786450200796</v>
      </c>
      <c r="N722" s="304">
        <f t="shared" ca="1" si="336"/>
        <v>-66.76554831637381</v>
      </c>
      <c r="P722" s="310">
        <f t="shared" ca="1" si="337"/>
        <v>23</v>
      </c>
      <c r="Q722" s="304">
        <f t="shared" ca="1" si="338"/>
        <v>0</v>
      </c>
      <c r="R722" s="306">
        <f t="shared" ca="1" si="339"/>
        <v>0</v>
      </c>
      <c r="S722" s="307">
        <f t="shared" ca="1" si="340"/>
        <v>9.137999999999975</v>
      </c>
      <c r="T722" s="304">
        <f t="shared" ca="1" si="320"/>
        <v>89.643779999999765</v>
      </c>
      <c r="U722" s="311">
        <f t="shared" ca="1" si="321"/>
        <v>0</v>
      </c>
      <c r="V722" s="306">
        <f t="shared" ca="1" si="322"/>
        <v>0.94101687032851278</v>
      </c>
      <c r="W722" s="304">
        <f t="shared" ca="1" si="323"/>
        <v>4.8484580844559462</v>
      </c>
      <c r="Y722" s="314" t="str">
        <f t="shared" ca="1" si="341"/>
        <v/>
      </c>
      <c r="Z722" s="315" t="str">
        <f t="shared" ca="1" si="342"/>
        <v/>
      </c>
      <c r="AA722" s="316" t="str">
        <f t="shared" ca="1" si="343"/>
        <v/>
      </c>
      <c r="AC722" s="310" t="e">
        <f t="shared" ca="1" si="344"/>
        <v>#N/A</v>
      </c>
      <c r="AD722" s="323" t="e">
        <f t="shared" ca="1" si="345"/>
        <v>#N/A</v>
      </c>
      <c r="AE722" s="324" t="e">
        <f t="shared" ca="1" si="324"/>
        <v>#N/A</v>
      </c>
      <c r="AG722" s="306">
        <f t="shared" ca="1" si="346"/>
        <v>8.4692306532473065</v>
      </c>
      <c r="AH722" s="304">
        <f t="shared" ca="1" si="347"/>
        <v>-0.51016958220348163</v>
      </c>
    </row>
    <row r="723" spans="1:34" x14ac:dyDescent="0.2">
      <c r="A723" s="347">
        <f t="shared" ca="1" si="325"/>
        <v>0.1</v>
      </c>
      <c r="B723" s="304">
        <f t="shared" ca="1" si="326"/>
        <v>26.900000000000052</v>
      </c>
      <c r="D723" s="306">
        <f t="shared" ca="1" si="327"/>
        <v>-0.20931167616847923</v>
      </c>
      <c r="E723" s="307">
        <f t="shared" ca="1" si="328"/>
        <v>-9.3224491267004623</v>
      </c>
      <c r="F723" s="304">
        <f t="shared" ca="1" si="329"/>
        <v>9.324798608961947</v>
      </c>
      <c r="G723" s="306">
        <f t="shared" ca="1" si="330"/>
        <v>17.394596199786633</v>
      </c>
      <c r="H723" s="307">
        <f t="shared" ca="1" si="331"/>
        <v>-41.498331489297655</v>
      </c>
      <c r="I723" s="304">
        <f t="shared" ca="1" si="332"/>
        <v>44.996483122009266</v>
      </c>
      <c r="J723" s="306">
        <f t="shared" ca="1" si="333"/>
        <v>557.51542832321707</v>
      </c>
      <c r="K723" s="307">
        <f t="shared" ca="1" si="334"/>
        <v>2618.0659187896608</v>
      </c>
      <c r="L723" s="304">
        <f t="shared" ca="1" si="319"/>
        <v>2676.7690613772365</v>
      </c>
      <c r="M723" s="306">
        <f t="shared" ca="1" si="335"/>
        <v>-1.1738794035429758</v>
      </c>
      <c r="N723" s="304">
        <f t="shared" ca="1" si="336"/>
        <v>-67.258335480346929</v>
      </c>
      <c r="P723" s="310">
        <f t="shared" ca="1" si="337"/>
        <v>23</v>
      </c>
      <c r="Q723" s="304">
        <f t="shared" ca="1" si="338"/>
        <v>0</v>
      </c>
      <c r="R723" s="306">
        <f t="shared" ca="1" si="339"/>
        <v>0</v>
      </c>
      <c r="S723" s="307">
        <f t="shared" ca="1" si="340"/>
        <v>9.137999999999975</v>
      </c>
      <c r="T723" s="304">
        <f t="shared" ca="1" si="320"/>
        <v>89.643779999999765</v>
      </c>
      <c r="U723" s="311">
        <f t="shared" ca="1" si="321"/>
        <v>0</v>
      </c>
      <c r="V723" s="306">
        <f t="shared" ca="1" si="322"/>
        <v>0.94140981487696074</v>
      </c>
      <c r="W723" s="304">
        <f t="shared" ca="1" si="323"/>
        <v>5.0390743650152974</v>
      </c>
      <c r="Y723" s="314" t="str">
        <f t="shared" ca="1" si="341"/>
        <v/>
      </c>
      <c r="Z723" s="315" t="str">
        <f t="shared" ca="1" si="342"/>
        <v/>
      </c>
      <c r="AA723" s="316" t="str">
        <f t="shared" ca="1" si="343"/>
        <v/>
      </c>
      <c r="AC723" s="310" t="e">
        <f t="shared" ca="1" si="344"/>
        <v>#N/A</v>
      </c>
      <c r="AD723" s="323" t="e">
        <f t="shared" ca="1" si="345"/>
        <v>#N/A</v>
      </c>
      <c r="AE723" s="324" t="e">
        <f t="shared" ca="1" si="324"/>
        <v>#N/A</v>
      </c>
      <c r="AG723" s="306">
        <f t="shared" ca="1" si="346"/>
        <v>8.4838103256436614</v>
      </c>
      <c r="AH723" s="304">
        <f t="shared" ca="1" si="347"/>
        <v>-0.53058197466140944</v>
      </c>
    </row>
    <row r="724" spans="1:34" x14ac:dyDescent="0.2">
      <c r="A724" s="347">
        <f t="shared" ca="1" si="325"/>
        <v>0.1</v>
      </c>
      <c r="B724" s="304">
        <f t="shared" ca="1" si="326"/>
        <v>27.000000000000053</v>
      </c>
      <c r="D724" s="306">
        <f t="shared" ca="1" si="327"/>
        <v>-0.21317456929678583</v>
      </c>
      <c r="E724" s="307">
        <f t="shared" ca="1" si="328"/>
        <v>-9.3014288989430653</v>
      </c>
      <c r="F724" s="304">
        <f t="shared" ca="1" si="329"/>
        <v>9.3038713963106812</v>
      </c>
      <c r="G724" s="306">
        <f t="shared" ca="1" si="330"/>
        <v>17.373278742856954</v>
      </c>
      <c r="H724" s="307">
        <f t="shared" ca="1" si="331"/>
        <v>-42.428474379191961</v>
      </c>
      <c r="I724" s="304">
        <f t="shared" ca="1" si="332"/>
        <v>45.8476417324027</v>
      </c>
      <c r="J724" s="306">
        <f t="shared" ca="1" si="333"/>
        <v>559.2538220703492</v>
      </c>
      <c r="K724" s="307">
        <f t="shared" ca="1" si="334"/>
        <v>2613.8695784962365</v>
      </c>
      <c r="L724" s="304">
        <f t="shared" ca="1" si="319"/>
        <v>2673.0280602508433</v>
      </c>
      <c r="M724" s="306">
        <f t="shared" ca="1" si="335"/>
        <v>-1.1821510647547102</v>
      </c>
      <c r="N724" s="304">
        <f t="shared" ca="1" si="336"/>
        <v>-67.732266757341378</v>
      </c>
      <c r="P724" s="310">
        <f t="shared" ca="1" si="337"/>
        <v>23</v>
      </c>
      <c r="Q724" s="304">
        <f t="shared" ca="1" si="338"/>
        <v>0</v>
      </c>
      <c r="R724" s="306">
        <f t="shared" ca="1" si="339"/>
        <v>0</v>
      </c>
      <c r="S724" s="307">
        <f t="shared" ca="1" si="340"/>
        <v>9.137999999999975</v>
      </c>
      <c r="T724" s="304">
        <f t="shared" ca="1" si="320"/>
        <v>89.643779999999765</v>
      </c>
      <c r="U724" s="311">
        <f t="shared" ca="1" si="321"/>
        <v>0</v>
      </c>
      <c r="V724" s="306">
        <f t="shared" ca="1" si="322"/>
        <v>0.94181182448290979</v>
      </c>
      <c r="W724" s="304">
        <f t="shared" ca="1" si="323"/>
        <v>5.2337508662497267</v>
      </c>
      <c r="Y724" s="314" t="str">
        <f t="shared" ca="1" si="341"/>
        <v/>
      </c>
      <c r="Z724" s="315" t="str">
        <f t="shared" ca="1" si="342"/>
        <v/>
      </c>
      <c r="AA724" s="316" t="str">
        <f t="shared" ca="1" si="343"/>
        <v/>
      </c>
      <c r="AC724" s="310">
        <f t="shared" ca="1" si="344"/>
        <v>27.000000000000053</v>
      </c>
      <c r="AD724" s="323">
        <f t="shared" ca="1" si="345"/>
        <v>559.2538220703492</v>
      </c>
      <c r="AE724" s="324" t="e">
        <f t="shared" ca="1" si="324"/>
        <v>#N/A</v>
      </c>
      <c r="AG724" s="306">
        <f t="shared" ca="1" si="346"/>
        <v>8.4959016281986415</v>
      </c>
      <c r="AH724" s="304">
        <f t="shared" ca="1" si="347"/>
        <v>-0.55144171208309378</v>
      </c>
    </row>
    <row r="725" spans="1:34" x14ac:dyDescent="0.2">
      <c r="A725" s="347">
        <f t="shared" ca="1" si="325"/>
        <v>0.1</v>
      </c>
      <c r="B725" s="304">
        <f t="shared" ca="1" si="326"/>
        <v>27.100000000000055</v>
      </c>
      <c r="D725" s="306">
        <f t="shared" ca="1" si="327"/>
        <v>-0.21703345195123772</v>
      </c>
      <c r="E725" s="307">
        <f t="shared" ca="1" si="328"/>
        <v>-9.279967736554811</v>
      </c>
      <c r="F725" s="304">
        <f t="shared" ca="1" si="329"/>
        <v>9.2825053035677865</v>
      </c>
      <c r="G725" s="306">
        <f t="shared" ca="1" si="330"/>
        <v>17.351575397661829</v>
      </c>
      <c r="H725" s="307">
        <f t="shared" ca="1" si="331"/>
        <v>-43.35647115284744</v>
      </c>
      <c r="I725" s="304">
        <f t="shared" ca="1" si="332"/>
        <v>46.699686932659795</v>
      </c>
      <c r="J725" s="306">
        <f t="shared" ca="1" si="333"/>
        <v>560.9900647773751</v>
      </c>
      <c r="K725" s="307">
        <f t="shared" ca="1" si="334"/>
        <v>2609.5803312196344</v>
      </c>
      <c r="L725" s="304">
        <f t="shared" ca="1" si="319"/>
        <v>2669.198261251363</v>
      </c>
      <c r="M725" s="306">
        <f t="shared" ca="1" si="335"/>
        <v>-1.190111272657558</v>
      </c>
      <c r="N725" s="304">
        <f t="shared" ca="1" si="336"/>
        <v>-68.18835307422124</v>
      </c>
      <c r="P725" s="310">
        <f t="shared" ca="1" si="337"/>
        <v>23</v>
      </c>
      <c r="Q725" s="304">
        <f t="shared" ca="1" si="338"/>
        <v>0</v>
      </c>
      <c r="R725" s="306">
        <f t="shared" ca="1" si="339"/>
        <v>0</v>
      </c>
      <c r="S725" s="307">
        <f t="shared" ca="1" si="340"/>
        <v>9.137999999999975</v>
      </c>
      <c r="T725" s="304">
        <f t="shared" ca="1" si="320"/>
        <v>89.643779999999765</v>
      </c>
      <c r="U725" s="311">
        <f t="shared" ca="1" si="321"/>
        <v>0</v>
      </c>
      <c r="V725" s="306">
        <f t="shared" ca="1" si="322"/>
        <v>0.9422228888008195</v>
      </c>
      <c r="W725" s="304">
        <f t="shared" ca="1" si="323"/>
        <v>5.4324594327316609</v>
      </c>
      <c r="Y725" s="314" t="str">
        <f t="shared" ca="1" si="341"/>
        <v/>
      </c>
      <c r="Z725" s="315" t="str">
        <f t="shared" ca="1" si="342"/>
        <v/>
      </c>
      <c r="AA725" s="316" t="str">
        <f t="shared" ca="1" si="343"/>
        <v/>
      </c>
      <c r="AC725" s="310" t="e">
        <f t="shared" ca="1" si="344"/>
        <v>#N/A</v>
      </c>
      <c r="AD725" s="323" t="e">
        <f t="shared" ca="1" si="345"/>
        <v>#N/A</v>
      </c>
      <c r="AE725" s="324" t="e">
        <f t="shared" ca="1" si="324"/>
        <v>#N/A</v>
      </c>
      <c r="AG725" s="306">
        <f t="shared" ca="1" si="346"/>
        <v>8.5056564734334899</v>
      </c>
      <c r="AH725" s="304">
        <f t="shared" ca="1" si="347"/>
        <v>-0.57274577218754008</v>
      </c>
    </row>
    <row r="726" spans="1:34" x14ac:dyDescent="0.2">
      <c r="A726" s="347">
        <f t="shared" ca="1" si="325"/>
        <v>0.1</v>
      </c>
      <c r="B726" s="304">
        <f t="shared" ca="1" si="326"/>
        <v>27.200000000000056</v>
      </c>
      <c r="D726" s="306">
        <f t="shared" ca="1" si="327"/>
        <v>-0.22088706302917285</v>
      </c>
      <c r="E726" s="307">
        <f t="shared" ca="1" si="328"/>
        <v>-9.2580683536347923</v>
      </c>
      <c r="F726" s="304">
        <f t="shared" ca="1" si="329"/>
        <v>9.2607030367671168</v>
      </c>
      <c r="G726" s="306">
        <f t="shared" ca="1" si="330"/>
        <v>17.329486691358913</v>
      </c>
      <c r="H726" s="307">
        <f t="shared" ca="1" si="331"/>
        <v>-44.282277988210922</v>
      </c>
      <c r="I726" s="304">
        <f t="shared" ca="1" si="332"/>
        <v>47.55240533149901</v>
      </c>
      <c r="J726" s="306">
        <f t="shared" ca="1" si="333"/>
        <v>562.72411788182615</v>
      </c>
      <c r="K726" s="307">
        <f t="shared" ca="1" si="334"/>
        <v>2605.1983937625814</v>
      </c>
      <c r="L726" s="304">
        <f t="shared" ca="1" si="319"/>
        <v>2665.2799297088877</v>
      </c>
      <c r="M726" s="306">
        <f t="shared" ca="1" si="335"/>
        <v>-1.1977765118807366</v>
      </c>
      <c r="N726" s="304">
        <f t="shared" ca="1" si="336"/>
        <v>-68.627538930667512</v>
      </c>
      <c r="P726" s="310">
        <f t="shared" ca="1" si="337"/>
        <v>23</v>
      </c>
      <c r="Q726" s="304">
        <f t="shared" ca="1" si="338"/>
        <v>0</v>
      </c>
      <c r="R726" s="306">
        <f t="shared" ca="1" si="339"/>
        <v>0</v>
      </c>
      <c r="S726" s="307">
        <f t="shared" ca="1" si="340"/>
        <v>9.137999999999975</v>
      </c>
      <c r="T726" s="304">
        <f t="shared" ca="1" si="320"/>
        <v>89.643779999999765</v>
      </c>
      <c r="U726" s="311">
        <f t="shared" ca="1" si="321"/>
        <v>0</v>
      </c>
      <c r="V726" s="306">
        <f t="shared" ca="1" si="322"/>
        <v>0.94264299726387257</v>
      </c>
      <c r="W726" s="304">
        <f t="shared" ca="1" si="323"/>
        <v>5.6351713775784633</v>
      </c>
      <c r="Y726" s="314" t="str">
        <f t="shared" ca="1" si="341"/>
        <v/>
      </c>
      <c r="Z726" s="315" t="str">
        <f t="shared" ca="1" si="342"/>
        <v/>
      </c>
      <c r="AA726" s="316" t="str">
        <f t="shared" ca="1" si="343"/>
        <v/>
      </c>
      <c r="AC726" s="310" t="e">
        <f t="shared" ca="1" si="344"/>
        <v>#N/A</v>
      </c>
      <c r="AD726" s="323" t="e">
        <f t="shared" ca="1" si="345"/>
        <v>#N/A</v>
      </c>
      <c r="AE726" s="324" t="e">
        <f t="shared" ca="1" si="324"/>
        <v>#N/A</v>
      </c>
      <c r="AG726" s="306">
        <f t="shared" ca="1" si="346"/>
        <v>8.5132141367504151</v>
      </c>
      <c r="AH726" s="304">
        <f t="shared" ca="1" si="347"/>
        <v>-0.59449107383800348</v>
      </c>
    </row>
    <row r="727" spans="1:34" x14ac:dyDescent="0.2">
      <c r="A727" s="347">
        <f t="shared" ca="1" si="325"/>
        <v>0.1</v>
      </c>
      <c r="B727" s="304">
        <f t="shared" ca="1" si="326"/>
        <v>27.300000000000058</v>
      </c>
      <c r="D727" s="306">
        <f t="shared" ca="1" si="327"/>
        <v>-0.2247342080884992</v>
      </c>
      <c r="E727" s="307">
        <f t="shared" ca="1" si="328"/>
        <v>-9.2357335573016339</v>
      </c>
      <c r="F727" s="304">
        <f t="shared" ca="1" si="329"/>
        <v>9.2384673948524956</v>
      </c>
      <c r="G727" s="306">
        <f t="shared" ca="1" si="330"/>
        <v>17.307013270550062</v>
      </c>
      <c r="H727" s="307">
        <f t="shared" ca="1" si="331"/>
        <v>-45.205851343941085</v>
      </c>
      <c r="I727" s="304">
        <f t="shared" ca="1" si="332"/>
        <v>48.405595793022691</v>
      </c>
      <c r="J727" s="306">
        <f t="shared" ca="1" si="333"/>
        <v>564.45594287992162</v>
      </c>
      <c r="K727" s="307">
        <f t="shared" ca="1" si="334"/>
        <v>2600.723987295974</v>
      </c>
      <c r="L727" s="304">
        <f t="shared" ca="1" si="319"/>
        <v>2661.2733361211003</v>
      </c>
      <c r="M727" s="306">
        <f t="shared" ca="1" si="335"/>
        <v>-1.2051621937175201</v>
      </c>
      <c r="N727" s="304">
        <f t="shared" ca="1" si="336"/>
        <v>-69.050707328741638</v>
      </c>
      <c r="P727" s="310">
        <f t="shared" ca="1" si="337"/>
        <v>23</v>
      </c>
      <c r="Q727" s="304">
        <f t="shared" ca="1" si="338"/>
        <v>0</v>
      </c>
      <c r="R727" s="306">
        <f t="shared" ca="1" si="339"/>
        <v>0</v>
      </c>
      <c r="S727" s="307">
        <f t="shared" ca="1" si="340"/>
        <v>9.137999999999975</v>
      </c>
      <c r="T727" s="304">
        <f t="shared" ca="1" si="320"/>
        <v>89.643779999999765</v>
      </c>
      <c r="U727" s="311">
        <f t="shared" ca="1" si="321"/>
        <v>0</v>
      </c>
      <c r="V727" s="306">
        <f t="shared" ca="1" si="322"/>
        <v>0.94307213908471466</v>
      </c>
      <c r="W727" s="304">
        <f t="shared" ca="1" si="323"/>
        <v>5.8418574890180004</v>
      </c>
      <c r="Y727" s="314" t="str">
        <f t="shared" ca="1" si="341"/>
        <v/>
      </c>
      <c r="Z727" s="315" t="str">
        <f t="shared" ca="1" si="342"/>
        <v/>
      </c>
      <c r="AA727" s="316" t="str">
        <f t="shared" ca="1" si="343"/>
        <v/>
      </c>
      <c r="AC727" s="310" t="e">
        <f t="shared" ca="1" si="344"/>
        <v>#N/A</v>
      </c>
      <c r="AD727" s="323" t="e">
        <f t="shared" ca="1" si="345"/>
        <v>#N/A</v>
      </c>
      <c r="AE727" s="324" t="e">
        <f t="shared" ca="1" si="324"/>
        <v>#N/A</v>
      </c>
      <c r="AG727" s="306">
        <f t="shared" ca="1" si="346"/>
        <v>8.5187024613660434</v>
      </c>
      <c r="AH727" s="304">
        <f t="shared" ca="1" si="347"/>
        <v>-0.6166744777389449</v>
      </c>
    </row>
    <row r="728" spans="1:34" x14ac:dyDescent="0.2">
      <c r="A728" s="347">
        <f t="shared" ca="1" si="325"/>
        <v>0.1</v>
      </c>
      <c r="B728" s="304">
        <f t="shared" ca="1" si="326"/>
        <v>27.400000000000059</v>
      </c>
      <c r="D728" s="306">
        <f t="shared" ca="1" si="327"/>
        <v>-0.22857375412462272</v>
      </c>
      <c r="E728" s="307">
        <f t="shared" ca="1" si="328"/>
        <v>-9.2129662433051447</v>
      </c>
      <c r="F728" s="304">
        <f t="shared" ca="1" si="329"/>
        <v>9.2158012652918426</v>
      </c>
      <c r="G728" s="306">
        <f t="shared" ca="1" si="330"/>
        <v>17.284155895137598</v>
      </c>
      <c r="H728" s="307">
        <f t="shared" ca="1" si="331"/>
        <v>-46.127147968271601</v>
      </c>
      <c r="I728" s="304">
        <f t="shared" ca="1" si="332"/>
        <v>49.259068451344497</v>
      </c>
      <c r="J728" s="306">
        <f t="shared" ca="1" si="333"/>
        <v>566.185501338206</v>
      </c>
      <c r="K728" s="307">
        <f t="shared" ca="1" si="334"/>
        <v>2596.1573373303631</v>
      </c>
      <c r="L728" s="304">
        <f t="shared" ca="1" si="319"/>
        <v>2657.1787561434171</v>
      </c>
      <c r="M728" s="306">
        <f t="shared" ca="1" si="335"/>
        <v>-1.2122827355058152</v>
      </c>
      <c r="N728" s="304">
        <f t="shared" ca="1" si="336"/>
        <v>-69.45868432105749</v>
      </c>
      <c r="P728" s="310">
        <f t="shared" ca="1" si="337"/>
        <v>23</v>
      </c>
      <c r="Q728" s="304">
        <f t="shared" ca="1" si="338"/>
        <v>0</v>
      </c>
      <c r="R728" s="306">
        <f t="shared" ca="1" si="339"/>
        <v>0</v>
      </c>
      <c r="S728" s="307">
        <f t="shared" ca="1" si="340"/>
        <v>9.137999999999975</v>
      </c>
      <c r="T728" s="304">
        <f t="shared" ca="1" si="320"/>
        <v>89.643779999999765</v>
      </c>
      <c r="U728" s="311">
        <f t="shared" ca="1" si="321"/>
        <v>0</v>
      </c>
      <c r="V728" s="306">
        <f t="shared" ca="1" si="322"/>
        <v>0.94351030325624119</v>
      </c>
      <c r="W728" s="304">
        <f t="shared" ca="1" si="323"/>
        <v>6.0524880371410017</v>
      </c>
      <c r="Y728" s="314" t="str">
        <f t="shared" ca="1" si="341"/>
        <v/>
      </c>
      <c r="Z728" s="315" t="str">
        <f t="shared" ca="1" si="342"/>
        <v/>
      </c>
      <c r="AA728" s="316" t="str">
        <f t="shared" ca="1" si="343"/>
        <v/>
      </c>
      <c r="AC728" s="310" t="e">
        <f t="shared" ca="1" si="344"/>
        <v>#N/A</v>
      </c>
      <c r="AD728" s="323" t="e">
        <f t="shared" ca="1" si="345"/>
        <v>#N/A</v>
      </c>
      <c r="AE728" s="324" t="e">
        <f t="shared" ca="1" si="324"/>
        <v>#N/A</v>
      </c>
      <c r="AG728" s="306">
        <f t="shared" ca="1" si="346"/>
        <v>8.5222389411252255</v>
      </c>
      <c r="AH728" s="304">
        <f t="shared" ca="1" si="347"/>
        <v>-0.63929278715452142</v>
      </c>
    </row>
    <row r="729" spans="1:34" x14ac:dyDescent="0.2">
      <c r="A729" s="347">
        <f t="shared" ca="1" si="325"/>
        <v>0.1</v>
      </c>
      <c r="B729" s="304">
        <f t="shared" ca="1" si="326"/>
        <v>27.50000000000006</v>
      </c>
      <c r="D729" s="306">
        <f t="shared" ca="1" si="327"/>
        <v>-0.23240462484477151</v>
      </c>
      <c r="E729" s="307">
        <f t="shared" ca="1" si="328"/>
        <v>-9.1897693920510619</v>
      </c>
      <c r="F729" s="304">
        <f t="shared" ca="1" si="329"/>
        <v>9.1927076201045246</v>
      </c>
      <c r="G729" s="306">
        <f t="shared" ca="1" si="330"/>
        <v>17.260915432653121</v>
      </c>
      <c r="H729" s="307">
        <f t="shared" ca="1" si="331"/>
        <v>-47.04612490747671</v>
      </c>
      <c r="I729" s="304">
        <f t="shared" ca="1" si="332"/>
        <v>50.112643817534746</v>
      </c>
      <c r="J729" s="306">
        <f t="shared" ca="1" si="333"/>
        <v>567.91275490459554</v>
      </c>
      <c r="K729" s="307">
        <f t="shared" ca="1" si="334"/>
        <v>2591.4986736865758</v>
      </c>
      <c r="L729" s="304">
        <f t="shared" ca="1" si="319"/>
        <v>2652.9964705786188</v>
      </c>
      <c r="M729" s="306">
        <f t="shared" ca="1" si="335"/>
        <v>-1.2191516338186204</v>
      </c>
      <c r="N729" s="304">
        <f t="shared" ca="1" si="336"/>
        <v>-69.852243204285756</v>
      </c>
      <c r="P729" s="310">
        <f t="shared" ca="1" si="337"/>
        <v>23</v>
      </c>
      <c r="Q729" s="304">
        <f t="shared" ca="1" si="338"/>
        <v>0</v>
      </c>
      <c r="R729" s="306">
        <f t="shared" ca="1" si="339"/>
        <v>0</v>
      </c>
      <c r="S729" s="307">
        <f t="shared" ca="1" si="340"/>
        <v>9.137999999999975</v>
      </c>
      <c r="T729" s="304">
        <f t="shared" ca="1" si="320"/>
        <v>89.643779999999765</v>
      </c>
      <c r="U729" s="311">
        <f t="shared" ca="1" si="321"/>
        <v>0</v>
      </c>
      <c r="V729" s="306">
        <f t="shared" ca="1" si="322"/>
        <v>0.94395747855243883</v>
      </c>
      <c r="W729" s="304">
        <f t="shared" ca="1" si="323"/>
        <v>6.2670327808311672</v>
      </c>
      <c r="Y729" s="314" t="str">
        <f t="shared" ca="1" si="341"/>
        <v/>
      </c>
      <c r="Z729" s="315" t="str">
        <f t="shared" ca="1" si="342"/>
        <v/>
      </c>
      <c r="AA729" s="316" t="str">
        <f t="shared" ca="1" si="343"/>
        <v/>
      </c>
      <c r="AC729" s="310" t="e">
        <f t="shared" ca="1" si="344"/>
        <v>#N/A</v>
      </c>
      <c r="AD729" s="323" t="e">
        <f t="shared" ca="1" si="345"/>
        <v>#N/A</v>
      </c>
      <c r="AE729" s="324" t="e">
        <f t="shared" ca="1" si="324"/>
        <v>#N/A</v>
      </c>
      <c r="AG729" s="306">
        <f t="shared" ca="1" si="346"/>
        <v>8.5239316937063254</v>
      </c>
      <c r="AH729" s="304">
        <f t="shared" ca="1" si="347"/>
        <v>-0.66234274864751785</v>
      </c>
    </row>
    <row r="730" spans="1:34" x14ac:dyDescent="0.2">
      <c r="A730" s="347">
        <f t="shared" ca="1" si="325"/>
        <v>0.1</v>
      </c>
      <c r="B730" s="304">
        <f t="shared" ca="1" si="326"/>
        <v>27.600000000000062</v>
      </c>
      <c r="D730" s="306">
        <f t="shared" ca="1" si="327"/>
        <v>-0.23622579638919475</v>
      </c>
      <c r="E730" s="307">
        <f t="shared" ca="1" si="328"/>
        <v>-9.1661460649838791</v>
      </c>
      <c r="F730" s="304">
        <f t="shared" ca="1" si="329"/>
        <v>9.169189512246934</v>
      </c>
      <c r="G730" s="306">
        <f t="shared" ca="1" si="330"/>
        <v>17.237292853014203</v>
      </c>
      <c r="H730" s="307">
        <f t="shared" ca="1" si="331"/>
        <v>-47.962739513975094</v>
      </c>
      <c r="I730" s="304">
        <f t="shared" ca="1" si="332"/>
        <v>50.966151969576849</v>
      </c>
      <c r="J730" s="306">
        <f t="shared" ca="1" si="333"/>
        <v>569.63766531887893</v>
      </c>
      <c r="K730" s="307">
        <f t="shared" ca="1" si="334"/>
        <v>2586.7482304655032</v>
      </c>
      <c r="L730" s="304">
        <f t="shared" ca="1" si="319"/>
        <v>2648.7267653660228</v>
      </c>
      <c r="M730" s="306">
        <f t="shared" ca="1" si="335"/>
        <v>-1.2257815319162464</v>
      </c>
      <c r="N730" s="304">
        <f t="shared" ca="1" si="336"/>
        <v>-70.232108383881538</v>
      </c>
      <c r="P730" s="310">
        <f t="shared" ca="1" si="337"/>
        <v>23</v>
      </c>
      <c r="Q730" s="304">
        <f t="shared" ca="1" si="338"/>
        <v>0</v>
      </c>
      <c r="R730" s="306">
        <f t="shared" ca="1" si="339"/>
        <v>0</v>
      </c>
      <c r="S730" s="307">
        <f t="shared" ca="1" si="340"/>
        <v>9.137999999999975</v>
      </c>
      <c r="T730" s="304">
        <f t="shared" ca="1" si="320"/>
        <v>89.643779999999765</v>
      </c>
      <c r="U730" s="311">
        <f t="shared" ca="1" si="321"/>
        <v>0</v>
      </c>
      <c r="V730" s="306">
        <f t="shared" ca="1" si="322"/>
        <v>0.94441365352927265</v>
      </c>
      <c r="W730" s="304">
        <f t="shared" ca="1" si="323"/>
        <v>6.485460974864675</v>
      </c>
      <c r="Y730" s="314" t="str">
        <f t="shared" ca="1" si="341"/>
        <v/>
      </c>
      <c r="Z730" s="315" t="str">
        <f t="shared" ca="1" si="342"/>
        <v/>
      </c>
      <c r="AA730" s="316" t="str">
        <f t="shared" ca="1" si="343"/>
        <v/>
      </c>
      <c r="AC730" s="310" t="e">
        <f t="shared" ca="1" si="344"/>
        <v>#N/A</v>
      </c>
      <c r="AD730" s="323" t="e">
        <f t="shared" ca="1" si="345"/>
        <v>#N/A</v>
      </c>
      <c r="AE730" s="324" t="e">
        <f t="shared" ca="1" si="324"/>
        <v>#N/A</v>
      </c>
      <c r="AG730" s="306">
        <f t="shared" ca="1" si="346"/>
        <v>8.5238803355543293</v>
      </c>
      <c r="AH730" s="304">
        <f t="shared" ca="1" si="347"/>
        <v>-0.68582105283773087</v>
      </c>
    </row>
    <row r="731" spans="1:34" x14ac:dyDescent="0.2">
      <c r="A731" s="347">
        <f t="shared" ca="1" si="325"/>
        <v>0.1</v>
      </c>
      <c r="B731" s="304">
        <f t="shared" ca="1" si="326"/>
        <v>27.700000000000063</v>
      </c>
      <c r="D731" s="306">
        <f t="shared" ca="1" si="327"/>
        <v>-0.24003629345397684</v>
      </c>
      <c r="E731" s="307">
        <f t="shared" ca="1" si="328"/>
        <v>-9.1420994012804062</v>
      </c>
      <c r="F731" s="304">
        <f t="shared" ca="1" si="329"/>
        <v>9.14525007230894</v>
      </c>
      <c r="G731" s="306">
        <f t="shared" ca="1" si="330"/>
        <v>17.213289223668806</v>
      </c>
      <c r="H731" s="307">
        <f t="shared" ca="1" si="331"/>
        <v>-48.876949454103134</v>
      </c>
      <c r="I731" s="304">
        <f t="shared" ca="1" si="332"/>
        <v>51.819431816999163</v>
      </c>
      <c r="J731" s="306">
        <f t="shared" ca="1" si="333"/>
        <v>571.36019442271311</v>
      </c>
      <c r="K731" s="307">
        <f t="shared" ca="1" si="334"/>
        <v>2581.9062460170994</v>
      </c>
      <c r="L731" s="304">
        <f t="shared" ca="1" si="319"/>
        <v>2644.3699315702543</v>
      </c>
      <c r="M731" s="306">
        <f t="shared" ca="1" si="335"/>
        <v>-1.2321842818926323</v>
      </c>
      <c r="N731" s="304">
        <f t="shared" ca="1" si="336"/>
        <v>-70.598958934805935</v>
      </c>
      <c r="P731" s="310">
        <f t="shared" ca="1" si="337"/>
        <v>23</v>
      </c>
      <c r="Q731" s="304">
        <f t="shared" ca="1" si="338"/>
        <v>0</v>
      </c>
      <c r="R731" s="306">
        <f t="shared" ca="1" si="339"/>
        <v>0</v>
      </c>
      <c r="S731" s="307">
        <f t="shared" ca="1" si="340"/>
        <v>9.137999999999975</v>
      </c>
      <c r="T731" s="304">
        <f t="shared" ca="1" si="320"/>
        <v>89.643779999999765</v>
      </c>
      <c r="U731" s="311">
        <f t="shared" ca="1" si="321"/>
        <v>0</v>
      </c>
      <c r="V731" s="306">
        <f t="shared" ca="1" si="322"/>
        <v>0.94487881652561601</v>
      </c>
      <c r="W731" s="304">
        <f t="shared" ca="1" si="323"/>
        <v>6.7077413771712893</v>
      </c>
      <c r="Y731" s="314" t="str">
        <f t="shared" ca="1" si="341"/>
        <v/>
      </c>
      <c r="Z731" s="315" t="str">
        <f t="shared" ca="1" si="342"/>
        <v/>
      </c>
      <c r="AA731" s="316" t="str">
        <f t="shared" ca="1" si="343"/>
        <v/>
      </c>
      <c r="AC731" s="310" t="e">
        <f t="shared" ca="1" si="344"/>
        <v>#N/A</v>
      </c>
      <c r="AD731" s="323" t="e">
        <f t="shared" ca="1" si="345"/>
        <v>#N/A</v>
      </c>
      <c r="AE731" s="324" t="e">
        <f t="shared" ca="1" si="324"/>
        <v>#N/A</v>
      </c>
      <c r="AG731" s="306">
        <f t="shared" ca="1" si="346"/>
        <v>8.5221767687725958</v>
      </c>
      <c r="AH731" s="304">
        <f t="shared" ca="1" si="347"/>
        <v>-0.70972433517888955</v>
      </c>
    </row>
    <row r="732" spans="1:34" x14ac:dyDescent="0.2">
      <c r="A732" s="347">
        <f t="shared" ca="1" si="325"/>
        <v>0.1</v>
      </c>
      <c r="B732" s="304">
        <f t="shared" ca="1" si="326"/>
        <v>27.800000000000065</v>
      </c>
      <c r="D732" s="306">
        <f t="shared" ca="1" si="327"/>
        <v>-0.24383518577494107</v>
      </c>
      <c r="E732" s="307">
        <f t="shared" ca="1" si="328"/>
        <v>-9.1176326148133207</v>
      </c>
      <c r="F732" s="304">
        <f t="shared" ca="1" si="329"/>
        <v>9.1208925054804535</v>
      </c>
      <c r="G732" s="306">
        <f t="shared" ca="1" si="330"/>
        <v>17.188905705091312</v>
      </c>
      <c r="H732" s="307">
        <f t="shared" ca="1" si="331"/>
        <v>-49.788712715584467</v>
      </c>
      <c r="I732" s="304">
        <f t="shared" ca="1" si="332"/>
        <v>52.672330432718873</v>
      </c>
      <c r="J732" s="306">
        <f t="shared" ca="1" si="333"/>
        <v>573.08030416915108</v>
      </c>
      <c r="K732" s="307">
        <f t="shared" ca="1" si="334"/>
        <v>2576.972962908615</v>
      </c>
      <c r="L732" s="304">
        <f t="shared" ca="1" si="319"/>
        <v>2639.9262653696624</v>
      </c>
      <c r="M732" s="306">
        <f t="shared" ca="1" si="335"/>
        <v>-1.2383710019254088</v>
      </c>
      <c r="N732" s="304">
        <f t="shared" ca="1" si="336"/>
        <v>-70.953431881713072</v>
      </c>
      <c r="P732" s="310">
        <f t="shared" ca="1" si="337"/>
        <v>23</v>
      </c>
      <c r="Q732" s="304">
        <f t="shared" ca="1" si="338"/>
        <v>0</v>
      </c>
      <c r="R732" s="306">
        <f t="shared" ca="1" si="339"/>
        <v>0</v>
      </c>
      <c r="S732" s="307">
        <f t="shared" ca="1" si="340"/>
        <v>9.137999999999975</v>
      </c>
      <c r="T732" s="304">
        <f t="shared" ca="1" si="320"/>
        <v>89.643779999999765</v>
      </c>
      <c r="U732" s="311">
        <f t="shared" ca="1" si="321"/>
        <v>0</v>
      </c>
      <c r="V732" s="306">
        <f t="shared" ca="1" si="322"/>
        <v>0.94535295566422484</v>
      </c>
      <c r="W732" s="304">
        <f t="shared" ca="1" si="323"/>
        <v>6.9338422562498705</v>
      </c>
      <c r="Y732" s="314" t="str">
        <f t="shared" ca="1" si="341"/>
        <v/>
      </c>
      <c r="Z732" s="315" t="str">
        <f t="shared" ca="1" si="342"/>
        <v/>
      </c>
      <c r="AA732" s="316" t="str">
        <f t="shared" ca="1" si="343"/>
        <v/>
      </c>
      <c r="AC732" s="310" t="e">
        <f t="shared" ca="1" si="344"/>
        <v>#N/A</v>
      </c>
      <c r="AD732" s="323" t="e">
        <f t="shared" ca="1" si="345"/>
        <v>#N/A</v>
      </c>
      <c r="AE732" s="324" t="e">
        <f t="shared" ca="1" si="324"/>
        <v>#N/A</v>
      </c>
      <c r="AG732" s="306">
        <f t="shared" ca="1" si="346"/>
        <v>8.5189058891774181</v>
      </c>
      <c r="AH732" s="304">
        <f t="shared" ca="1" si="347"/>
        <v>-0.73404917675326198</v>
      </c>
    </row>
    <row r="733" spans="1:34" x14ac:dyDescent="0.2">
      <c r="A733" s="347">
        <f t="shared" ca="1" si="325"/>
        <v>0.1</v>
      </c>
      <c r="B733" s="304">
        <f t="shared" ca="1" si="326"/>
        <v>27.900000000000066</v>
      </c>
      <c r="D733" s="306">
        <f t="shared" ca="1" si="327"/>
        <v>-0.24762158493637162</v>
      </c>
      <c r="E733" s="307">
        <f t="shared" ca="1" si="328"/>
        <v>-9.0927489913495219</v>
      </c>
      <c r="F733" s="304">
        <f t="shared" ca="1" si="329"/>
        <v>9.0961200887529046</v>
      </c>
      <c r="G733" s="306">
        <f t="shared" ca="1" si="330"/>
        <v>17.164143546597675</v>
      </c>
      <c r="H733" s="307">
        <f t="shared" ca="1" si="331"/>
        <v>-50.697987614719416</v>
      </c>
      <c r="I733" s="304">
        <f t="shared" ca="1" si="332"/>
        <v>53.524702445417233</v>
      </c>
      <c r="J733" s="306">
        <f t="shared" ca="1" si="333"/>
        <v>574.79795663173547</v>
      </c>
      <c r="K733" s="307">
        <f t="shared" ca="1" si="334"/>
        <v>2571.9486278920999</v>
      </c>
      <c r="L733" s="304">
        <f t="shared" ca="1" si="319"/>
        <v>2635.3960680444361</v>
      </c>
      <c r="M733" s="306">
        <f t="shared" ca="1" si="335"/>
        <v>-1.2443521290149668</v>
      </c>
      <c r="N733" s="304">
        <f t="shared" ca="1" si="336"/>
        <v>-71.296125220676103</v>
      </c>
      <c r="P733" s="310">
        <f t="shared" ca="1" si="337"/>
        <v>23</v>
      </c>
      <c r="Q733" s="304">
        <f t="shared" ca="1" si="338"/>
        <v>0</v>
      </c>
      <c r="R733" s="306">
        <f t="shared" ca="1" si="339"/>
        <v>0</v>
      </c>
      <c r="S733" s="307">
        <f t="shared" ca="1" si="340"/>
        <v>9.137999999999975</v>
      </c>
      <c r="T733" s="304">
        <f t="shared" ca="1" si="320"/>
        <v>89.643779999999765</v>
      </c>
      <c r="U733" s="311">
        <f t="shared" ca="1" si="321"/>
        <v>0</v>
      </c>
      <c r="V733" s="306">
        <f t="shared" ca="1" si="322"/>
        <v>0.94583605885274902</v>
      </c>
      <c r="W733" s="304">
        <f t="shared" ca="1" si="323"/>
        <v>7.1637313987315583</v>
      </c>
      <c r="Y733" s="314" t="str">
        <f t="shared" ca="1" si="341"/>
        <v/>
      </c>
      <c r="Z733" s="315" t="str">
        <f t="shared" ca="1" si="342"/>
        <v/>
      </c>
      <c r="AA733" s="316" t="str">
        <f t="shared" ca="1" si="343"/>
        <v/>
      </c>
      <c r="AC733" s="310" t="e">
        <f t="shared" ca="1" si="344"/>
        <v>#N/A</v>
      </c>
      <c r="AD733" s="323" t="e">
        <f t="shared" ca="1" si="345"/>
        <v>#N/A</v>
      </c>
      <c r="AE733" s="324" t="e">
        <f t="shared" ca="1" si="324"/>
        <v>#N/A</v>
      </c>
      <c r="AG733" s="306">
        <f t="shared" ca="1" si="346"/>
        <v>8.5141462237758123</v>
      </c>
      <c r="AH733" s="304">
        <f t="shared" ca="1" si="347"/>
        <v>-0.75879210508315709</v>
      </c>
    </row>
    <row r="734" spans="1:34" x14ac:dyDescent="0.2">
      <c r="A734" s="347">
        <f t="shared" ca="1" si="325"/>
        <v>0.1</v>
      </c>
      <c r="B734" s="304">
        <f t="shared" ca="1" si="326"/>
        <v>28.000000000000068</v>
      </c>
      <c r="D734" s="306">
        <f t="shared" ca="1" si="327"/>
        <v>-0.25139464147209639</v>
      </c>
      <c r="E734" s="307">
        <f t="shared" ca="1" si="328"/>
        <v>-9.0674518859529378</v>
      </c>
      <c r="F734" s="304">
        <f t="shared" ca="1" si="329"/>
        <v>9.070936168325316</v>
      </c>
      <c r="G734" s="306">
        <f t="shared" ca="1" si="330"/>
        <v>17.139004082450466</v>
      </c>
      <c r="H734" s="307">
        <f t="shared" ca="1" si="331"/>
        <v>-51.604732803314711</v>
      </c>
      <c r="I734" s="304">
        <f t="shared" ca="1" si="332"/>
        <v>54.376409486465349</v>
      </c>
      <c r="J734" s="306">
        <f t="shared" ca="1" si="333"/>
        <v>576.51311401318787</v>
      </c>
      <c r="K734" s="307">
        <f t="shared" ca="1" si="334"/>
        <v>2566.833491871198</v>
      </c>
      <c r="L734" s="304">
        <f t="shared" ca="1" si="319"/>
        <v>2630.7796459644564</v>
      </c>
      <c r="M734" s="306">
        <f t="shared" ca="1" si="335"/>
        <v>-1.2501374675726817</v>
      </c>
      <c r="N734" s="304">
        <f t="shared" ca="1" si="336"/>
        <v>-71.627600703087481</v>
      </c>
      <c r="P734" s="310">
        <f t="shared" ca="1" si="337"/>
        <v>23</v>
      </c>
      <c r="Q734" s="304">
        <f t="shared" ca="1" si="338"/>
        <v>0</v>
      </c>
      <c r="R734" s="306">
        <f t="shared" ca="1" si="339"/>
        <v>0</v>
      </c>
      <c r="S734" s="307">
        <f t="shared" ca="1" si="340"/>
        <v>9.137999999999975</v>
      </c>
      <c r="T734" s="304">
        <f t="shared" ca="1" si="320"/>
        <v>89.643779999999765</v>
      </c>
      <c r="U734" s="311">
        <f t="shared" ca="1" si="321"/>
        <v>0</v>
      </c>
      <c r="V734" s="306">
        <f t="shared" ca="1" si="322"/>
        <v>0.94632811378478499</v>
      </c>
      <c r="W734" s="304">
        <f t="shared" ca="1" si="323"/>
        <v>7.3973761170842742</v>
      </c>
      <c r="Y734" s="314" t="str">
        <f t="shared" ca="1" si="341"/>
        <v/>
      </c>
      <c r="Z734" s="315" t="str">
        <f t="shared" ca="1" si="342"/>
        <v/>
      </c>
      <c r="AA734" s="316" t="str">
        <f t="shared" ca="1" si="343"/>
        <v/>
      </c>
      <c r="AC734" s="310">
        <f t="shared" ca="1" si="344"/>
        <v>28.000000000000068</v>
      </c>
      <c r="AD734" s="323">
        <f t="shared" ca="1" si="345"/>
        <v>576.51311401318787</v>
      </c>
      <c r="AE734" s="324" t="e">
        <f t="shared" ca="1" si="324"/>
        <v>#N/A</v>
      </c>
      <c r="AG734" s="306">
        <f t="shared" ca="1" si="346"/>
        <v>8.5079705050658117</v>
      </c>
      <c r="AH734" s="304">
        <f t="shared" ca="1" si="347"/>
        <v>-0.78394959495858807</v>
      </c>
    </row>
    <row r="735" spans="1:34" x14ac:dyDescent="0.2">
      <c r="A735" s="347">
        <f t="shared" ca="1" si="325"/>
        <v>0.1</v>
      </c>
      <c r="B735" s="304">
        <f t="shared" ca="1" si="326"/>
        <v>28.100000000000069</v>
      </c>
      <c r="D735" s="306">
        <f t="shared" ca="1" si="327"/>
        <v>-0.25515354222988207</v>
      </c>
      <c r="E735" s="307">
        <f t="shared" ca="1" si="328"/>
        <v>-9.0417447205654824</v>
      </c>
      <c r="F735" s="304">
        <f t="shared" ca="1" si="329"/>
        <v>9.045344157188616</v>
      </c>
      <c r="G735" s="306">
        <f t="shared" ca="1" si="330"/>
        <v>17.113488728227477</v>
      </c>
      <c r="H735" s="307">
        <f t="shared" ca="1" si="331"/>
        <v>-52.508907275371257</v>
      </c>
      <c r="I735" s="304">
        <f t="shared" ca="1" si="332"/>
        <v>55.227319686045831</v>
      </c>
      <c r="J735" s="306">
        <f t="shared" ca="1" si="333"/>
        <v>578.22573865372181</v>
      </c>
      <c r="K735" s="307">
        <f t="shared" ca="1" si="334"/>
        <v>2561.6278098672637</v>
      </c>
      <c r="L735" s="304">
        <f t="shared" ca="1" si="319"/>
        <v>2626.0773105769367</v>
      </c>
      <c r="M735" s="306">
        <f t="shared" ca="1" si="335"/>
        <v>-1.2557362341933891</v>
      </c>
      <c r="N735" s="304">
        <f t="shared" ca="1" si="336"/>
        <v>-71.948386400932733</v>
      </c>
      <c r="P735" s="310">
        <f t="shared" ca="1" si="337"/>
        <v>23</v>
      </c>
      <c r="Q735" s="304">
        <f t="shared" ca="1" si="338"/>
        <v>0</v>
      </c>
      <c r="R735" s="306">
        <f t="shared" ca="1" si="339"/>
        <v>0</v>
      </c>
      <c r="S735" s="307">
        <f t="shared" ca="1" si="340"/>
        <v>9.137999999999975</v>
      </c>
      <c r="T735" s="304">
        <f t="shared" ca="1" si="320"/>
        <v>89.643779999999765</v>
      </c>
      <c r="U735" s="311">
        <f t="shared" ca="1" si="321"/>
        <v>0</v>
      </c>
      <c r="V735" s="306">
        <f t="shared" ca="1" si="322"/>
        <v>0.94682910794096131</v>
      </c>
      <c r="W735" s="304">
        <f t="shared" ca="1" si="323"/>
        <v>7.6347432574525014</v>
      </c>
      <c r="Y735" s="314" t="str">
        <f t="shared" ca="1" si="341"/>
        <v/>
      </c>
      <c r="Z735" s="315" t="str">
        <f t="shared" ca="1" si="342"/>
        <v/>
      </c>
      <c r="AA735" s="316" t="str">
        <f t="shared" ca="1" si="343"/>
        <v/>
      </c>
      <c r="AC735" s="310" t="e">
        <f t="shared" ca="1" si="344"/>
        <v>#N/A</v>
      </c>
      <c r="AD735" s="323" t="e">
        <f t="shared" ca="1" si="345"/>
        <v>#N/A</v>
      </c>
      <c r="AE735" s="324" t="e">
        <f t="shared" ca="1" si="324"/>
        <v>#N/A</v>
      </c>
      <c r="AG735" s="306">
        <f t="shared" ca="1" si="346"/>
        <v>8.5004461887775804</v>
      </c>
      <c r="AH735" s="304">
        <f t="shared" ca="1" si="347"/>
        <v>-0.80951806928039993</v>
      </c>
    </row>
    <row r="736" spans="1:34" x14ac:dyDescent="0.2">
      <c r="A736" s="347">
        <f t="shared" ca="1" si="325"/>
        <v>0.1</v>
      </c>
      <c r="B736" s="304">
        <f t="shared" ca="1" si="326"/>
        <v>28.20000000000007</v>
      </c>
      <c r="D736" s="306">
        <f t="shared" ca="1" si="327"/>
        <v>-0.25889750797313543</v>
      </c>
      <c r="E736" s="307">
        <f t="shared" ca="1" si="328"/>
        <v>-9.015630981743481</v>
      </c>
      <c r="F736" s="304">
        <f t="shared" ca="1" si="329"/>
        <v>9.0193475328655346</v>
      </c>
      <c r="G736" s="306">
        <f t="shared" ca="1" si="330"/>
        <v>17.087598977430162</v>
      </c>
      <c r="H736" s="307">
        <f t="shared" ca="1" si="331"/>
        <v>-53.410470373545607</v>
      </c>
      <c r="I736" s="304">
        <f t="shared" ca="1" si="332"/>
        <v>56.077307213674814</v>
      </c>
      <c r="J736" s="306">
        <f t="shared" ca="1" si="333"/>
        <v>579.93579303900469</v>
      </c>
      <c r="K736" s="307">
        <f t="shared" ca="1" si="334"/>
        <v>2556.331840984818</v>
      </c>
      <c r="L736" s="304">
        <f t="shared" ca="1" si="319"/>
        <v>2621.2893783938862</v>
      </c>
      <c r="M736" s="306">
        <f t="shared" ca="1" si="335"/>
        <v>-1.2611570989226846</v>
      </c>
      <c r="N736" s="304">
        <f t="shared" ca="1" si="336"/>
        <v>-72.258979071232687</v>
      </c>
      <c r="P736" s="310">
        <f t="shared" ca="1" si="337"/>
        <v>23</v>
      </c>
      <c r="Q736" s="304">
        <f t="shared" ca="1" si="338"/>
        <v>0</v>
      </c>
      <c r="R736" s="306">
        <f t="shared" ca="1" si="339"/>
        <v>0</v>
      </c>
      <c r="S736" s="307">
        <f t="shared" ca="1" si="340"/>
        <v>9.137999999999975</v>
      </c>
      <c r="T736" s="304">
        <f t="shared" ca="1" si="320"/>
        <v>89.643779999999765</v>
      </c>
      <c r="U736" s="311">
        <f t="shared" ca="1" si="321"/>
        <v>0</v>
      </c>
      <c r="V736" s="306">
        <f t="shared" ca="1" si="322"/>
        <v>0.94733902859006003</v>
      </c>
      <c r="W736" s="304">
        <f t="shared" ca="1" si="323"/>
        <v>7.8757992076267156</v>
      </c>
      <c r="Y736" s="314" t="str">
        <f t="shared" ca="1" si="341"/>
        <v/>
      </c>
      <c r="Z736" s="315" t="str">
        <f t="shared" ca="1" si="342"/>
        <v/>
      </c>
      <c r="AA736" s="316" t="str">
        <f t="shared" ca="1" si="343"/>
        <v/>
      </c>
      <c r="AC736" s="310" t="e">
        <f t="shared" ca="1" si="344"/>
        <v>#N/A</v>
      </c>
      <c r="AD736" s="323" t="e">
        <f t="shared" ca="1" si="345"/>
        <v>#N/A</v>
      </c>
      <c r="AE736" s="324" t="e">
        <f t="shared" ca="1" si="324"/>
        <v>#N/A</v>
      </c>
      <c r="AG736" s="306">
        <f t="shared" ca="1" si="346"/>
        <v>8.4916359209690579</v>
      </c>
      <c r="AH736" s="304">
        <f t="shared" ca="1" si="347"/>
        <v>-0.83549389991820111</v>
      </c>
    </row>
    <row r="737" spans="1:34" x14ac:dyDescent="0.2">
      <c r="A737" s="347">
        <f t="shared" ca="1" si="325"/>
        <v>0.1</v>
      </c>
      <c r="B737" s="304">
        <f t="shared" ca="1" si="326"/>
        <v>28.300000000000072</v>
      </c>
      <c r="D737" s="306">
        <f t="shared" ca="1" si="327"/>
        <v>-0.26262579119663826</v>
      </c>
      <c r="E737" s="307">
        <f t="shared" ca="1" si="328"/>
        <v>-8.9891142185298083</v>
      </c>
      <c r="F737" s="304">
        <f t="shared" ca="1" si="329"/>
        <v>8.9929498352863302</v>
      </c>
      <c r="G737" s="306">
        <f t="shared" ca="1" si="330"/>
        <v>17.061336398310498</v>
      </c>
      <c r="H737" s="307">
        <f t="shared" ca="1" si="331"/>
        <v>-54.309381795398586</v>
      </c>
      <c r="I737" s="304">
        <f t="shared" ca="1" si="332"/>
        <v>56.926251858827719</v>
      </c>
      <c r="J737" s="306">
        <f t="shared" ca="1" si="333"/>
        <v>581.6432398077917</v>
      </c>
      <c r="K737" s="307">
        <f t="shared" ca="1" si="334"/>
        <v>2550.9458483763706</v>
      </c>
      <c r="L737" s="304">
        <f t="shared" ca="1" si="319"/>
        <v>2616.4161709794462</v>
      </c>
      <c r="M737" s="306">
        <f t="shared" ca="1" si="335"/>
        <v>-1.2664082233060363</v>
      </c>
      <c r="N737" s="304">
        <f t="shared" ca="1" si="336"/>
        <v>-72.559846336096982</v>
      </c>
      <c r="P737" s="310">
        <f t="shared" ca="1" si="337"/>
        <v>23</v>
      </c>
      <c r="Q737" s="304">
        <f t="shared" ca="1" si="338"/>
        <v>0</v>
      </c>
      <c r="R737" s="306">
        <f t="shared" ca="1" si="339"/>
        <v>0</v>
      </c>
      <c r="S737" s="307">
        <f t="shared" ca="1" si="340"/>
        <v>9.137999999999975</v>
      </c>
      <c r="T737" s="304">
        <f t="shared" ca="1" si="320"/>
        <v>89.643779999999765</v>
      </c>
      <c r="U737" s="311">
        <f t="shared" ca="1" si="321"/>
        <v>0</v>
      </c>
      <c r="V737" s="306">
        <f t="shared" ca="1" si="322"/>
        <v>0.94785786279017281</v>
      </c>
      <c r="W737" s="304">
        <f t="shared" ca="1" si="323"/>
        <v>8.1205099051370038</v>
      </c>
      <c r="Y737" s="314" t="str">
        <f t="shared" ca="1" si="341"/>
        <v/>
      </c>
      <c r="Z737" s="315" t="str">
        <f t="shared" ca="1" si="342"/>
        <v/>
      </c>
      <c r="AA737" s="316" t="str">
        <f t="shared" ca="1" si="343"/>
        <v/>
      </c>
      <c r="AC737" s="310" t="e">
        <f t="shared" ca="1" si="344"/>
        <v>#N/A</v>
      </c>
      <c r="AD737" s="323" t="e">
        <f t="shared" ca="1" si="345"/>
        <v>#N/A</v>
      </c>
      <c r="AE737" s="324" t="e">
        <f t="shared" ca="1" si="324"/>
        <v>#N/A</v>
      </c>
      <c r="AG737" s="306">
        <f t="shared" ca="1" si="346"/>
        <v>8.4815979597558329</v>
      </c>
      <c r="AH737" s="304">
        <f t="shared" ca="1" si="347"/>
        <v>-0.86187340858248385</v>
      </c>
    </row>
    <row r="738" spans="1:34" x14ac:dyDescent="0.2">
      <c r="A738" s="347">
        <f t="shared" ca="1" si="325"/>
        <v>0.1</v>
      </c>
      <c r="B738" s="304">
        <f t="shared" ca="1" si="326"/>
        <v>28.400000000000073</v>
      </c>
      <c r="D738" s="306">
        <f t="shared" ca="1" si="327"/>
        <v>-0.26633767413545528</v>
      </c>
      <c r="E738" s="307">
        <f t="shared" ca="1" si="328"/>
        <v>-8.9621980404446369</v>
      </c>
      <c r="F738" s="304">
        <f t="shared" ca="1" si="329"/>
        <v>8.9661546647832022</v>
      </c>
      <c r="G738" s="306">
        <f t="shared" ca="1" si="330"/>
        <v>17.034702630896952</v>
      </c>
      <c r="H738" s="307">
        <f t="shared" ca="1" si="331"/>
        <v>-55.20560159944305</v>
      </c>
      <c r="I738" s="304">
        <f t="shared" ca="1" si="332"/>
        <v>57.774038647817555</v>
      </c>
      <c r="J738" s="306">
        <f t="shared" ca="1" si="333"/>
        <v>583.34804175925206</v>
      </c>
      <c r="K738" s="307">
        <f t="shared" ca="1" si="334"/>
        <v>2545.4700992066287</v>
      </c>
      <c r="L738" s="304">
        <f t="shared" ca="1" si="319"/>
        <v>2611.4580149371268</v>
      </c>
      <c r="M738" s="306">
        <f t="shared" ca="1" si="335"/>
        <v>-1.2714972954842161</v>
      </c>
      <c r="N738" s="304">
        <f t="shared" ca="1" si="336"/>
        <v>-72.851428693544122</v>
      </c>
      <c r="P738" s="310">
        <f t="shared" ca="1" si="337"/>
        <v>23</v>
      </c>
      <c r="Q738" s="304">
        <f t="shared" ca="1" si="338"/>
        <v>0</v>
      </c>
      <c r="R738" s="306">
        <f t="shared" ca="1" si="339"/>
        <v>0</v>
      </c>
      <c r="S738" s="307">
        <f t="shared" ca="1" si="340"/>
        <v>9.137999999999975</v>
      </c>
      <c r="T738" s="304">
        <f t="shared" ca="1" si="320"/>
        <v>89.643779999999765</v>
      </c>
      <c r="U738" s="311">
        <f t="shared" ca="1" si="321"/>
        <v>0</v>
      </c>
      <c r="V738" s="306">
        <f t="shared" ca="1" si="322"/>
        <v>0.94838559738988559</v>
      </c>
      <c r="W738" s="304">
        <f t="shared" ca="1" si="323"/>
        <v>8.3688408454656358</v>
      </c>
      <c r="Y738" s="314" t="str">
        <f t="shared" ca="1" si="341"/>
        <v/>
      </c>
      <c r="Z738" s="315" t="str">
        <f t="shared" ca="1" si="342"/>
        <v/>
      </c>
      <c r="AA738" s="316" t="str">
        <f t="shared" ca="1" si="343"/>
        <v/>
      </c>
      <c r="AC738" s="310" t="e">
        <f t="shared" ca="1" si="344"/>
        <v>#N/A</v>
      </c>
      <c r="AD738" s="323" t="e">
        <f t="shared" ca="1" si="345"/>
        <v>#N/A</v>
      </c>
      <c r="AE738" s="324" t="e">
        <f t="shared" ca="1" si="324"/>
        <v>#N/A</v>
      </c>
      <c r="AG738" s="306">
        <f t="shared" ca="1" si="346"/>
        <v>8.4703865563869556</v>
      </c>
      <c r="AH738" s="304">
        <f t="shared" ca="1" si="347"/>
        <v>-0.88865286771033336</v>
      </c>
    </row>
    <row r="739" spans="1:34" x14ac:dyDescent="0.2">
      <c r="A739" s="347">
        <f t="shared" ca="1" si="325"/>
        <v>0.1</v>
      </c>
      <c r="B739" s="304">
        <f t="shared" ca="1" si="326"/>
        <v>28.500000000000075</v>
      </c>
      <c r="D739" s="306">
        <f t="shared" ca="1" si="327"/>
        <v>-0.27003246694833116</v>
      </c>
      <c r="E739" s="307">
        <f t="shared" ca="1" si="328"/>
        <v>-8.9348861155799693</v>
      </c>
      <c r="F739" s="304">
        <f t="shared" ca="1" si="329"/>
        <v>8.9389656801886161</v>
      </c>
      <c r="G739" s="306">
        <f t="shared" ca="1" si="330"/>
        <v>17.00769938420212</v>
      </c>
      <c r="H739" s="307">
        <f t="shared" ca="1" si="331"/>
        <v>-56.099090211001048</v>
      </c>
      <c r="I739" s="304">
        <f t="shared" ca="1" si="332"/>
        <v>58.620557493471715</v>
      </c>
      <c r="J739" s="306">
        <f t="shared" ca="1" si="333"/>
        <v>585.05016186000705</v>
      </c>
      <c r="K739" s="307">
        <f t="shared" ca="1" si="334"/>
        <v>2539.9048646161064</v>
      </c>
      <c r="L739" s="304">
        <f t="shared" ca="1" si="319"/>
        <v>2606.4152418969975</v>
      </c>
      <c r="M739" s="306">
        <f t="shared" ca="1" si="335"/>
        <v>-1.2764315625783729</v>
      </c>
      <c r="N739" s="304">
        <f t="shared" ca="1" si="336"/>
        <v>-73.134141373029593</v>
      </c>
      <c r="P739" s="310">
        <f t="shared" ca="1" si="337"/>
        <v>23</v>
      </c>
      <c r="Q739" s="304">
        <f t="shared" ca="1" si="338"/>
        <v>0</v>
      </c>
      <c r="R739" s="306">
        <f t="shared" ca="1" si="339"/>
        <v>0</v>
      </c>
      <c r="S739" s="307">
        <f t="shared" ca="1" si="340"/>
        <v>9.137999999999975</v>
      </c>
      <c r="T739" s="304">
        <f t="shared" ca="1" si="320"/>
        <v>89.643779999999765</v>
      </c>
      <c r="U739" s="311">
        <f t="shared" ca="1" si="321"/>
        <v>0</v>
      </c>
      <c r="V739" s="306">
        <f t="shared" ca="1" si="322"/>
        <v>0.94892221902949714</v>
      </c>
      <c r="W739" s="304">
        <f t="shared" ca="1" si="323"/>
        <v>8.6207570903736723</v>
      </c>
      <c r="Y739" s="314" t="str">
        <f t="shared" ca="1" si="341"/>
        <v/>
      </c>
      <c r="Z739" s="315" t="str">
        <f t="shared" ca="1" si="342"/>
        <v/>
      </c>
      <c r="AA739" s="316" t="str">
        <f t="shared" ca="1" si="343"/>
        <v/>
      </c>
      <c r="AC739" s="310" t="e">
        <f t="shared" ca="1" si="344"/>
        <v>#N/A</v>
      </c>
      <c r="AD739" s="323" t="e">
        <f t="shared" ca="1" si="345"/>
        <v>#N/A</v>
      </c>
      <c r="AE739" s="324" t="e">
        <f t="shared" ca="1" si="324"/>
        <v>#N/A</v>
      </c>
      <c r="AG739" s="306">
        <f t="shared" ca="1" si="346"/>
        <v>8.458052299869987</v>
      </c>
      <c r="AH739" s="304">
        <f t="shared" ca="1" si="347"/>
        <v>-0.91582850136415617</v>
      </c>
    </row>
    <row r="740" spans="1:34" x14ac:dyDescent="0.2">
      <c r="A740" s="347">
        <f t="shared" ca="1" si="325"/>
        <v>0.1</v>
      </c>
      <c r="B740" s="304">
        <f t="shared" ca="1" si="326"/>
        <v>28.600000000000076</v>
      </c>
      <c r="D740" s="306">
        <f t="shared" ca="1" si="327"/>
        <v>-0.27370950605882016</v>
      </c>
      <c r="E740" s="307">
        <f t="shared" ca="1" si="328"/>
        <v>-8.9071821687849866</v>
      </c>
      <c r="F740" s="304">
        <f t="shared" ca="1" si="329"/>
        <v>8.9113865970245172</v>
      </c>
      <c r="G740" s="306">
        <f t="shared" ca="1" si="330"/>
        <v>16.980328433596238</v>
      </c>
      <c r="H740" s="307">
        <f t="shared" ca="1" si="331"/>
        <v>-56.989808427879545</v>
      </c>
      <c r="I740" s="304">
        <f t="shared" ca="1" si="332"/>
        <v>59.465702874507485</v>
      </c>
      <c r="J740" s="306">
        <f t="shared" ca="1" si="333"/>
        <v>586.74956325089693</v>
      </c>
      <c r="K740" s="307">
        <f t="shared" ca="1" si="334"/>
        <v>2534.2504196841624</v>
      </c>
      <c r="L740" s="304">
        <f t="shared" ca="1" si="319"/>
        <v>2601.2881885028564</v>
      </c>
      <c r="M740" s="306">
        <f t="shared" ca="1" si="335"/>
        <v>-1.2812178605882163</v>
      </c>
      <c r="N740" s="304">
        <f t="shared" ca="1" si="336"/>
        <v>-73.408376048485493</v>
      </c>
      <c r="P740" s="310">
        <f t="shared" ca="1" si="337"/>
        <v>23</v>
      </c>
      <c r="Q740" s="304">
        <f t="shared" ca="1" si="338"/>
        <v>0</v>
      </c>
      <c r="R740" s="306">
        <f t="shared" ca="1" si="339"/>
        <v>0</v>
      </c>
      <c r="S740" s="307">
        <f t="shared" ca="1" si="340"/>
        <v>9.137999999999975</v>
      </c>
      <c r="T740" s="304">
        <f t="shared" ca="1" si="320"/>
        <v>89.643779999999765</v>
      </c>
      <c r="U740" s="311">
        <f t="shared" ca="1" si="321"/>
        <v>0</v>
      </c>
      <c r="V740" s="306">
        <f t="shared" ca="1" si="322"/>
        <v>0.94946771414226527</v>
      </c>
      <c r="W740" s="304">
        <f t="shared" ca="1" si="323"/>
        <v>8.8762232763366793</v>
      </c>
      <c r="Y740" s="314" t="str">
        <f t="shared" ca="1" si="341"/>
        <v/>
      </c>
      <c r="Z740" s="315" t="str">
        <f t="shared" ca="1" si="342"/>
        <v/>
      </c>
      <c r="AA740" s="316" t="str">
        <f t="shared" ca="1" si="343"/>
        <v/>
      </c>
      <c r="AC740" s="310" t="e">
        <f t="shared" ca="1" si="344"/>
        <v>#N/A</v>
      </c>
      <c r="AD740" s="323" t="e">
        <f t="shared" ca="1" si="345"/>
        <v>#N/A</v>
      </c>
      <c r="AE740" s="324" t="e">
        <f t="shared" ca="1" si="324"/>
        <v>#N/A</v>
      </c>
      <c r="AG740" s="306">
        <f t="shared" ca="1" si="346"/>
        <v>8.4446424288948663</v>
      </c>
      <c r="AH740" s="304">
        <f t="shared" ca="1" si="347"/>
        <v>-0.9433964861428864</v>
      </c>
    </row>
    <row r="741" spans="1:34" x14ac:dyDescent="0.2">
      <c r="A741" s="347">
        <f t="shared" ca="1" si="325"/>
        <v>0.1</v>
      </c>
      <c r="B741" s="304">
        <f t="shared" ca="1" si="326"/>
        <v>28.700000000000077</v>
      </c>
      <c r="D741" s="306">
        <f t="shared" ca="1" si="327"/>
        <v>-0.27736815263911141</v>
      </c>
      <c r="E741" s="307">
        <f t="shared" ca="1" si="328"/>
        <v>-8.8790899799309706</v>
      </c>
      <c r="F741" s="304">
        <f t="shared" ca="1" si="329"/>
        <v>8.8834211857712226</v>
      </c>
      <c r="G741" s="306">
        <f t="shared" ca="1" si="330"/>
        <v>16.952591618332328</v>
      </c>
      <c r="H741" s="307">
        <f t="shared" ca="1" si="331"/>
        <v>-57.877717425872639</v>
      </c>
      <c r="I741" s="304">
        <f t="shared" ca="1" si="332"/>
        <v>60.309373541822772</v>
      </c>
      <c r="J741" s="306">
        <f t="shared" ca="1" si="333"/>
        <v>588.44620925349341</v>
      </c>
      <c r="K741" s="307">
        <f t="shared" ca="1" si="334"/>
        <v>2528.5070433914748</v>
      </c>
      <c r="L741" s="304">
        <f t="shared" ca="1" si="319"/>
        <v>2596.0771963994262</v>
      </c>
      <c r="M741" s="306">
        <f t="shared" ca="1" si="335"/>
        <v>-1.2858626420082842</v>
      </c>
      <c r="N741" s="304">
        <f t="shared" ca="1" si="336"/>
        <v>-73.67450242061615</v>
      </c>
      <c r="P741" s="310">
        <f t="shared" ca="1" si="337"/>
        <v>23</v>
      </c>
      <c r="Q741" s="304">
        <f t="shared" ca="1" si="338"/>
        <v>0</v>
      </c>
      <c r="R741" s="306">
        <f t="shared" ca="1" si="339"/>
        <v>0</v>
      </c>
      <c r="S741" s="307">
        <f t="shared" ca="1" si="340"/>
        <v>9.137999999999975</v>
      </c>
      <c r="T741" s="304">
        <f t="shared" ca="1" si="320"/>
        <v>89.643779999999765</v>
      </c>
      <c r="U741" s="311">
        <f t="shared" ca="1" si="321"/>
        <v>0</v>
      </c>
      <c r="V741" s="306">
        <f t="shared" ca="1" si="322"/>
        <v>0.95002206895568309</v>
      </c>
      <c r="W741" s="304">
        <f t="shared" ca="1" si="323"/>
        <v>9.1352036230849674</v>
      </c>
      <c r="Y741" s="314" t="str">
        <f t="shared" ca="1" si="341"/>
        <v/>
      </c>
      <c r="Z741" s="315" t="str">
        <f t="shared" ca="1" si="342"/>
        <v/>
      </c>
      <c r="AA741" s="316" t="str">
        <f t="shared" ca="1" si="343"/>
        <v/>
      </c>
      <c r="AC741" s="310" t="e">
        <f t="shared" ca="1" si="344"/>
        <v>#N/A</v>
      </c>
      <c r="AD741" s="323" t="e">
        <f t="shared" ca="1" si="345"/>
        <v>#N/A</v>
      </c>
      <c r="AE741" s="324" t="e">
        <f t="shared" ca="1" si="324"/>
        <v>#N/A</v>
      </c>
      <c r="AG741" s="306">
        <f t="shared" ca="1" si="346"/>
        <v>8.4302011144014575</v>
      </c>
      <c r="AH741" s="304">
        <f t="shared" ca="1" si="347"/>
        <v>-0.97135295210513284</v>
      </c>
    </row>
    <row r="742" spans="1:34" x14ac:dyDescent="0.2">
      <c r="A742" s="347">
        <f t="shared" ca="1" si="325"/>
        <v>0.1</v>
      </c>
      <c r="B742" s="304">
        <f t="shared" ca="1" si="326"/>
        <v>28.800000000000079</v>
      </c>
      <c r="D742" s="306">
        <f t="shared" ca="1" si="327"/>
        <v>-0.28100779122305353</v>
      </c>
      <c r="E742" s="307">
        <f t="shared" ca="1" si="328"/>
        <v>-8.85061338224601</v>
      </c>
      <c r="F742" s="304">
        <f t="shared" ca="1" si="329"/>
        <v>8.8550732702061943</v>
      </c>
      <c r="G742" s="306">
        <f t="shared" ca="1" si="330"/>
        <v>16.924490839210023</v>
      </c>
      <c r="H742" s="307">
        <f t="shared" ca="1" si="331"/>
        <v>-58.762778764097241</v>
      </c>
      <c r="I742" s="304">
        <f t="shared" ca="1" si="332"/>
        <v>61.151472249200523</v>
      </c>
      <c r="J742" s="306">
        <f t="shared" ca="1" si="333"/>
        <v>590.14006337637056</v>
      </c>
      <c r="K742" s="307">
        <f t="shared" ca="1" si="334"/>
        <v>2522.6750185819765</v>
      </c>
      <c r="L742" s="304">
        <f t="shared" ca="1" si="319"/>
        <v>2590.7826122196052</v>
      </c>
      <c r="M742" s="306">
        <f t="shared" ca="1" si="335"/>
        <v>-1.2903720013501236</v>
      </c>
      <c r="N742" s="304">
        <f t="shared" ca="1" si="336"/>
        <v>-73.93286967921145</v>
      </c>
      <c r="P742" s="310">
        <f t="shared" ca="1" si="337"/>
        <v>23</v>
      </c>
      <c r="Q742" s="304">
        <f t="shared" ca="1" si="338"/>
        <v>0</v>
      </c>
      <c r="R742" s="306">
        <f t="shared" ca="1" si="339"/>
        <v>0</v>
      </c>
      <c r="S742" s="307">
        <f t="shared" ca="1" si="340"/>
        <v>9.137999999999975</v>
      </c>
      <c r="T742" s="304">
        <f t="shared" ca="1" si="320"/>
        <v>89.643779999999765</v>
      </c>
      <c r="U742" s="311">
        <f t="shared" ca="1" si="321"/>
        <v>0</v>
      </c>
      <c r="V742" s="306">
        <f t="shared" ca="1" si="322"/>
        <v>0.95058526949278122</v>
      </c>
      <c r="W742" s="304">
        <f t="shared" ca="1" si="323"/>
        <v>9.3976619422437384</v>
      </c>
      <c r="Y742" s="314" t="str">
        <f t="shared" ca="1" si="341"/>
        <v/>
      </c>
      <c r="Z742" s="315" t="str">
        <f t="shared" ca="1" si="342"/>
        <v/>
      </c>
      <c r="AA742" s="316" t="str">
        <f t="shared" ca="1" si="343"/>
        <v/>
      </c>
      <c r="AC742" s="310" t="e">
        <f t="shared" ca="1" si="344"/>
        <v>#N/A</v>
      </c>
      <c r="AD742" s="323" t="e">
        <f t="shared" ca="1" si="345"/>
        <v>#N/A</v>
      </c>
      <c r="AE742" s="324" t="e">
        <f t="shared" ca="1" si="324"/>
        <v>#N/A</v>
      </c>
      <c r="AG742" s="306">
        <f t="shared" ca="1" si="346"/>
        <v>8.4147697157752503</v>
      </c>
      <c r="AH742" s="304">
        <f t="shared" ca="1" si="347"/>
        <v>-0.99969398370376361</v>
      </c>
    </row>
    <row r="743" spans="1:34" x14ac:dyDescent="0.2">
      <c r="A743" s="347">
        <f t="shared" ca="1" si="325"/>
        <v>0.1</v>
      </c>
      <c r="B743" s="304">
        <f t="shared" ca="1" si="326"/>
        <v>28.90000000000008</v>
      </c>
      <c r="D743" s="306">
        <f t="shared" ca="1" si="327"/>
        <v>-0.28462782843624918</v>
      </c>
      <c r="E743" s="307">
        <f t="shared" ca="1" si="328"/>
        <v>-8.8217562607109183</v>
      </c>
      <c r="F743" s="304">
        <f t="shared" ca="1" si="329"/>
        <v>8.8263467258040915</v>
      </c>
      <c r="G743" s="306">
        <f t="shared" ca="1" si="330"/>
        <v>16.896028056366397</v>
      </c>
      <c r="H743" s="307">
        <f t="shared" ca="1" si="331"/>
        <v>-59.64495439016833</v>
      </c>
      <c r="I743" s="304">
        <f t="shared" ca="1" si="332"/>
        <v>61.991905506177019</v>
      </c>
      <c r="J743" s="306">
        <f t="shared" ca="1" si="333"/>
        <v>591.83108932114942</v>
      </c>
      <c r="K743" s="307">
        <f t="shared" ca="1" si="334"/>
        <v>2516.7546319242633</v>
      </c>
      <c r="L743" s="304">
        <f t="shared" ca="1" si="319"/>
        <v>2585.4047875718211</v>
      </c>
      <c r="M743" s="306">
        <f t="shared" ca="1" si="335"/>
        <v>-1.2947516987423699</v>
      </c>
      <c r="N743" s="304">
        <f t="shared" ca="1" si="336"/>
        <v>-74.183807855331622</v>
      </c>
      <c r="P743" s="310">
        <f t="shared" ca="1" si="337"/>
        <v>23</v>
      </c>
      <c r="Q743" s="304">
        <f t="shared" ca="1" si="338"/>
        <v>0</v>
      </c>
      <c r="R743" s="306">
        <f t="shared" ca="1" si="339"/>
        <v>0</v>
      </c>
      <c r="S743" s="307">
        <f t="shared" ca="1" si="340"/>
        <v>9.137999999999975</v>
      </c>
      <c r="T743" s="304">
        <f t="shared" ca="1" si="320"/>
        <v>89.643779999999765</v>
      </c>
      <c r="U743" s="311">
        <f t="shared" ca="1" si="321"/>
        <v>0</v>
      </c>
      <c r="V743" s="306">
        <f t="shared" ca="1" si="322"/>
        <v>0.95115730157345946</v>
      </c>
      <c r="W743" s="304">
        <f t="shared" ca="1" si="323"/>
        <v>9.6635616460687555</v>
      </c>
      <c r="Y743" s="314" t="str">
        <f t="shared" ca="1" si="341"/>
        <v/>
      </c>
      <c r="Z743" s="315" t="str">
        <f t="shared" ca="1" si="342"/>
        <v/>
      </c>
      <c r="AA743" s="316" t="str">
        <f t="shared" ca="1" si="343"/>
        <v/>
      </c>
      <c r="AC743" s="310" t="e">
        <f t="shared" ca="1" si="344"/>
        <v>#N/A</v>
      </c>
      <c r="AD743" s="323" t="e">
        <f t="shared" ca="1" si="345"/>
        <v>#N/A</v>
      </c>
      <c r="AE743" s="324" t="e">
        <f t="shared" ca="1" si="324"/>
        <v>#N/A</v>
      </c>
      <c r="AG743" s="306">
        <f t="shared" ca="1" si="346"/>
        <v>8.3983870133348439</v>
      </c>
      <c r="AH743" s="304">
        <f t="shared" ca="1" si="347"/>
        <v>-1.0284156207314252</v>
      </c>
    </row>
    <row r="744" spans="1:34" x14ac:dyDescent="0.2">
      <c r="A744" s="347">
        <f t="shared" ca="1" si="325"/>
        <v>0.1</v>
      </c>
      <c r="B744" s="304">
        <f t="shared" ca="1" si="326"/>
        <v>29.000000000000082</v>
      </c>
      <c r="D744" s="306">
        <f t="shared" ca="1" si="327"/>
        <v>-0.28822769183231328</v>
      </c>
      <c r="E744" s="307">
        <f t="shared" ca="1" si="328"/>
        <v>-8.7925225505088953</v>
      </c>
      <c r="F744" s="304">
        <f t="shared" ca="1" si="329"/>
        <v>8.7972454781906837</v>
      </c>
      <c r="G744" s="306">
        <f t="shared" ca="1" si="330"/>
        <v>16.867205287183165</v>
      </c>
      <c r="H744" s="307">
        <f t="shared" ca="1" si="331"/>
        <v>-60.524206645219216</v>
      </c>
      <c r="I744" s="304">
        <f t="shared" ca="1" si="332"/>
        <v>62.830583351049491</v>
      </c>
      <c r="J744" s="306">
        <f t="shared" ca="1" si="333"/>
        <v>593.51925098832692</v>
      </c>
      <c r="K744" s="307">
        <f t="shared" ca="1" si="334"/>
        <v>2510.7461738724937</v>
      </c>
      <c r="L744" s="304">
        <f t="shared" ca="1" si="319"/>
        <v>2579.9440790275107</v>
      </c>
      <c r="M744" s="306">
        <f t="shared" ca="1" si="335"/>
        <v>-1.2990071817661135</v>
      </c>
      <c r="N744" s="304">
        <f t="shared" ca="1" si="336"/>
        <v>-74.427629072381691</v>
      </c>
      <c r="P744" s="310">
        <f t="shared" ca="1" si="337"/>
        <v>23</v>
      </c>
      <c r="Q744" s="304">
        <f t="shared" ca="1" si="338"/>
        <v>0</v>
      </c>
      <c r="R744" s="306">
        <f t="shared" ca="1" si="339"/>
        <v>0</v>
      </c>
      <c r="S744" s="307">
        <f t="shared" ca="1" si="340"/>
        <v>9.137999999999975</v>
      </c>
      <c r="T744" s="304">
        <f t="shared" ca="1" si="320"/>
        <v>89.643779999999765</v>
      </c>
      <c r="U744" s="311">
        <f t="shared" ca="1" si="321"/>
        <v>0</v>
      </c>
      <c r="V744" s="306">
        <f t="shared" ca="1" si="322"/>
        <v>0.95173815081584212</v>
      </c>
      <c r="W744" s="304">
        <f t="shared" ca="1" si="323"/>
        <v>9.9328657562731912</v>
      </c>
      <c r="Y744" s="314" t="str">
        <f t="shared" ca="1" si="341"/>
        <v/>
      </c>
      <c r="Z744" s="315" t="str">
        <f t="shared" ca="1" si="342"/>
        <v/>
      </c>
      <c r="AA744" s="316" t="str">
        <f t="shared" ca="1" si="343"/>
        <v/>
      </c>
      <c r="AC744" s="310">
        <f t="shared" ca="1" si="344"/>
        <v>29.000000000000082</v>
      </c>
      <c r="AD744" s="323">
        <f t="shared" ca="1" si="345"/>
        <v>593.51925098832692</v>
      </c>
      <c r="AE744" s="324" t="e">
        <f t="shared" ca="1" si="324"/>
        <v>#N/A</v>
      </c>
      <c r="AG744" s="306">
        <f t="shared" ca="1" si="346"/>
        <v>8.3810894194894381</v>
      </c>
      <c r="AH744" s="304">
        <f t="shared" ca="1" si="347"/>
        <v>-1.0575138592765136</v>
      </c>
    </row>
    <row r="745" spans="1:34" x14ac:dyDescent="0.2">
      <c r="A745" s="347">
        <f t="shared" ca="1" si="325"/>
        <v>0.1</v>
      </c>
      <c r="B745" s="304">
        <f t="shared" ca="1" si="326"/>
        <v>29.100000000000083</v>
      </c>
      <c r="D745" s="306">
        <f t="shared" ca="1" si="327"/>
        <v>-0.2918068288254832</v>
      </c>
      <c r="E745" s="307">
        <f t="shared" ca="1" si="328"/>
        <v>-8.7629162355224341</v>
      </c>
      <c r="F745" s="304">
        <f t="shared" ca="1" si="329"/>
        <v>8.7677735016440668</v>
      </c>
      <c r="G745" s="306">
        <f t="shared" ca="1" si="330"/>
        <v>16.838024604300617</v>
      </c>
      <c r="H745" s="307">
        <f t="shared" ca="1" si="331"/>
        <v>-61.400498268771457</v>
      </c>
      <c r="I745" s="304">
        <f t="shared" ca="1" si="332"/>
        <v>63.667419142198938</v>
      </c>
      <c r="J745" s="306">
        <f t="shared" ca="1" si="333"/>
        <v>595.20451248290112</v>
      </c>
      <c r="K745" s="307">
        <f t="shared" ca="1" si="334"/>
        <v>2504.6499386267942</v>
      </c>
      <c r="L745" s="304">
        <f t="shared" ca="1" si="319"/>
        <v>2574.4008481087812</v>
      </c>
      <c r="M745" s="306">
        <f t="shared" ca="1" si="335"/>
        <v>-1.3031436056695347</v>
      </c>
      <c r="N745" s="304">
        <f t="shared" ca="1" si="336"/>
        <v>-74.664628704324755</v>
      </c>
      <c r="P745" s="310">
        <f t="shared" ca="1" si="337"/>
        <v>23</v>
      </c>
      <c r="Q745" s="304">
        <f t="shared" ca="1" si="338"/>
        <v>0</v>
      </c>
      <c r="R745" s="306">
        <f t="shared" ca="1" si="339"/>
        <v>0</v>
      </c>
      <c r="S745" s="307">
        <f t="shared" ca="1" si="340"/>
        <v>9.137999999999975</v>
      </c>
      <c r="T745" s="304">
        <f t="shared" ca="1" si="320"/>
        <v>89.643779999999765</v>
      </c>
      <c r="U745" s="311">
        <f t="shared" ca="1" si="321"/>
        <v>0</v>
      </c>
      <c r="V745" s="306">
        <f t="shared" ca="1" si="322"/>
        <v>0.95232780263765882</v>
      </c>
      <c r="W745" s="304">
        <f t="shared" ca="1" si="323"/>
        <v>10.205536912941398</v>
      </c>
      <c r="Y745" s="314" t="str">
        <f t="shared" ca="1" si="341"/>
        <v/>
      </c>
      <c r="Z745" s="315" t="str">
        <f t="shared" ca="1" si="342"/>
        <v/>
      </c>
      <c r="AA745" s="316" t="str">
        <f t="shared" ca="1" si="343"/>
        <v/>
      </c>
      <c r="AC745" s="310" t="e">
        <f t="shared" ca="1" si="344"/>
        <v>#N/A</v>
      </c>
      <c r="AD745" s="323" t="e">
        <f t="shared" ca="1" si="345"/>
        <v>#N/A</v>
      </c>
      <c r="AE745" s="324" t="e">
        <f t="shared" ca="1" si="324"/>
        <v>#N/A</v>
      </c>
      <c r="AG745" s="306">
        <f t="shared" ca="1" si="346"/>
        <v>8.3629111706907011</v>
      </c>
      <c r="AH745" s="304">
        <f t="shared" ca="1" si="347"/>
        <v>-1.0869846526891243</v>
      </c>
    </row>
    <row r="746" spans="1:34" x14ac:dyDescent="0.2">
      <c r="A746" s="347">
        <f t="shared" ca="1" si="325"/>
        <v>0.1</v>
      </c>
      <c r="B746" s="304">
        <f t="shared" ca="1" si="326"/>
        <v>29.200000000000085</v>
      </c>
      <c r="D746" s="306">
        <f t="shared" ca="1" si="327"/>
        <v>-0.29536470571073908</v>
      </c>
      <c r="E746" s="307">
        <f t="shared" ca="1" si="328"/>
        <v>-8.7329413468717458</v>
      </c>
      <c r="F746" s="304">
        <f t="shared" ca="1" si="329"/>
        <v>8.7379348176375</v>
      </c>
      <c r="G746" s="306">
        <f t="shared" ca="1" si="330"/>
        <v>16.808488133729544</v>
      </c>
      <c r="H746" s="307">
        <f t="shared" ca="1" si="331"/>
        <v>-62.273792403458629</v>
      </c>
      <c r="I746" s="304">
        <f t="shared" ca="1" si="332"/>
        <v>64.502329366084055</v>
      </c>
      <c r="J746" s="306">
        <f t="shared" ca="1" si="333"/>
        <v>596.88683811980263</v>
      </c>
      <c r="K746" s="307">
        <f t="shared" ca="1" si="334"/>
        <v>2498.4662240931825</v>
      </c>
      <c r="L746" s="304">
        <f t="shared" ca="1" si="319"/>
        <v>2568.7754612762674</v>
      </c>
      <c r="M746" s="306">
        <f t="shared" ca="1" si="335"/>
        <v>-1.3071658520934795</v>
      </c>
      <c r="N746" s="304">
        <f t="shared" ca="1" si="336"/>
        <v>-74.895086448578382</v>
      </c>
      <c r="P746" s="310">
        <f t="shared" ca="1" si="337"/>
        <v>23</v>
      </c>
      <c r="Q746" s="304">
        <f t="shared" ca="1" si="338"/>
        <v>0</v>
      </c>
      <c r="R746" s="306">
        <f t="shared" ca="1" si="339"/>
        <v>0</v>
      </c>
      <c r="S746" s="307">
        <f t="shared" ca="1" si="340"/>
        <v>9.137999999999975</v>
      </c>
      <c r="T746" s="304">
        <f t="shared" ca="1" si="320"/>
        <v>89.643779999999765</v>
      </c>
      <c r="U746" s="311">
        <f t="shared" ca="1" si="321"/>
        <v>0</v>
      </c>
      <c r="V746" s="306">
        <f t="shared" ca="1" si="322"/>
        <v>0.95292624225765343</v>
      </c>
      <c r="W746" s="304">
        <f t="shared" ca="1" si="323"/>
        <v>10.481537383525495</v>
      </c>
      <c r="Y746" s="314" t="str">
        <f t="shared" ca="1" si="341"/>
        <v/>
      </c>
      <c r="Z746" s="315" t="str">
        <f t="shared" ca="1" si="342"/>
        <v/>
      </c>
      <c r="AA746" s="316" t="str">
        <f t="shared" ca="1" si="343"/>
        <v/>
      </c>
      <c r="AC746" s="310" t="e">
        <f t="shared" ca="1" si="344"/>
        <v>#N/A</v>
      </c>
      <c r="AD746" s="323" t="e">
        <f t="shared" ca="1" si="345"/>
        <v>#N/A</v>
      </c>
      <c r="AE746" s="324" t="e">
        <f t="shared" ca="1" si="324"/>
        <v>#N/A</v>
      </c>
      <c r="AG746" s="306">
        <f t="shared" ca="1" si="346"/>
        <v>8.343884502077751</v>
      </c>
      <c r="AH746" s="304">
        <f t="shared" ca="1" si="347"/>
        <v>-1.116823912556514</v>
      </c>
    </row>
    <row r="747" spans="1:34" x14ac:dyDescent="0.2">
      <c r="A747" s="347">
        <f t="shared" ca="1" si="325"/>
        <v>0.1</v>
      </c>
      <c r="B747" s="304">
        <f t="shared" ca="1" si="326"/>
        <v>29.300000000000086</v>
      </c>
      <c r="D747" s="306">
        <f t="shared" ca="1" si="327"/>
        <v>-0.29890080676347336</v>
      </c>
      <c r="E747" s="307">
        <f t="shared" ca="1" si="328"/>
        <v>-8.702601961489755</v>
      </c>
      <c r="F747" s="304">
        <f t="shared" ca="1" si="329"/>
        <v>8.7077334934188926</v>
      </c>
      <c r="G747" s="306">
        <f t="shared" ca="1" si="330"/>
        <v>16.778598053053198</v>
      </c>
      <c r="H747" s="307">
        <f t="shared" ca="1" si="331"/>
        <v>-63.144052599607605</v>
      </c>
      <c r="I747" s="304">
        <f t="shared" ca="1" si="332"/>
        <v>65.335233460422657</v>
      </c>
      <c r="J747" s="306">
        <f t="shared" ca="1" si="333"/>
        <v>598.56619242914178</v>
      </c>
      <c r="K747" s="307">
        <f t="shared" ca="1" si="334"/>
        <v>2492.1953318430292</v>
      </c>
      <c r="L747" s="304">
        <f t="shared" ca="1" si="319"/>
        <v>2563.0682899172443</v>
      </c>
      <c r="M747" s="306">
        <f t="shared" ca="1" si="335"/>
        <v>-1.3110785464283883</v>
      </c>
      <c r="N747" s="304">
        <f t="shared" ca="1" si="336"/>
        <v>-75.119267320493407</v>
      </c>
      <c r="P747" s="310">
        <f t="shared" ca="1" si="337"/>
        <v>23</v>
      </c>
      <c r="Q747" s="304">
        <f t="shared" ca="1" si="338"/>
        <v>0</v>
      </c>
      <c r="R747" s="306">
        <f t="shared" ca="1" si="339"/>
        <v>0</v>
      </c>
      <c r="S747" s="307">
        <f t="shared" ca="1" si="340"/>
        <v>9.137999999999975</v>
      </c>
      <c r="T747" s="304">
        <f t="shared" ca="1" si="320"/>
        <v>89.643779999999765</v>
      </c>
      <c r="U747" s="311">
        <f t="shared" ca="1" si="321"/>
        <v>0</v>
      </c>
      <c r="V747" s="306">
        <f t="shared" ca="1" si="322"/>
        <v>0.95353345469701212</v>
      </c>
      <c r="W747" s="304">
        <f t="shared" ca="1" si="323"/>
        <v>10.760829071920586</v>
      </c>
      <c r="Y747" s="314" t="str">
        <f t="shared" ca="1" si="341"/>
        <v/>
      </c>
      <c r="Z747" s="315" t="str">
        <f t="shared" ca="1" si="342"/>
        <v/>
      </c>
      <c r="AA747" s="316" t="str">
        <f t="shared" ca="1" si="343"/>
        <v/>
      </c>
      <c r="AC747" s="310" t="e">
        <f t="shared" ca="1" si="344"/>
        <v>#N/A</v>
      </c>
      <c r="AD747" s="323" t="e">
        <f t="shared" ca="1" si="345"/>
        <v>#N/A</v>
      </c>
      <c r="AE747" s="324" t="e">
        <f t="shared" ca="1" si="324"/>
        <v>#N/A</v>
      </c>
      <c r="AG747" s="306">
        <f t="shared" ca="1" si="346"/>
        <v>8.3240398065130439</v>
      </c>
      <c r="AH747" s="304">
        <f t="shared" ca="1" si="347"/>
        <v>-1.1470275096876257</v>
      </c>
    </row>
    <row r="748" spans="1:34" x14ac:dyDescent="0.2">
      <c r="A748" s="347">
        <f t="shared" ca="1" si="325"/>
        <v>0.1</v>
      </c>
      <c r="B748" s="304">
        <f t="shared" ca="1" si="326"/>
        <v>29.400000000000087</v>
      </c>
      <c r="D748" s="306">
        <f t="shared" ca="1" si="327"/>
        <v>-0.30241463341151736</v>
      </c>
      <c r="E748" s="307">
        <f t="shared" ca="1" si="328"/>
        <v>-8.6719022007292761</v>
      </c>
      <c r="F748" s="304">
        <f t="shared" ca="1" si="329"/>
        <v>8.6771736406225433</v>
      </c>
      <c r="G748" s="306">
        <f t="shared" ca="1" si="330"/>
        <v>16.748356589712046</v>
      </c>
      <c r="H748" s="307">
        <f t="shared" ca="1" si="331"/>
        <v>-64.011242819680533</v>
      </c>
      <c r="I748" s="304">
        <f t="shared" ca="1" si="332"/>
        <v>66.166053651220977</v>
      </c>
      <c r="J748" s="306">
        <f t="shared" ca="1" si="333"/>
        <v>600.24254016128009</v>
      </c>
      <c r="K748" s="307">
        <f t="shared" ca="1" si="334"/>
        <v>2485.8375670720648</v>
      </c>
      <c r="L748" s="304">
        <f t="shared" ca="1" si="319"/>
        <v>2557.2797103340158</v>
      </c>
      <c r="M748" s="306">
        <f t="shared" ca="1" si="335"/>
        <v>-1.3148860739126851</v>
      </c>
      <c r="N748" s="304">
        <f t="shared" ca="1" si="336"/>
        <v>-75.337422575723664</v>
      </c>
      <c r="P748" s="310">
        <f t="shared" ca="1" si="337"/>
        <v>23</v>
      </c>
      <c r="Q748" s="304">
        <f t="shared" ca="1" si="338"/>
        <v>0</v>
      </c>
      <c r="R748" s="306">
        <f t="shared" ca="1" si="339"/>
        <v>0</v>
      </c>
      <c r="S748" s="307">
        <f t="shared" ca="1" si="340"/>
        <v>9.137999999999975</v>
      </c>
      <c r="T748" s="304">
        <f t="shared" ca="1" si="320"/>
        <v>89.643779999999765</v>
      </c>
      <c r="U748" s="311">
        <f t="shared" ca="1" si="321"/>
        <v>0</v>
      </c>
      <c r="V748" s="306">
        <f t="shared" ca="1" si="322"/>
        <v>0.95414942478081821</v>
      </c>
      <c r="W748" s="304">
        <f t="shared" ca="1" si="323"/>
        <v>11.043373527614682</v>
      </c>
      <c r="Y748" s="314" t="str">
        <f t="shared" ca="1" si="341"/>
        <v/>
      </c>
      <c r="Z748" s="315" t="str">
        <f t="shared" ca="1" si="342"/>
        <v/>
      </c>
      <c r="AA748" s="316" t="str">
        <f t="shared" ca="1" si="343"/>
        <v/>
      </c>
      <c r="AC748" s="310" t="e">
        <f t="shared" ca="1" si="344"/>
        <v>#N/A</v>
      </c>
      <c r="AD748" s="323" t="e">
        <f t="shared" ca="1" si="345"/>
        <v>#N/A</v>
      </c>
      <c r="AE748" s="324" t="e">
        <f t="shared" ca="1" si="324"/>
        <v>#N/A</v>
      </c>
      <c r="AG748" s="306">
        <f t="shared" ca="1" si="346"/>
        <v>8.3034057795286813</v>
      </c>
      <c r="AH748" s="304">
        <f t="shared" ca="1" si="347"/>
        <v>-1.1775912751062174</v>
      </c>
    </row>
    <row r="749" spans="1:34" x14ac:dyDescent="0.2">
      <c r="A749" s="347">
        <f t="shared" ca="1" si="325"/>
        <v>0.1</v>
      </c>
      <c r="B749" s="304">
        <f t="shared" ca="1" si="326"/>
        <v>29.500000000000089</v>
      </c>
      <c r="D749" s="306">
        <f t="shared" ca="1" si="327"/>
        <v>-0.30590570347303886</v>
      </c>
      <c r="E749" s="307">
        <f t="shared" ca="1" si="328"/>
        <v>-8.6408462289986065</v>
      </c>
      <c r="F749" s="304">
        <f t="shared" ca="1" si="329"/>
        <v>8.6462594139093909</v>
      </c>
      <c r="G749" s="306">
        <f t="shared" ca="1" si="330"/>
        <v>16.717766019364742</v>
      </c>
      <c r="H749" s="307">
        <f t="shared" ca="1" si="331"/>
        <v>-64.875327442580399</v>
      </c>
      <c r="I749" s="304">
        <f t="shared" ca="1" si="332"/>
        <v>66.994714802439844</v>
      </c>
      <c r="J749" s="306">
        <f t="shared" ca="1" si="333"/>
        <v>601.91584629173394</v>
      </c>
      <c r="K749" s="307">
        <f t="shared" ca="1" si="334"/>
        <v>2479.3932385589519</v>
      </c>
      <c r="L749" s="304">
        <f t="shared" ca="1" si="319"/>
        <v>2551.4101037326286</v>
      </c>
      <c r="M749" s="306">
        <f t="shared" ca="1" si="335"/>
        <v>-1.3185925945733121</v>
      </c>
      <c r="N749" s="304">
        <f t="shared" ca="1" si="336"/>
        <v>-75.549790566255638</v>
      </c>
      <c r="P749" s="310">
        <f t="shared" ca="1" si="337"/>
        <v>23</v>
      </c>
      <c r="Q749" s="304">
        <f t="shared" ca="1" si="338"/>
        <v>0</v>
      </c>
      <c r="R749" s="306">
        <f t="shared" ca="1" si="339"/>
        <v>0</v>
      </c>
      <c r="S749" s="307">
        <f t="shared" ca="1" si="340"/>
        <v>9.137999999999975</v>
      </c>
      <c r="T749" s="304">
        <f t="shared" ca="1" si="320"/>
        <v>89.643779999999765</v>
      </c>
      <c r="U749" s="311">
        <f t="shared" ca="1" si="321"/>
        <v>0</v>
      </c>
      <c r="V749" s="306">
        <f t="shared" ca="1" si="322"/>
        <v>0.95477413713952919</v>
      </c>
      <c r="W749" s="304">
        <f t="shared" ca="1" si="323"/>
        <v>11.329131954909245</v>
      </c>
      <c r="Y749" s="314" t="str">
        <f t="shared" ca="1" si="341"/>
        <v/>
      </c>
      <c r="Z749" s="315" t="str">
        <f t="shared" ca="1" si="342"/>
        <v/>
      </c>
      <c r="AA749" s="316" t="str">
        <f t="shared" ca="1" si="343"/>
        <v/>
      </c>
      <c r="AC749" s="310" t="e">
        <f t="shared" ca="1" si="344"/>
        <v>#N/A</v>
      </c>
      <c r="AD749" s="323" t="e">
        <f t="shared" ca="1" si="345"/>
        <v>#N/A</v>
      </c>
      <c r="AE749" s="324" t="e">
        <f t="shared" ca="1" si="324"/>
        <v>#N/A</v>
      </c>
      <c r="AG749" s="306">
        <f t="shared" ca="1" si="346"/>
        <v>8.2820095515435863</v>
      </c>
      <c r="AH749" s="304">
        <f t="shared" ca="1" si="347"/>
        <v>-1.208511001052168</v>
      </c>
    </row>
    <row r="750" spans="1:34" x14ac:dyDescent="0.2">
      <c r="A750" s="347">
        <f t="shared" ca="1" si="325"/>
        <v>0.1</v>
      </c>
      <c r="B750" s="304">
        <f t="shared" ca="1" si="326"/>
        <v>29.60000000000009</v>
      </c>
      <c r="D750" s="306">
        <f t="shared" ca="1" si="327"/>
        <v>-0.30937355045444798</v>
      </c>
      <c r="E750" s="307">
        <f t="shared" ca="1" si="328"/>
        <v>-8.6094382524221587</v>
      </c>
      <c r="F750" s="304">
        <f t="shared" ca="1" si="329"/>
        <v>8.6149950096323753</v>
      </c>
      <c r="G750" s="306">
        <f t="shared" ca="1" si="330"/>
        <v>16.686828664319297</v>
      </c>
      <c r="H750" s="307">
        <f t="shared" ca="1" si="331"/>
        <v>-65.736271267822616</v>
      </c>
      <c r="I750" s="304">
        <f t="shared" ca="1" si="332"/>
        <v>67.821144277202436</v>
      </c>
      <c r="J750" s="306">
        <f t="shared" ca="1" si="333"/>
        <v>603.58607602591815</v>
      </c>
      <c r="K750" s="307">
        <f t="shared" ca="1" si="334"/>
        <v>2472.8626586234318</v>
      </c>
      <c r="L750" s="304">
        <f t="shared" ca="1" si="319"/>
        <v>2545.4598562119404</v>
      </c>
      <c r="M750" s="306">
        <f t="shared" ca="1" si="335"/>
        <v>-1.3222020571005084</v>
      </c>
      <c r="N750" s="304">
        <f t="shared" ca="1" si="336"/>
        <v>-75.75659753537461</v>
      </c>
      <c r="P750" s="310">
        <f t="shared" ca="1" si="337"/>
        <v>23</v>
      </c>
      <c r="Q750" s="304">
        <f t="shared" ca="1" si="338"/>
        <v>0</v>
      </c>
      <c r="R750" s="306">
        <f t="shared" ca="1" si="339"/>
        <v>0</v>
      </c>
      <c r="S750" s="307">
        <f t="shared" ca="1" si="340"/>
        <v>9.137999999999975</v>
      </c>
      <c r="T750" s="304">
        <f t="shared" ca="1" si="320"/>
        <v>89.643779999999765</v>
      </c>
      <c r="U750" s="311">
        <f t="shared" ca="1" si="321"/>
        <v>0</v>
      </c>
      <c r="V750" s="306">
        <f t="shared" ca="1" si="322"/>
        <v>0.95540757621047478</v>
      </c>
      <c r="W750" s="304">
        <f t="shared" ca="1" si="323"/>
        <v>11.61806522220645</v>
      </c>
      <c r="Y750" s="314" t="str">
        <f t="shared" ca="1" si="341"/>
        <v/>
      </c>
      <c r="Z750" s="315" t="str">
        <f t="shared" ca="1" si="342"/>
        <v/>
      </c>
      <c r="AA750" s="316" t="str">
        <f t="shared" ca="1" si="343"/>
        <v/>
      </c>
      <c r="AC750" s="310" t="e">
        <f t="shared" ca="1" si="344"/>
        <v>#N/A</v>
      </c>
      <c r="AD750" s="323" t="e">
        <f t="shared" ca="1" si="345"/>
        <v>#N/A</v>
      </c>
      <c r="AE750" s="324" t="e">
        <f t="shared" ca="1" si="324"/>
        <v>#N/A</v>
      </c>
      <c r="AG750" s="306">
        <f t="shared" ca="1" si="346"/>
        <v>8.2598768085707928</v>
      </c>
      <c r="AH750" s="304">
        <f t="shared" ca="1" si="347"/>
        <v>-1.2397824419905095</v>
      </c>
    </row>
    <row r="751" spans="1:34" x14ac:dyDescent="0.2">
      <c r="A751" s="347">
        <f t="shared" ca="1" si="325"/>
        <v>0.1</v>
      </c>
      <c r="B751" s="304">
        <f t="shared" ca="1" si="326"/>
        <v>29.700000000000092</v>
      </c>
      <c r="D751" s="306">
        <f t="shared" ca="1" si="327"/>
        <v>-0.31281772290300425</v>
      </c>
      <c r="E751" s="307">
        <f t="shared" ca="1" si="328"/>
        <v>-8.5776825175232716</v>
      </c>
      <c r="F751" s="304">
        <f t="shared" ca="1" si="329"/>
        <v>8.583384664524047</v>
      </c>
      <c r="G751" s="306">
        <f t="shared" ca="1" si="330"/>
        <v>16.655546892028998</v>
      </c>
      <c r="H751" s="307">
        <f t="shared" ca="1" si="331"/>
        <v>-66.594039519574949</v>
      </c>
      <c r="I751" s="304">
        <f t="shared" ca="1" si="332"/>
        <v>68.645271809552099</v>
      </c>
      <c r="J751" s="306">
        <f t="shared" ca="1" si="333"/>
        <v>605.2531948037356</v>
      </c>
      <c r="K751" s="307">
        <f t="shared" ca="1" si="334"/>
        <v>2466.2461430840617</v>
      </c>
      <c r="L751" s="304">
        <f t="shared" ca="1" si="319"/>
        <v>2539.4293587530919</v>
      </c>
      <c r="M751" s="306">
        <f t="shared" ca="1" si="335"/>
        <v>-1.3257182117410788</v>
      </c>
      <c r="N751" s="304">
        <f t="shared" ca="1" si="336"/>
        <v>-75.958058356394645</v>
      </c>
      <c r="P751" s="310">
        <f t="shared" ca="1" si="337"/>
        <v>23</v>
      </c>
      <c r="Q751" s="304">
        <f t="shared" ca="1" si="338"/>
        <v>0</v>
      </c>
      <c r="R751" s="306">
        <f t="shared" ca="1" si="339"/>
        <v>0</v>
      </c>
      <c r="S751" s="307">
        <f t="shared" ca="1" si="340"/>
        <v>9.137999999999975</v>
      </c>
      <c r="T751" s="304">
        <f t="shared" ca="1" si="320"/>
        <v>89.643779999999765</v>
      </c>
      <c r="U751" s="311">
        <f t="shared" ca="1" si="321"/>
        <v>0</v>
      </c>
      <c r="V751" s="306">
        <f t="shared" ca="1" si="322"/>
        <v>0.95604972623937912</v>
      </c>
      <c r="W751" s="304">
        <f t="shared" ca="1" si="323"/>
        <v>11.910133871359383</v>
      </c>
      <c r="Y751" s="314" t="str">
        <f t="shared" ca="1" si="341"/>
        <v/>
      </c>
      <c r="Z751" s="315" t="str">
        <f t="shared" ca="1" si="342"/>
        <v/>
      </c>
      <c r="AA751" s="316" t="str">
        <f t="shared" ca="1" si="343"/>
        <v/>
      </c>
      <c r="AC751" s="310" t="e">
        <f t="shared" ca="1" si="344"/>
        <v>#N/A</v>
      </c>
      <c r="AD751" s="323" t="e">
        <f t="shared" ca="1" si="345"/>
        <v>#N/A</v>
      </c>
      <c r="AE751" s="324" t="e">
        <f t="shared" ca="1" si="324"/>
        <v>#N/A</v>
      </c>
      <c r="AG751" s="306">
        <f t="shared" ca="1" si="346"/>
        <v>8.23703190250815</v>
      </c>
      <c r="AH751" s="304">
        <f t="shared" ca="1" si="347"/>
        <v>-1.2714013156277613</v>
      </c>
    </row>
    <row r="752" spans="1:34" x14ac:dyDescent="0.2">
      <c r="A752" s="347">
        <f t="shared" ca="1" si="325"/>
        <v>0.1</v>
      </c>
      <c r="B752" s="304">
        <f t="shared" ca="1" si="326"/>
        <v>29.800000000000093</v>
      </c>
      <c r="D752" s="306">
        <f t="shared" ca="1" si="327"/>
        <v>-0.3162377838093291</v>
      </c>
      <c r="E752" s="307">
        <f t="shared" ca="1" si="328"/>
        <v>-8.5455833099266219</v>
      </c>
      <c r="F752" s="304">
        <f t="shared" ca="1" si="329"/>
        <v>8.5514326544038841</v>
      </c>
      <c r="G752" s="306">
        <f t="shared" ca="1" si="330"/>
        <v>16.623923113648065</v>
      </c>
      <c r="H752" s="307">
        <f t="shared" ca="1" si="331"/>
        <v>-67.448597850567609</v>
      </c>
      <c r="I752" s="304">
        <f t="shared" ca="1" si="332"/>
        <v>69.467029385860997</v>
      </c>
      <c r="J752" s="306">
        <f t="shared" ca="1" si="333"/>
        <v>606.91716830401947</v>
      </c>
      <c r="K752" s="307">
        <f t="shared" ca="1" si="334"/>
        <v>2459.5440112155547</v>
      </c>
      <c r="L752" s="304">
        <f t="shared" ca="1" si="319"/>
        <v>2533.3190072094098</v>
      </c>
      <c r="M752" s="306">
        <f t="shared" ca="1" si="335"/>
        <v>-1.3291446222872465</v>
      </c>
      <c r="N752" s="304">
        <f t="shared" ca="1" si="336"/>
        <v>-76.154377219569156</v>
      </c>
      <c r="P752" s="310">
        <f t="shared" ca="1" si="337"/>
        <v>23</v>
      </c>
      <c r="Q752" s="304">
        <f t="shared" ca="1" si="338"/>
        <v>0</v>
      </c>
      <c r="R752" s="306">
        <f t="shared" ca="1" si="339"/>
        <v>0</v>
      </c>
      <c r="S752" s="307">
        <f t="shared" ca="1" si="340"/>
        <v>9.137999999999975</v>
      </c>
      <c r="T752" s="304">
        <f t="shared" ca="1" si="320"/>
        <v>89.643779999999765</v>
      </c>
      <c r="U752" s="311">
        <f t="shared" ca="1" si="321"/>
        <v>0</v>
      </c>
      <c r="V752" s="306">
        <f t="shared" ca="1" si="322"/>
        <v>0.956700571281902</v>
      </c>
      <c r="W752" s="304">
        <f t="shared" ca="1" si="323"/>
        <v>12.205298127081054</v>
      </c>
      <c r="Y752" s="314" t="str">
        <f t="shared" ca="1" si="341"/>
        <v/>
      </c>
      <c r="Z752" s="315" t="str">
        <f t="shared" ca="1" si="342"/>
        <v/>
      </c>
      <c r="AA752" s="316" t="str">
        <f t="shared" ca="1" si="343"/>
        <v/>
      </c>
      <c r="AC752" s="310" t="e">
        <f t="shared" ca="1" si="344"/>
        <v>#N/A</v>
      </c>
      <c r="AD752" s="323" t="e">
        <f t="shared" ca="1" si="345"/>
        <v>#N/A</v>
      </c>
      <c r="AE752" s="324" t="e">
        <f t="shared" ca="1" si="324"/>
        <v>#N/A</v>
      </c>
      <c r="AG752" s="306">
        <f t="shared" ca="1" si="346"/>
        <v>8.2134979519936859</v>
      </c>
      <c r="AH752" s="304">
        <f t="shared" ca="1" si="347"/>
        <v>-1.3033633039351515</v>
      </c>
    </row>
    <row r="753" spans="1:34" x14ac:dyDescent="0.2">
      <c r="A753" s="347">
        <f t="shared" ca="1" si="325"/>
        <v>0.1</v>
      </c>
      <c r="B753" s="304">
        <f t="shared" ca="1" si="326"/>
        <v>29.900000000000095</v>
      </c>
      <c r="D753" s="306">
        <f t="shared" ca="1" si="327"/>
        <v>-0.31963331005546669</v>
      </c>
      <c r="E753" s="307">
        <f t="shared" ca="1" si="328"/>
        <v>-8.5131449530780507</v>
      </c>
      <c r="F753" s="304">
        <f t="shared" ca="1" si="329"/>
        <v>8.5191432929030668</v>
      </c>
      <c r="G753" s="306">
        <f t="shared" ca="1" si="330"/>
        <v>16.591959782642519</v>
      </c>
      <c r="H753" s="307">
        <f t="shared" ca="1" si="331"/>
        <v>-68.299912345875413</v>
      </c>
      <c r="I753" s="304">
        <f t="shared" ca="1" si="332"/>
        <v>70.286351135075236</v>
      </c>
      <c r="J753" s="306">
        <f t="shared" ca="1" si="333"/>
        <v>608.577962448834</v>
      </c>
      <c r="K753" s="307">
        <f t="shared" ca="1" si="334"/>
        <v>2452.7565857057325</v>
      </c>
      <c r="L753" s="304">
        <f t="shared" ca="1" si="319"/>
        <v>2527.1292022967914</v>
      </c>
      <c r="M753" s="306">
        <f t="shared" ca="1" si="335"/>
        <v>-1.3324846772316552</v>
      </c>
      <c r="N753" s="304">
        <f t="shared" ca="1" si="336"/>
        <v>-76.345748271225588</v>
      </c>
      <c r="P753" s="310">
        <f t="shared" ca="1" si="337"/>
        <v>23</v>
      </c>
      <c r="Q753" s="304">
        <f t="shared" ca="1" si="338"/>
        <v>0</v>
      </c>
      <c r="R753" s="306">
        <f t="shared" ca="1" si="339"/>
        <v>0</v>
      </c>
      <c r="S753" s="307">
        <f t="shared" ca="1" si="340"/>
        <v>9.137999999999975</v>
      </c>
      <c r="T753" s="304">
        <f t="shared" ca="1" si="320"/>
        <v>89.643779999999765</v>
      </c>
      <c r="U753" s="311">
        <f t="shared" ca="1" si="321"/>
        <v>0</v>
      </c>
      <c r="V753" s="306">
        <f t="shared" ca="1" si="322"/>
        <v>0.95736009520520238</v>
      </c>
      <c r="W753" s="304">
        <f t="shared" ca="1" si="323"/>
        <v>12.503517906408753</v>
      </c>
      <c r="Y753" s="314" t="str">
        <f t="shared" ca="1" si="341"/>
        <v/>
      </c>
      <c r="Z753" s="315" t="str">
        <f t="shared" ca="1" si="342"/>
        <v/>
      </c>
      <c r="AA753" s="316" t="str">
        <f t="shared" ca="1" si="343"/>
        <v/>
      </c>
      <c r="AC753" s="310" t="e">
        <f t="shared" ca="1" si="344"/>
        <v>#N/A</v>
      </c>
      <c r="AD753" s="323" t="e">
        <f t="shared" ca="1" si="345"/>
        <v>#N/A</v>
      </c>
      <c r="AE753" s="324" t="e">
        <f t="shared" ca="1" si="324"/>
        <v>#N/A</v>
      </c>
      <c r="AG753" s="306">
        <f t="shared" ca="1" si="346"/>
        <v>8.1892969347069311</v>
      </c>
      <c r="AH753" s="304">
        <f t="shared" ca="1" si="347"/>
        <v>-1.3356640541782761</v>
      </c>
    </row>
    <row r="754" spans="1:34" x14ac:dyDescent="0.2">
      <c r="A754" s="347">
        <f t="shared" ca="1" si="325"/>
        <v>0.1</v>
      </c>
      <c r="B754" s="304">
        <f t="shared" ca="1" si="326"/>
        <v>30.000000000000096</v>
      </c>
      <c r="D754" s="306">
        <f t="shared" ca="1" si="327"/>
        <v>-0.32300389190455986</v>
      </c>
      <c r="E754" s="307">
        <f t="shared" ca="1" si="328"/>
        <v>-8.4803718069798464</v>
      </c>
      <c r="F754" s="304">
        <f t="shared" ca="1" si="329"/>
        <v>8.486520930204799</v>
      </c>
      <c r="G754" s="306">
        <f t="shared" ca="1" si="330"/>
        <v>16.559659393452062</v>
      </c>
      <c r="H754" s="307">
        <f t="shared" ca="1" si="331"/>
        <v>-69.147949526573399</v>
      </c>
      <c r="I754" s="304">
        <f t="shared" ca="1" si="332"/>
        <v>71.103173227055677</v>
      </c>
      <c r="J754" s="306">
        <f t="shared" ca="1" si="333"/>
        <v>610.23554340763872</v>
      </c>
      <c r="K754" s="307">
        <f t="shared" ca="1" si="334"/>
        <v>2445.8841926121099</v>
      </c>
      <c r="L754" s="304">
        <f t="shared" ca="1" si="319"/>
        <v>2520.8603495846037</v>
      </c>
      <c r="M754" s="306">
        <f t="shared" ca="1" si="335"/>
        <v>-1.3357416001531446</v>
      </c>
      <c r="N754" s="304">
        <f t="shared" ca="1" si="336"/>
        <v>-76.532356208826343</v>
      </c>
      <c r="P754" s="310">
        <f t="shared" ca="1" si="337"/>
        <v>23</v>
      </c>
      <c r="Q754" s="304">
        <f t="shared" ca="1" si="338"/>
        <v>0</v>
      </c>
      <c r="R754" s="306">
        <f t="shared" ca="1" si="339"/>
        <v>0</v>
      </c>
      <c r="S754" s="307">
        <f t="shared" ca="1" si="340"/>
        <v>9.137999999999975</v>
      </c>
      <c r="T754" s="304">
        <f t="shared" ca="1" si="320"/>
        <v>89.643779999999765</v>
      </c>
      <c r="U754" s="311">
        <f t="shared" ca="1" si="321"/>
        <v>0</v>
      </c>
      <c r="V754" s="306">
        <f t="shared" ca="1" si="322"/>
        <v>0.95802828168952125</v>
      </c>
      <c r="W754" s="304">
        <f t="shared" ca="1" si="323"/>
        <v>12.804752828219609</v>
      </c>
      <c r="Y754" s="314" t="str">
        <f t="shared" ca="1" si="341"/>
        <v/>
      </c>
      <c r="Z754" s="315" t="str">
        <f t="shared" ca="1" si="342"/>
        <v/>
      </c>
      <c r="AA754" s="316" t="str">
        <f t="shared" ca="1" si="343"/>
        <v/>
      </c>
      <c r="AC754" s="310">
        <f t="shared" ca="1" si="344"/>
        <v>30.000000000000096</v>
      </c>
      <c r="AD754" s="323">
        <f t="shared" ca="1" si="345"/>
        <v>610.23554340763872</v>
      </c>
      <c r="AE754" s="324" t="e">
        <f t="shared" ca="1" si="324"/>
        <v>#N/A</v>
      </c>
      <c r="AG754" s="306">
        <f t="shared" ca="1" si="346"/>
        <v>8.1644497719084068</v>
      </c>
      <c r="AH754" s="304">
        <f t="shared" ca="1" si="347"/>
        <v>-1.368299179952811</v>
      </c>
    </row>
    <row r="755" spans="1:34" x14ac:dyDescent="0.2">
      <c r="A755" s="347">
        <f t="shared" ca="1" si="325"/>
        <v>0.1</v>
      </c>
      <c r="B755" s="304">
        <f t="shared" ca="1" si="326"/>
        <v>30.100000000000097</v>
      </c>
      <c r="D755" s="306">
        <f t="shared" ca="1" si="327"/>
        <v>-0.32634913252854736</v>
      </c>
      <c r="E755" s="307">
        <f t="shared" ca="1" si="328"/>
        <v>-8.4472682669398331</v>
      </c>
      <c r="F755" s="304">
        <f t="shared" ca="1" si="329"/>
        <v>8.453569951798519</v>
      </c>
      <c r="G755" s="306">
        <f t="shared" ca="1" si="330"/>
        <v>16.527024480199206</v>
      </c>
      <c r="H755" s="307">
        <f t="shared" ca="1" si="331"/>
        <v>-69.992676353267385</v>
      </c>
      <c r="I755" s="304">
        <f t="shared" ca="1" si="332"/>
        <v>71.917433778342925</v>
      </c>
      <c r="J755" s="306">
        <f t="shared" ca="1" si="333"/>
        <v>611.88987760132125</v>
      </c>
      <c r="K755" s="307">
        <f t="shared" ca="1" si="334"/>
        <v>2438.9271613181177</v>
      </c>
      <c r="L755" s="304">
        <f t="shared" ca="1" si="319"/>
        <v>2514.5128594871435</v>
      </c>
      <c r="M755" s="306">
        <f t="shared" ca="1" si="335"/>
        <v>-1.3389184593924885</v>
      </c>
      <c r="N755" s="304">
        <f t="shared" ca="1" si="336"/>
        <v>-76.714376835347892</v>
      </c>
      <c r="P755" s="310">
        <f t="shared" ca="1" si="337"/>
        <v>23</v>
      </c>
      <c r="Q755" s="304">
        <f t="shared" ca="1" si="338"/>
        <v>0</v>
      </c>
      <c r="R755" s="306">
        <f t="shared" ca="1" si="339"/>
        <v>0</v>
      </c>
      <c r="S755" s="307">
        <f t="shared" ca="1" si="340"/>
        <v>9.137999999999975</v>
      </c>
      <c r="T755" s="304">
        <f t="shared" ca="1" si="320"/>
        <v>89.643779999999765</v>
      </c>
      <c r="U755" s="311">
        <f t="shared" ca="1" si="321"/>
        <v>0</v>
      </c>
      <c r="V755" s="306">
        <f t="shared" ca="1" si="322"/>
        <v>0.95870511422978466</v>
      </c>
      <c r="W755" s="304">
        <f t="shared" ca="1" si="323"/>
        <v>13.108962222793853</v>
      </c>
      <c r="Y755" s="314" t="str">
        <f t="shared" ca="1" si="341"/>
        <v/>
      </c>
      <c r="Z755" s="315" t="str">
        <f t="shared" ca="1" si="342"/>
        <v/>
      </c>
      <c r="AA755" s="316" t="str">
        <f t="shared" ca="1" si="343"/>
        <v/>
      </c>
      <c r="AC755" s="310" t="e">
        <f t="shared" ca="1" si="344"/>
        <v>#N/A</v>
      </c>
      <c r="AD755" s="323" t="e">
        <f t="shared" ca="1" si="345"/>
        <v>#N/A</v>
      </c>
      <c r="AE755" s="324" t="e">
        <f t="shared" ca="1" si="324"/>
        <v>#N/A</v>
      </c>
      <c r="AG755" s="306">
        <f t="shared" ca="1" si="346"/>
        <v>8.1389764059299949</v>
      </c>
      <c r="AH755" s="304">
        <f t="shared" ca="1" si="347"/>
        <v>-1.4012642622258311</v>
      </c>
    </row>
    <row r="756" spans="1:34" x14ac:dyDescent="0.2">
      <c r="A756" s="347">
        <f t="shared" ca="1" si="325"/>
        <v>0.1</v>
      </c>
      <c r="B756" s="304">
        <f t="shared" ca="1" si="326"/>
        <v>30.200000000000099</v>
      </c>
      <c r="D756" s="306">
        <f t="shared" ca="1" si="327"/>
        <v>-0.32966864757064279</v>
      </c>
      <c r="E756" s="307">
        <f t="shared" ca="1" si="328"/>
        <v>-8.4138387623327819</v>
      </c>
      <c r="F756" s="304">
        <f t="shared" ca="1" si="329"/>
        <v>8.4202947772465002</v>
      </c>
      <c r="G756" s="306">
        <f t="shared" ca="1" si="330"/>
        <v>16.494057615442141</v>
      </c>
      <c r="H756" s="307">
        <f t="shared" ca="1" si="331"/>
        <v>-70.834060229500665</v>
      </c>
      <c r="I756" s="304">
        <f t="shared" ca="1" si="332"/>
        <v>72.729072764734553</v>
      </c>
      <c r="J756" s="306">
        <f t="shared" ca="1" si="333"/>
        <v>613.54093170610327</v>
      </c>
      <c r="K756" s="307">
        <f t="shared" ca="1" si="334"/>
        <v>2431.8858244889793</v>
      </c>
      <c r="L756" s="304">
        <f t="shared" ca="1" si="319"/>
        <v>2508.0871472557001</v>
      </c>
      <c r="M756" s="306">
        <f t="shared" ca="1" si="335"/>
        <v>-1.3420181770723505</v>
      </c>
      <c r="N756" s="304">
        <f t="shared" ca="1" si="336"/>
        <v>-76.891977576086063</v>
      </c>
      <c r="P756" s="310">
        <f t="shared" ca="1" si="337"/>
        <v>23</v>
      </c>
      <c r="Q756" s="304">
        <f t="shared" ca="1" si="338"/>
        <v>0</v>
      </c>
      <c r="R756" s="306">
        <f t="shared" ca="1" si="339"/>
        <v>0</v>
      </c>
      <c r="S756" s="307">
        <f t="shared" ca="1" si="340"/>
        <v>9.137999999999975</v>
      </c>
      <c r="T756" s="304">
        <f t="shared" ca="1" si="320"/>
        <v>89.643779999999765</v>
      </c>
      <c r="U756" s="311">
        <f t="shared" ca="1" si="321"/>
        <v>0</v>
      </c>
      <c r="V756" s="306">
        <f t="shared" ca="1" si="322"/>
        <v>0.95939057613722822</v>
      </c>
      <c r="W756" s="304">
        <f t="shared" ca="1" si="323"/>
        <v>13.416105141421912</v>
      </c>
      <c r="Y756" s="314" t="str">
        <f t="shared" ca="1" si="341"/>
        <v/>
      </c>
      <c r="Z756" s="315" t="str">
        <f t="shared" ca="1" si="342"/>
        <v/>
      </c>
      <c r="AA756" s="316" t="str">
        <f t="shared" ca="1" si="343"/>
        <v/>
      </c>
      <c r="AC756" s="310" t="e">
        <f t="shared" ca="1" si="344"/>
        <v>#N/A</v>
      </c>
      <c r="AD756" s="323" t="e">
        <f t="shared" ca="1" si="345"/>
        <v>#N/A</v>
      </c>
      <c r="AE756" s="324" t="e">
        <f t="shared" ca="1" si="324"/>
        <v>#N/A</v>
      </c>
      <c r="AG756" s="306">
        <f t="shared" ca="1" si="346"/>
        <v>8.1128958712578765</v>
      </c>
      <c r="AH756" s="304">
        <f t="shared" ca="1" si="347"/>
        <v>-1.4345548503823471</v>
      </c>
    </row>
    <row r="757" spans="1:34" x14ac:dyDescent="0.2">
      <c r="A757" s="347">
        <f t="shared" ca="1" si="325"/>
        <v>0.1</v>
      </c>
      <c r="B757" s="304">
        <f t="shared" ca="1" si="326"/>
        <v>30.3000000000001</v>
      </c>
      <c r="D757" s="306">
        <f t="shared" ca="1" si="327"/>
        <v>-0.33296206473963064</v>
      </c>
      <c r="E757" s="307">
        <f t="shared" ca="1" si="328"/>
        <v>-8.3800877553728821</v>
      </c>
      <c r="F757" s="304">
        <f t="shared" ca="1" si="329"/>
        <v>8.3866998589615793</v>
      </c>
      <c r="G757" s="306">
        <f t="shared" ca="1" si="330"/>
        <v>16.460761408968178</v>
      </c>
      <c r="H757" s="307">
        <f t="shared" ca="1" si="331"/>
        <v>-71.672069005037955</v>
      </c>
      <c r="I757" s="304">
        <f t="shared" ca="1" si="332"/>
        <v>73.538031940118557</v>
      </c>
      <c r="J757" s="306">
        <f t="shared" ca="1" si="333"/>
        <v>615.18867265732376</v>
      </c>
      <c r="K757" s="307">
        <f t="shared" ca="1" si="334"/>
        <v>2424.7605180272526</v>
      </c>
      <c r="L757" s="304">
        <f t="shared" ca="1" si="319"/>
        <v>2501.5836329712565</v>
      </c>
      <c r="M757" s="306">
        <f t="shared" ca="1" si="335"/>
        <v>-1.3450435375111933</v>
      </c>
      <c r="N757" s="304">
        <f t="shared" ca="1" si="336"/>
        <v>-77.065317960737602</v>
      </c>
      <c r="P757" s="310">
        <f t="shared" ca="1" si="337"/>
        <v>23</v>
      </c>
      <c r="Q757" s="304">
        <f t="shared" ca="1" si="338"/>
        <v>0</v>
      </c>
      <c r="R757" s="306">
        <f t="shared" ca="1" si="339"/>
        <v>0</v>
      </c>
      <c r="S757" s="307">
        <f t="shared" ca="1" si="340"/>
        <v>9.137999999999975</v>
      </c>
      <c r="T757" s="304">
        <f t="shared" ca="1" si="320"/>
        <v>89.643779999999765</v>
      </c>
      <c r="U757" s="311">
        <f t="shared" ca="1" si="321"/>
        <v>0</v>
      </c>
      <c r="V757" s="306">
        <f t="shared" ca="1" si="322"/>
        <v>0.9600846505410362</v>
      </c>
      <c r="W757" s="304">
        <f t="shared" ca="1" si="323"/>
        <v>13.726140366051633</v>
      </c>
      <c r="Y757" s="314" t="str">
        <f t="shared" ca="1" si="341"/>
        <v/>
      </c>
      <c r="Z757" s="315" t="str">
        <f t="shared" ca="1" si="342"/>
        <v/>
      </c>
      <c r="AA757" s="316" t="str">
        <f t="shared" ca="1" si="343"/>
        <v/>
      </c>
      <c r="AC757" s="310" t="e">
        <f t="shared" ca="1" si="344"/>
        <v>#N/A</v>
      </c>
      <c r="AD757" s="323" t="e">
        <f t="shared" ca="1" si="345"/>
        <v>#N/A</v>
      </c>
      <c r="AE757" s="324" t="e">
        <f t="shared" ca="1" si="324"/>
        <v>#N/A</v>
      </c>
      <c r="AG757" s="306">
        <f t="shared" ca="1" si="346"/>
        <v>8.0862263597862913</v>
      </c>
      <c r="AH757" s="304">
        <f t="shared" ca="1" si="347"/>
        <v>-1.4681664632766414</v>
      </c>
    </row>
    <row r="758" spans="1:34" x14ac:dyDescent="0.2">
      <c r="A758" s="347">
        <f t="shared" ca="1" si="325"/>
        <v>0.1</v>
      </c>
      <c r="B758" s="304">
        <f t="shared" ca="1" si="326"/>
        <v>30.400000000000102</v>
      </c>
      <c r="D758" s="306">
        <f t="shared" ca="1" si="327"/>
        <v>-0.33622902343329386</v>
      </c>
      <c r="E758" s="307">
        <f t="shared" ca="1" si="328"/>
        <v>-8.3460197398962155</v>
      </c>
      <c r="F758" s="304">
        <f t="shared" ca="1" si="329"/>
        <v>8.3527896809949791</v>
      </c>
      <c r="G758" s="306">
        <f t="shared" ca="1" si="330"/>
        <v>16.42713850662485</v>
      </c>
      <c r="H758" s="307">
        <f t="shared" ca="1" si="331"/>
        <v>-72.506670979027575</v>
      </c>
      <c r="I758" s="304">
        <f t="shared" ca="1" si="332"/>
        <v>74.344254761055993</v>
      </c>
      <c r="J758" s="306">
        <f t="shared" ca="1" si="333"/>
        <v>616.8330676531034</v>
      </c>
      <c r="K758" s="307">
        <f t="shared" ca="1" si="334"/>
        <v>2417.5515810280494</v>
      </c>
      <c r="L758" s="304">
        <f t="shared" ca="1" si="319"/>
        <v>2495.0027415378845</v>
      </c>
      <c r="M758" s="306">
        <f t="shared" ca="1" si="335"/>
        <v>-1.3479971950767755</v>
      </c>
      <c r="N758" s="304">
        <f t="shared" ca="1" si="336"/>
        <v>-77.234550073372347</v>
      </c>
      <c r="P758" s="310">
        <f t="shared" ca="1" si="337"/>
        <v>23</v>
      </c>
      <c r="Q758" s="304">
        <f t="shared" ca="1" si="338"/>
        <v>0</v>
      </c>
      <c r="R758" s="306">
        <f t="shared" ca="1" si="339"/>
        <v>0</v>
      </c>
      <c r="S758" s="307">
        <f t="shared" ca="1" si="340"/>
        <v>9.137999999999975</v>
      </c>
      <c r="T758" s="304">
        <f t="shared" ca="1" si="320"/>
        <v>89.643779999999765</v>
      </c>
      <c r="U758" s="311">
        <f t="shared" ca="1" si="321"/>
        <v>0</v>
      </c>
      <c r="V758" s="306">
        <f t="shared" ca="1" si="322"/>
        <v>0.96078732039000425</v>
      </c>
      <c r="W758" s="304">
        <f t="shared" ca="1" si="323"/>
        <v>14.039026418972027</v>
      </c>
      <c r="Y758" s="314" t="str">
        <f t="shared" ca="1" si="341"/>
        <v/>
      </c>
      <c r="Z758" s="315" t="str">
        <f t="shared" ca="1" si="342"/>
        <v/>
      </c>
      <c r="AA758" s="316" t="str">
        <f t="shared" ca="1" si="343"/>
        <v/>
      </c>
      <c r="AC758" s="310" t="e">
        <f t="shared" ca="1" si="344"/>
        <v>#N/A</v>
      </c>
      <c r="AD758" s="323" t="e">
        <f t="shared" ca="1" si="345"/>
        <v>#N/A</v>
      </c>
      <c r="AE758" s="324" t="e">
        <f t="shared" ca="1" si="324"/>
        <v>#N/A</v>
      </c>
      <c r="AG758" s="306">
        <f t="shared" ca="1" si="346"/>
        <v>8.0589852807636788</v>
      </c>
      <c r="AH758" s="304">
        <f t="shared" ca="1" si="347"/>
        <v>-1.5020945902879919</v>
      </c>
    </row>
    <row r="759" spans="1:34" x14ac:dyDescent="0.2">
      <c r="A759" s="347">
        <f t="shared" ca="1" si="325"/>
        <v>0.1</v>
      </c>
      <c r="B759" s="304">
        <f t="shared" ca="1" si="326"/>
        <v>30.500000000000103</v>
      </c>
      <c r="D759" s="306">
        <f t="shared" ca="1" si="327"/>
        <v>-0.33946917438852253</v>
      </c>
      <c r="E759" s="307">
        <f t="shared" ca="1" si="328"/>
        <v>-8.3116392401522443</v>
      </c>
      <c r="F759" s="304">
        <f t="shared" ca="1" si="329"/>
        <v>8.3185687578331997</v>
      </c>
      <c r="G759" s="306">
        <f t="shared" ca="1" si="330"/>
        <v>16.393191589185996</v>
      </c>
      <c r="H759" s="307">
        <f t="shared" ca="1" si="331"/>
        <v>-73.337834903042804</v>
      </c>
      <c r="I759" s="304">
        <f t="shared" ca="1" si="332"/>
        <v>75.147686316650635</v>
      </c>
      <c r="J759" s="306">
        <f t="shared" ca="1" si="333"/>
        <v>618.47408415789391</v>
      </c>
      <c r="K759" s="307">
        <f t="shared" ca="1" si="334"/>
        <v>2410.259355733946</v>
      </c>
      <c r="L759" s="304">
        <f t="shared" ca="1" si="319"/>
        <v>2488.3449026768699</v>
      </c>
      <c r="M759" s="306">
        <f t="shared" ca="1" si="335"/>
        <v>-1.3508816815211122</v>
      </c>
      <c r="N759" s="304">
        <f t="shared" ca="1" si="336"/>
        <v>-77.399818972695542</v>
      </c>
      <c r="P759" s="310">
        <f t="shared" ca="1" si="337"/>
        <v>23</v>
      </c>
      <c r="Q759" s="304">
        <f t="shared" ca="1" si="338"/>
        <v>0</v>
      </c>
      <c r="R759" s="306">
        <f t="shared" ca="1" si="339"/>
        <v>0</v>
      </c>
      <c r="S759" s="307">
        <f t="shared" ca="1" si="340"/>
        <v>9.137999999999975</v>
      </c>
      <c r="T759" s="304">
        <f t="shared" ca="1" si="320"/>
        <v>89.643779999999765</v>
      </c>
      <c r="U759" s="311">
        <f t="shared" ca="1" si="321"/>
        <v>0</v>
      </c>
      <c r="V759" s="306">
        <f t="shared" ca="1" si="322"/>
        <v>0.96149856845421733</v>
      </c>
      <c r="W759" s="304">
        <f t="shared" ca="1" si="323"/>
        <v>14.354721572529701</v>
      </c>
      <c r="Y759" s="314" t="str">
        <f t="shared" ca="1" si="341"/>
        <v/>
      </c>
      <c r="Z759" s="315" t="str">
        <f t="shared" ca="1" si="342"/>
        <v/>
      </c>
      <c r="AA759" s="316" t="str">
        <f t="shared" ca="1" si="343"/>
        <v/>
      </c>
      <c r="AC759" s="310" t="e">
        <f t="shared" ca="1" si="344"/>
        <v>#N/A</v>
      </c>
      <c r="AD759" s="323" t="e">
        <f t="shared" ca="1" si="345"/>
        <v>#N/A</v>
      </c>
      <c r="AE759" s="324" t="e">
        <f t="shared" ca="1" si="324"/>
        <v>#N/A</v>
      </c>
      <c r="AG759" s="306">
        <f t="shared" ca="1" si="346"/>
        <v>8.0311893159019263</v>
      </c>
      <c r="AH759" s="304">
        <f t="shared" ca="1" si="347"/>
        <v>-1.5363346923803967</v>
      </c>
    </row>
    <row r="760" spans="1:34" x14ac:dyDescent="0.2">
      <c r="A760" s="347">
        <f t="shared" ca="1" si="325"/>
        <v>0.1</v>
      </c>
      <c r="B760" s="304">
        <f t="shared" ca="1" si="326"/>
        <v>30.600000000000104</v>
      </c>
      <c r="D760" s="306">
        <f t="shared" ca="1" si="327"/>
        <v>-0.34268217935586481</v>
      </c>
      <c r="E760" s="307">
        <f t="shared" ca="1" si="328"/>
        <v>-8.2769508096035604</v>
      </c>
      <c r="F760" s="304">
        <f t="shared" ca="1" si="329"/>
        <v>8.2840416332032714</v>
      </c>
      <c r="G760" s="306">
        <f t="shared" ca="1" si="330"/>
        <v>16.358923371250409</v>
      </c>
      <c r="H760" s="307">
        <f t="shared" ca="1" si="331"/>
        <v>-74.165529984003157</v>
      </c>
      <c r="I760" s="304">
        <f t="shared" ca="1" si="332"/>
        <v>75.948273263284364</v>
      </c>
      <c r="J760" s="306">
        <f t="shared" ca="1" si="333"/>
        <v>620.11168990591568</v>
      </c>
      <c r="K760" s="307">
        <f t="shared" ca="1" si="334"/>
        <v>2402.8841874895938</v>
      </c>
      <c r="L760" s="304">
        <f t="shared" ca="1" si="319"/>
        <v>2481.6105509216181</v>
      </c>
      <c r="M760" s="306">
        <f t="shared" ca="1" si="335"/>
        <v>-1.3536994128353526</v>
      </c>
      <c r="N760" s="304">
        <f t="shared" ca="1" si="336"/>
        <v>-77.561263084803358</v>
      </c>
      <c r="P760" s="310">
        <f t="shared" ca="1" si="337"/>
        <v>23</v>
      </c>
      <c r="Q760" s="304">
        <f t="shared" ca="1" si="338"/>
        <v>0</v>
      </c>
      <c r="R760" s="306">
        <f t="shared" ca="1" si="339"/>
        <v>0</v>
      </c>
      <c r="S760" s="307">
        <f t="shared" ca="1" si="340"/>
        <v>9.137999999999975</v>
      </c>
      <c r="T760" s="304">
        <f t="shared" ca="1" si="320"/>
        <v>89.643779999999765</v>
      </c>
      <c r="U760" s="311">
        <f t="shared" ca="1" si="321"/>
        <v>0</v>
      </c>
      <c r="V760" s="306">
        <f t="shared" ca="1" si="322"/>
        <v>0.96221837732674564</v>
      </c>
      <c r="W760" s="304">
        <f t="shared" ca="1" si="323"/>
        <v>14.673183858874523</v>
      </c>
      <c r="Y760" s="314" t="str">
        <f t="shared" ca="1" si="341"/>
        <v/>
      </c>
      <c r="Z760" s="315" t="str">
        <f t="shared" ca="1" si="342"/>
        <v/>
      </c>
      <c r="AA760" s="316" t="str">
        <f t="shared" ca="1" si="343"/>
        <v/>
      </c>
      <c r="AC760" s="310" t="e">
        <f t="shared" ca="1" si="344"/>
        <v>#N/A</v>
      </c>
      <c r="AD760" s="323" t="e">
        <f t="shared" ca="1" si="345"/>
        <v>#N/A</v>
      </c>
      <c r="AE760" s="324" t="e">
        <f t="shared" ca="1" si="324"/>
        <v>#N/A</v>
      </c>
      <c r="AG760" s="306">
        <f t="shared" ca="1" si="346"/>
        <v>8.0028544700740749</v>
      </c>
      <c r="AH760" s="304">
        <f t="shared" ca="1" si="347"/>
        <v>-1.5708822031658722</v>
      </c>
    </row>
    <row r="761" spans="1:34" x14ac:dyDescent="0.2">
      <c r="A761" s="347">
        <f t="shared" ca="1" si="325"/>
        <v>0.1</v>
      </c>
      <c r="B761" s="304">
        <f t="shared" ca="1" si="326"/>
        <v>30.700000000000106</v>
      </c>
      <c r="D761" s="306">
        <f t="shared" ca="1" si="327"/>
        <v>-0.3458677107964957</v>
      </c>
      <c r="E761" s="307">
        <f t="shared" ca="1" si="328"/>
        <v>-8.2419590297331808</v>
      </c>
      <c r="F761" s="304">
        <f t="shared" ca="1" si="329"/>
        <v>8.2492128788855918</v>
      </c>
      <c r="G761" s="306">
        <f t="shared" ca="1" si="330"/>
        <v>16.32433660017076</v>
      </c>
      <c r="H761" s="307">
        <f t="shared" ca="1" si="331"/>
        <v>-74.989725886976473</v>
      </c>
      <c r="I761" s="304">
        <f t="shared" ca="1" si="332"/>
        <v>76.745963763832847</v>
      </c>
      <c r="J761" s="306">
        <f t="shared" ca="1" si="333"/>
        <v>621.7458529044867</v>
      </c>
      <c r="K761" s="307">
        <f t="shared" ca="1" si="334"/>
        <v>2395.4264246960447</v>
      </c>
      <c r="L761" s="304">
        <f t="shared" ca="1" si="319"/>
        <v>2474.8001256133803</v>
      </c>
      <c r="M761" s="306">
        <f t="shared" ca="1" si="335"/>
        <v>-1.3564526956599108</v>
      </c>
      <c r="N761" s="304">
        <f t="shared" ca="1" si="336"/>
        <v>-77.719014570456409</v>
      </c>
      <c r="P761" s="310">
        <f t="shared" ca="1" si="337"/>
        <v>23</v>
      </c>
      <c r="Q761" s="304">
        <f t="shared" ca="1" si="338"/>
        <v>0</v>
      </c>
      <c r="R761" s="306">
        <f t="shared" ca="1" si="339"/>
        <v>0</v>
      </c>
      <c r="S761" s="307">
        <f t="shared" ca="1" si="340"/>
        <v>9.137999999999975</v>
      </c>
      <c r="T761" s="304">
        <f t="shared" ca="1" si="320"/>
        <v>89.643779999999765</v>
      </c>
      <c r="U761" s="311">
        <f t="shared" ca="1" si="321"/>
        <v>0</v>
      </c>
      <c r="V761" s="306">
        <f t="shared" ca="1" si="322"/>
        <v>0.9629467294253603</v>
      </c>
      <c r="W761" s="304">
        <f t="shared" ca="1" si="323"/>
        <v>14.994371079730755</v>
      </c>
      <c r="Y761" s="314" t="str">
        <f t="shared" ca="1" si="341"/>
        <v/>
      </c>
      <c r="Z761" s="315" t="str">
        <f t="shared" ca="1" si="342"/>
        <v/>
      </c>
      <c r="AA761" s="316" t="str">
        <f t="shared" ca="1" si="343"/>
        <v/>
      </c>
      <c r="AC761" s="310" t="e">
        <f t="shared" ca="1" si="344"/>
        <v>#N/A</v>
      </c>
      <c r="AD761" s="323" t="e">
        <f t="shared" ca="1" si="345"/>
        <v>#N/A</v>
      </c>
      <c r="AE761" s="324" t="e">
        <f t="shared" ca="1" si="324"/>
        <v>#N/A</v>
      </c>
      <c r="AG761" s="306">
        <f t="shared" ca="1" si="346"/>
        <v>7.9739961179849832</v>
      </c>
      <c r="AH761" s="304">
        <f t="shared" ca="1" si="347"/>
        <v>-1.6057325299709524</v>
      </c>
    </row>
    <row r="762" spans="1:34" x14ac:dyDescent="0.2">
      <c r="A762" s="347">
        <f t="shared" ca="1" si="325"/>
        <v>0.1</v>
      </c>
      <c r="B762" s="304">
        <f t="shared" ca="1" si="326"/>
        <v>30.800000000000107</v>
      </c>
      <c r="D762" s="306">
        <f t="shared" ca="1" si="327"/>
        <v>-0.34902545159973181</v>
      </c>
      <c r="E762" s="307">
        <f t="shared" ca="1" si="328"/>
        <v>-8.2066685088588365</v>
      </c>
      <c r="F762" s="304">
        <f t="shared" ca="1" si="329"/>
        <v>8.2140870935338715</v>
      </c>
      <c r="G762" s="306">
        <f t="shared" ca="1" si="330"/>
        <v>16.289434055010787</v>
      </c>
      <c r="H762" s="307">
        <f t="shared" ca="1" si="331"/>
        <v>-75.810392737862358</v>
      </c>
      <c r="I762" s="304">
        <f t="shared" ca="1" si="332"/>
        <v>77.540707431009935</v>
      </c>
      <c r="J762" s="306">
        <f t="shared" ca="1" si="333"/>
        <v>623.37654143724581</v>
      </c>
      <c r="K762" s="307">
        <f t="shared" ca="1" si="334"/>
        <v>2387.8864187648028</v>
      </c>
      <c r="L762" s="304">
        <f t="shared" ca="1" si="319"/>
        <v>2467.9140708978621</v>
      </c>
      <c r="M762" s="306">
        <f t="shared" ca="1" si="335"/>
        <v>-1.3591437332823268</v>
      </c>
      <c r="N762" s="304">
        <f t="shared" ca="1" si="336"/>
        <v>-77.873199668731772</v>
      </c>
      <c r="P762" s="310">
        <f t="shared" ca="1" si="337"/>
        <v>23</v>
      </c>
      <c r="Q762" s="304">
        <f t="shared" ca="1" si="338"/>
        <v>0</v>
      </c>
      <c r="R762" s="306">
        <f t="shared" ca="1" si="339"/>
        <v>0</v>
      </c>
      <c r="S762" s="307">
        <f t="shared" ca="1" si="340"/>
        <v>9.137999999999975</v>
      </c>
      <c r="T762" s="304">
        <f t="shared" ca="1" si="320"/>
        <v>89.643779999999765</v>
      </c>
      <c r="U762" s="311">
        <f t="shared" ca="1" si="321"/>
        <v>0</v>
      </c>
      <c r="V762" s="306">
        <f t="shared" ca="1" si="322"/>
        <v>0.96368360699426203</v>
      </c>
      <c r="W762" s="304">
        <f t="shared" ca="1" si="323"/>
        <v>15.318240816190066</v>
      </c>
      <c r="Y762" s="314" t="str">
        <f t="shared" ca="1" si="341"/>
        <v/>
      </c>
      <c r="Z762" s="315" t="str">
        <f t="shared" ca="1" si="342"/>
        <v/>
      </c>
      <c r="AA762" s="316" t="str">
        <f t="shared" ca="1" si="343"/>
        <v/>
      </c>
      <c r="AC762" s="310" t="e">
        <f t="shared" ca="1" si="344"/>
        <v>#N/A</v>
      </c>
      <c r="AD762" s="323" t="e">
        <f t="shared" ca="1" si="345"/>
        <v>#N/A</v>
      </c>
      <c r="AE762" s="324" t="e">
        <f t="shared" ca="1" si="324"/>
        <v>#N/A</v>
      </c>
      <c r="AG762" s="306">
        <f t="shared" ca="1" si="346"/>
        <v>7.9446290471630006</v>
      </c>
      <c r="AH762" s="304">
        <f t="shared" ca="1" si="347"/>
        <v>-1.6408810549059745</v>
      </c>
    </row>
    <row r="763" spans="1:34" x14ac:dyDescent="0.2">
      <c r="A763" s="347">
        <f t="shared" ca="1" si="325"/>
        <v>0.1</v>
      </c>
      <c r="B763" s="304">
        <f t="shared" ca="1" si="326"/>
        <v>30.900000000000109</v>
      </c>
      <c r="D763" s="306">
        <f t="shared" ca="1" si="327"/>
        <v>-0.35215509481940077</v>
      </c>
      <c r="E763" s="307">
        <f t="shared" ca="1" si="328"/>
        <v>-8.1710838809537609</v>
      </c>
      <c r="F763" s="304">
        <f t="shared" ca="1" si="329"/>
        <v>8.1786689015016147</v>
      </c>
      <c r="G763" s="306">
        <f t="shared" ca="1" si="330"/>
        <v>16.254218545528847</v>
      </c>
      <c r="H763" s="307">
        <f t="shared" ca="1" si="331"/>
        <v>-76.627501125957735</v>
      </c>
      <c r="I763" s="304">
        <f t="shared" ca="1" si="332"/>
        <v>78.332455274518665</v>
      </c>
      <c r="J763" s="306">
        <f t="shared" ca="1" si="333"/>
        <v>625.00372406727274</v>
      </c>
      <c r="K763" s="307">
        <f t="shared" ca="1" si="334"/>
        <v>2380.264524071612</v>
      </c>
      <c r="L763" s="304">
        <f t="shared" ca="1" si="319"/>
        <v>2460.9528357227446</v>
      </c>
      <c r="M763" s="306">
        <f t="shared" ca="1" si="335"/>
        <v>-1.3617746312527315</v>
      </c>
      <c r="N763" s="304">
        <f t="shared" ca="1" si="336"/>
        <v>-78.023939018765489</v>
      </c>
      <c r="P763" s="310">
        <f t="shared" ca="1" si="337"/>
        <v>23</v>
      </c>
      <c r="Q763" s="304">
        <f t="shared" ca="1" si="338"/>
        <v>0</v>
      </c>
      <c r="R763" s="306">
        <f t="shared" ca="1" si="339"/>
        <v>0</v>
      </c>
      <c r="S763" s="307">
        <f t="shared" ca="1" si="340"/>
        <v>9.137999999999975</v>
      </c>
      <c r="T763" s="304">
        <f t="shared" ca="1" si="320"/>
        <v>89.643779999999765</v>
      </c>
      <c r="U763" s="311">
        <f t="shared" ca="1" si="321"/>
        <v>0</v>
      </c>
      <c r="V763" s="306">
        <f t="shared" ca="1" si="322"/>
        <v>0.96442899210583133</v>
      </c>
      <c r="W763" s="304">
        <f t="shared" ca="1" si="323"/>
        <v>15.644750438522909</v>
      </c>
      <c r="Y763" s="314" t="str">
        <f t="shared" ca="1" si="341"/>
        <v/>
      </c>
      <c r="Z763" s="315" t="str">
        <f t="shared" ca="1" si="342"/>
        <v/>
      </c>
      <c r="AA763" s="316" t="str">
        <f t="shared" ca="1" si="343"/>
        <v/>
      </c>
      <c r="AC763" s="310" t="e">
        <f t="shared" ca="1" si="344"/>
        <v>#N/A</v>
      </c>
      <c r="AD763" s="323" t="e">
        <f t="shared" ca="1" si="345"/>
        <v>#N/A</v>
      </c>
      <c r="AE763" s="324" t="e">
        <f t="shared" ca="1" si="324"/>
        <v>#N/A</v>
      </c>
      <c r="AG763" s="306">
        <f t="shared" ca="1" si="346"/>
        <v>7.914767497587829</v>
      </c>
      <c r="AH763" s="304">
        <f t="shared" ca="1" si="347"/>
        <v>-1.6763231359367594</v>
      </c>
    </row>
    <row r="764" spans="1:34" x14ac:dyDescent="0.2">
      <c r="A764" s="347">
        <f t="shared" ca="1" si="325"/>
        <v>0.1</v>
      </c>
      <c r="B764" s="304">
        <f t="shared" ca="1" si="326"/>
        <v>31.00000000000011</v>
      </c>
      <c r="D764" s="306">
        <f t="shared" ca="1" si="327"/>
        <v>-0.3552563434275125</v>
      </c>
      <c r="E764" s="307">
        <f t="shared" ca="1" si="328"/>
        <v>-8.1352098044735861</v>
      </c>
      <c r="F764" s="304">
        <f t="shared" ca="1" si="329"/>
        <v>8.1429629516748161</v>
      </c>
      <c r="G764" s="306">
        <f t="shared" ca="1" si="330"/>
        <v>16.218692911186096</v>
      </c>
      <c r="H764" s="307">
        <f t="shared" ca="1" si="331"/>
        <v>-77.4410221064051</v>
      </c>
      <c r="I764" s="304">
        <f t="shared" ca="1" si="332"/>
        <v>79.121159651714422</v>
      </c>
      <c r="J764" s="306">
        <f t="shared" ca="1" si="333"/>
        <v>626.62736964010844</v>
      </c>
      <c r="K764" s="307">
        <f t="shared" ca="1" si="334"/>
        <v>2372.5610979099938</v>
      </c>
      <c r="L764" s="304">
        <f t="shared" ca="1" si="319"/>
        <v>2453.9168738361855</v>
      </c>
      <c r="M764" s="306">
        <f t="shared" ca="1" si="335"/>
        <v>-1.3643474026444118</v>
      </c>
      <c r="N764" s="304">
        <f t="shared" ca="1" si="336"/>
        <v>-78.171347961160762</v>
      </c>
      <c r="P764" s="310">
        <f t="shared" ca="1" si="337"/>
        <v>23</v>
      </c>
      <c r="Q764" s="304">
        <f t="shared" ca="1" si="338"/>
        <v>0</v>
      </c>
      <c r="R764" s="306">
        <f t="shared" ca="1" si="339"/>
        <v>0</v>
      </c>
      <c r="S764" s="307">
        <f t="shared" ca="1" si="340"/>
        <v>9.137999999999975</v>
      </c>
      <c r="T764" s="304">
        <f t="shared" ca="1" si="320"/>
        <v>89.643779999999765</v>
      </c>
      <c r="U764" s="311">
        <f t="shared" ca="1" si="321"/>
        <v>0</v>
      </c>
      <c r="V764" s="306">
        <f t="shared" ca="1" si="322"/>
        <v>0.96518286666239095</v>
      </c>
      <c r="W764" s="304">
        <f t="shared" ca="1" si="323"/>
        <v>15.973857116004611</v>
      </c>
      <c r="Y764" s="314" t="str">
        <f t="shared" ca="1" si="341"/>
        <v/>
      </c>
      <c r="Z764" s="315" t="str">
        <f t="shared" ca="1" si="342"/>
        <v/>
      </c>
      <c r="AA764" s="316" t="str">
        <f t="shared" ca="1" si="343"/>
        <v/>
      </c>
      <c r="AC764" s="310">
        <f t="shared" ca="1" si="344"/>
        <v>31.00000000000011</v>
      </c>
      <c r="AD764" s="323">
        <f t="shared" ca="1" si="345"/>
        <v>626.62736964010844</v>
      </c>
      <c r="AE764" s="324" t="e">
        <f t="shared" ca="1" si="324"/>
        <v>#N/A</v>
      </c>
      <c r="AG764" s="306">
        <f t="shared" ca="1" si="346"/>
        <v>7.8844251982402955</v>
      </c>
      <c r="AH764" s="304">
        <f t="shared" ca="1" si="347"/>
        <v>-1.7120541079583007</v>
      </c>
    </row>
    <row r="765" spans="1:34" x14ac:dyDescent="0.2">
      <c r="A765" s="347">
        <f t="shared" ca="1" si="325"/>
        <v>0.1</v>
      </c>
      <c r="B765" s="304">
        <f t="shared" ca="1" si="326"/>
        <v>31.100000000000112</v>
      </c>
      <c r="D765" s="306">
        <f t="shared" ca="1" si="327"/>
        <v>-0.35832891008380541</v>
      </c>
      <c r="E765" s="307">
        <f t="shared" ca="1" si="328"/>
        <v>-8.0990509611890378</v>
      </c>
      <c r="F765" s="304">
        <f t="shared" ca="1" si="329"/>
        <v>8.1069739163105083</v>
      </c>
      <c r="G765" s="306">
        <f t="shared" ca="1" si="330"/>
        <v>16.182860020177717</v>
      </c>
      <c r="H765" s="307">
        <f t="shared" ca="1" si="331"/>
        <v>-78.250927202524011</v>
      </c>
      <c r="I765" s="304">
        <f t="shared" ca="1" si="332"/>
        <v>79.90677422151002</v>
      </c>
      <c r="J765" s="306">
        <f t="shared" ca="1" si="333"/>
        <v>628.24744728667667</v>
      </c>
      <c r="K765" s="307">
        <f t="shared" ca="1" si="334"/>
        <v>2364.7765004445473</v>
      </c>
      <c r="L765" s="304">
        <f t="shared" ca="1" si="319"/>
        <v>2446.8066437863426</v>
      </c>
      <c r="M765" s="306">
        <f t="shared" ca="1" si="335"/>
        <v>-1.3668639729847898</v>
      </c>
      <c r="N765" s="304">
        <f t="shared" ca="1" si="336"/>
        <v>-78.315536820512222</v>
      </c>
      <c r="P765" s="310">
        <f t="shared" ca="1" si="337"/>
        <v>23</v>
      </c>
      <c r="Q765" s="304">
        <f t="shared" ca="1" si="338"/>
        <v>0</v>
      </c>
      <c r="R765" s="306">
        <f t="shared" ca="1" si="339"/>
        <v>0</v>
      </c>
      <c r="S765" s="307">
        <f t="shared" ca="1" si="340"/>
        <v>9.137999999999975</v>
      </c>
      <c r="T765" s="304">
        <f t="shared" ca="1" si="320"/>
        <v>89.643779999999765</v>
      </c>
      <c r="U765" s="311">
        <f t="shared" ca="1" si="321"/>
        <v>0</v>
      </c>
      <c r="V765" s="306">
        <f t="shared" ca="1" si="322"/>
        <v>0.96594521239798781</v>
      </c>
      <c r="W765" s="304">
        <f t="shared" ca="1" si="323"/>
        <v>16.305517826752652</v>
      </c>
      <c r="Y765" s="314" t="str">
        <f t="shared" ca="1" si="341"/>
        <v/>
      </c>
      <c r="Z765" s="315" t="str">
        <f t="shared" ca="1" si="342"/>
        <v/>
      </c>
      <c r="AA765" s="316" t="str">
        <f t="shared" ca="1" si="343"/>
        <v/>
      </c>
      <c r="AC765" s="310" t="e">
        <f t="shared" ca="1" si="344"/>
        <v>#N/A</v>
      </c>
      <c r="AD765" s="323" t="e">
        <f t="shared" ca="1" si="345"/>
        <v>#N/A</v>
      </c>
      <c r="AE765" s="324" t="e">
        <f t="shared" ca="1" si="324"/>
        <v>#N/A</v>
      </c>
      <c r="AG765" s="306">
        <f t="shared" ca="1" si="346"/>
        <v>7.8536154008332728</v>
      </c>
      <c r="AH765" s="304">
        <f t="shared" ca="1" si="347"/>
        <v>-1.7480692838700651</v>
      </c>
    </row>
    <row r="766" spans="1:34" x14ac:dyDescent="0.2">
      <c r="A766" s="347">
        <f t="shared" ca="1" si="325"/>
        <v>0.1</v>
      </c>
      <c r="B766" s="304">
        <f t="shared" ca="1" si="326"/>
        <v>31.200000000000113</v>
      </c>
      <c r="D766" s="306">
        <f t="shared" ca="1" si="327"/>
        <v>-0.36137251691987521</v>
      </c>
      <c r="E766" s="307">
        <f t="shared" ca="1" si="328"/>
        <v>-8.0626120550241609</v>
      </c>
      <c r="F766" s="304">
        <f t="shared" ca="1" si="329"/>
        <v>8.0707064898809158</v>
      </c>
      <c r="G766" s="306">
        <f t="shared" ca="1" si="330"/>
        <v>16.146722768485731</v>
      </c>
      <c r="H766" s="307">
        <f t="shared" ca="1" si="331"/>
        <v>-79.057188408026434</v>
      </c>
      <c r="I766" s="304">
        <f t="shared" ca="1" si="332"/>
        <v>80.689253901275634</v>
      </c>
      <c r="J766" s="306">
        <f t="shared" ca="1" si="333"/>
        <v>629.86392642610986</v>
      </c>
      <c r="K766" s="307">
        <f t="shared" ca="1" si="334"/>
        <v>2356.9110946640199</v>
      </c>
      <c r="L766" s="304">
        <f t="shared" ca="1" si="319"/>
        <v>2439.6226089219749</v>
      </c>
      <c r="M766" s="306">
        <f t="shared" ca="1" si="335"/>
        <v>-1.369326184880145</v>
      </c>
      <c r="N766" s="304">
        <f t="shared" ca="1" si="336"/>
        <v>-78.456611170382985</v>
      </c>
      <c r="P766" s="310">
        <f t="shared" ca="1" si="337"/>
        <v>23</v>
      </c>
      <c r="Q766" s="304">
        <f t="shared" ca="1" si="338"/>
        <v>0</v>
      </c>
      <c r="R766" s="306">
        <f t="shared" ca="1" si="339"/>
        <v>0</v>
      </c>
      <c r="S766" s="307">
        <f t="shared" ca="1" si="340"/>
        <v>9.137999999999975</v>
      </c>
      <c r="T766" s="304">
        <f t="shared" ca="1" si="320"/>
        <v>89.643779999999765</v>
      </c>
      <c r="U766" s="311">
        <f t="shared" ca="1" si="321"/>
        <v>0</v>
      </c>
      <c r="V766" s="306">
        <f t="shared" ca="1" si="322"/>
        <v>0.96671601088018599</v>
      </c>
      <c r="W766" s="304">
        <f t="shared" ca="1" si="323"/>
        <v>16.639689367571613</v>
      </c>
      <c r="Y766" s="314" t="str">
        <f t="shared" ca="1" si="341"/>
        <v/>
      </c>
      <c r="Z766" s="315" t="str">
        <f t="shared" ca="1" si="342"/>
        <v/>
      </c>
      <c r="AA766" s="316" t="str">
        <f t="shared" ca="1" si="343"/>
        <v/>
      </c>
      <c r="AC766" s="310" t="e">
        <f t="shared" ca="1" si="344"/>
        <v>#N/A</v>
      </c>
      <c r="AD766" s="323" t="e">
        <f t="shared" ca="1" si="345"/>
        <v>#N/A</v>
      </c>
      <c r="AE766" s="324" t="e">
        <f t="shared" ca="1" si="324"/>
        <v>#N/A</v>
      </c>
      <c r="AG766" s="306">
        <f t="shared" ca="1" si="346"/>
        <v>7.8223509109591305</v>
      </c>
      <c r="AH766" s="304">
        <f t="shared" ca="1" si="347"/>
        <v>-1.7843639556525166</v>
      </c>
    </row>
    <row r="767" spans="1:34" x14ac:dyDescent="0.2">
      <c r="A767" s="347">
        <f t="shared" ca="1" si="325"/>
        <v>0.1</v>
      </c>
      <c r="B767" s="304">
        <f t="shared" ca="1" si="326"/>
        <v>31.300000000000114</v>
      </c>
      <c r="D767" s="306">
        <f t="shared" ca="1" si="327"/>
        <v>-0.36438689533668611</v>
      </c>
      <c r="E767" s="307">
        <f t="shared" ca="1" si="328"/>
        <v>-8.0258978108998775</v>
      </c>
      <c r="F767" s="304">
        <f t="shared" ca="1" si="329"/>
        <v>8.0341653879230392</v>
      </c>
      <c r="G767" s="306">
        <f t="shared" ca="1" si="330"/>
        <v>16.110284078952063</v>
      </c>
      <c r="H767" s="307">
        <f t="shared" ca="1" si="331"/>
        <v>-79.859778189116426</v>
      </c>
      <c r="I767" s="304">
        <f t="shared" ca="1" si="332"/>
        <v>81.468554826505994</v>
      </c>
      <c r="J767" s="306">
        <f t="shared" ca="1" si="333"/>
        <v>631.47677676848173</v>
      </c>
      <c r="K767" s="307">
        <f t="shared" ca="1" si="334"/>
        <v>2348.9652463341627</v>
      </c>
      <c r="L767" s="304">
        <f t="shared" ca="1" si="319"/>
        <v>2432.3652373941754</v>
      </c>
      <c r="M767" s="306">
        <f t="shared" ca="1" si="335"/>
        <v>-1.3717358023555823</v>
      </c>
      <c r="N767" s="304">
        <f t="shared" ca="1" si="336"/>
        <v>-78.594672081966522</v>
      </c>
      <c r="P767" s="310">
        <f t="shared" ca="1" si="337"/>
        <v>23</v>
      </c>
      <c r="Q767" s="304">
        <f t="shared" ca="1" si="338"/>
        <v>0</v>
      </c>
      <c r="R767" s="306">
        <f t="shared" ca="1" si="339"/>
        <v>0</v>
      </c>
      <c r="S767" s="307">
        <f t="shared" ca="1" si="340"/>
        <v>9.137999999999975</v>
      </c>
      <c r="T767" s="304">
        <f t="shared" ca="1" si="320"/>
        <v>89.643779999999765</v>
      </c>
      <c r="U767" s="311">
        <f t="shared" ca="1" si="321"/>
        <v>0</v>
      </c>
      <c r="V767" s="306">
        <f t="shared" ca="1" si="322"/>
        <v>0.96749524351188176</v>
      </c>
      <c r="W767" s="304">
        <f t="shared" ca="1" si="323"/>
        <v>16.976328363802349</v>
      </c>
      <c r="Y767" s="314" t="str">
        <f t="shared" ca="1" si="341"/>
        <v/>
      </c>
      <c r="Z767" s="315" t="str">
        <f t="shared" ca="1" si="342"/>
        <v/>
      </c>
      <c r="AA767" s="316" t="str">
        <f t="shared" ca="1" si="343"/>
        <v/>
      </c>
      <c r="AC767" s="310" t="e">
        <f t="shared" ca="1" si="344"/>
        <v>#N/A</v>
      </c>
      <c r="AD767" s="323" t="e">
        <f t="shared" ca="1" si="345"/>
        <v>#N/A</v>
      </c>
      <c r="AE767" s="324" t="e">
        <f t="shared" ca="1" si="324"/>
        <v>#N/A</v>
      </c>
      <c r="AG767" s="306">
        <f t="shared" ca="1" si="346"/>
        <v>7.7906441168675853</v>
      </c>
      <c r="AH767" s="304">
        <f t="shared" ca="1" si="347"/>
        <v>-1.82093339544448</v>
      </c>
    </row>
    <row r="768" spans="1:34" x14ac:dyDescent="0.2">
      <c r="A768" s="347">
        <f t="shared" ca="1" si="325"/>
        <v>0.1</v>
      </c>
      <c r="B768" s="304">
        <f t="shared" ca="1" si="326"/>
        <v>31.400000000000116</v>
      </c>
      <c r="D768" s="306">
        <f t="shared" ca="1" si="327"/>
        <v>-0.36737178581437763</v>
      </c>
      <c r="E768" s="307">
        <f t="shared" ca="1" si="328"/>
        <v>-7.9889129735827611</v>
      </c>
      <c r="F768" s="304">
        <f t="shared" ca="1" si="329"/>
        <v>7.9973553458935029</v>
      </c>
      <c r="G768" s="306">
        <f t="shared" ca="1" si="330"/>
        <v>16.073546900370626</v>
      </c>
      <c r="H768" s="307">
        <f t="shared" ca="1" si="331"/>
        <v>-80.658669486474707</v>
      </c>
      <c r="I768" s="304">
        <f t="shared" ca="1" si="332"/>
        <v>82.244634313046703</v>
      </c>
      <c r="J768" s="306">
        <f t="shared" ca="1" si="333"/>
        <v>633.08596831744785</v>
      </c>
      <c r="K768" s="307">
        <f t="shared" ca="1" si="334"/>
        <v>2340.9393239503829</v>
      </c>
      <c r="L768" s="304">
        <f t="shared" ca="1" si="319"/>
        <v>2425.0350021592917</v>
      </c>
      <c r="M768" s="306">
        <f t="shared" ca="1" si="335"/>
        <v>-1.3740945149300832</v>
      </c>
      <c r="N768" s="304">
        <f t="shared" ca="1" si="336"/>
        <v>-78.729816357569845</v>
      </c>
      <c r="P768" s="310">
        <f t="shared" ca="1" si="337"/>
        <v>23</v>
      </c>
      <c r="Q768" s="304">
        <f t="shared" ca="1" si="338"/>
        <v>0</v>
      </c>
      <c r="R768" s="306">
        <f t="shared" ca="1" si="339"/>
        <v>0</v>
      </c>
      <c r="S768" s="307">
        <f t="shared" ca="1" si="340"/>
        <v>9.137999999999975</v>
      </c>
      <c r="T768" s="304">
        <f t="shared" ca="1" si="320"/>
        <v>89.643779999999765</v>
      </c>
      <c r="U768" s="311">
        <f t="shared" ca="1" si="321"/>
        <v>0</v>
      </c>
      <c r="V768" s="306">
        <f t="shared" ca="1" si="322"/>
        <v>0.96828289153312519</v>
      </c>
      <c r="W768" s="304">
        <f t="shared" ca="1" si="323"/>
        <v>17.315391279171696</v>
      </c>
      <c r="Y768" s="314" t="str">
        <f t="shared" ca="1" si="341"/>
        <v/>
      </c>
      <c r="Z768" s="315" t="str">
        <f t="shared" ca="1" si="342"/>
        <v/>
      </c>
      <c r="AA768" s="316" t="str">
        <f t="shared" ca="1" si="343"/>
        <v/>
      </c>
      <c r="AC768" s="310" t="e">
        <f t="shared" ca="1" si="344"/>
        <v>#N/A</v>
      </c>
      <c r="AD768" s="323" t="e">
        <f t="shared" ca="1" si="345"/>
        <v>#N/A</v>
      </c>
      <c r="AE768" s="324" t="e">
        <f t="shared" ca="1" si="324"/>
        <v>#N/A</v>
      </c>
      <c r="AG768" s="306">
        <f t="shared" ca="1" si="346"/>
        <v>7.7585070160685543</v>
      </c>
      <c r="AH768" s="304">
        <f t="shared" ca="1" si="347"/>
        <v>-1.8577728566209668</v>
      </c>
    </row>
    <row r="769" spans="1:34" x14ac:dyDescent="0.2">
      <c r="A769" s="347">
        <f t="shared" ca="1" si="325"/>
        <v>0.1</v>
      </c>
      <c r="B769" s="304">
        <f t="shared" ca="1" si="326"/>
        <v>31.500000000000117</v>
      </c>
      <c r="D769" s="306">
        <f t="shared" ca="1" si="327"/>
        <v>-0.37032693773335884</v>
      </c>
      <c r="E769" s="307">
        <f t="shared" ca="1" si="328"/>
        <v>-7.9516623065389167</v>
      </c>
      <c r="F769" s="304">
        <f t="shared" ca="1" si="329"/>
        <v>7.9602811180286066</v>
      </c>
      <c r="G769" s="306">
        <f t="shared" ca="1" si="330"/>
        <v>16.036514206597289</v>
      </c>
      <c r="H769" s="307">
        <f t="shared" ca="1" si="331"/>
        <v>-81.453835717128598</v>
      </c>
      <c r="I769" s="304">
        <f t="shared" ca="1" si="332"/>
        <v>83.017450821687916</v>
      </c>
      <c r="J769" s="306">
        <f t="shared" ca="1" si="333"/>
        <v>634.69147137279629</v>
      </c>
      <c r="K769" s="307">
        <f t="shared" ca="1" si="334"/>
        <v>2332.8336986902027</v>
      </c>
      <c r="L769" s="304">
        <f t="shared" ca="1" si="319"/>
        <v>2417.6323809830924</v>
      </c>
      <c r="M769" s="306">
        <f t="shared" ca="1" si="335"/>
        <v>-1.3764039414449492</v>
      </c>
      <c r="N769" s="304">
        <f t="shared" ca="1" si="336"/>
        <v>-78.862136749967277</v>
      </c>
      <c r="P769" s="310">
        <f t="shared" ca="1" si="337"/>
        <v>23</v>
      </c>
      <c r="Q769" s="304">
        <f t="shared" ca="1" si="338"/>
        <v>0</v>
      </c>
      <c r="R769" s="306">
        <f t="shared" ca="1" si="339"/>
        <v>0</v>
      </c>
      <c r="S769" s="307">
        <f t="shared" ca="1" si="340"/>
        <v>9.137999999999975</v>
      </c>
      <c r="T769" s="304">
        <f t="shared" ca="1" si="320"/>
        <v>89.643779999999765</v>
      </c>
      <c r="U769" s="311">
        <f t="shared" ca="1" si="321"/>
        <v>0</v>
      </c>
      <c r="V769" s="306">
        <f t="shared" ca="1" si="322"/>
        <v>0.96907893602296424</v>
      </c>
      <c r="W769" s="304">
        <f t="shared" ca="1" si="323"/>
        <v>17.656834425639587</v>
      </c>
      <c r="Y769" s="314" t="str">
        <f t="shared" ca="1" si="341"/>
        <v/>
      </c>
      <c r="Z769" s="315" t="str">
        <f t="shared" ca="1" si="342"/>
        <v/>
      </c>
      <c r="AA769" s="316" t="str">
        <f t="shared" ca="1" si="343"/>
        <v/>
      </c>
      <c r="AC769" s="310" t="e">
        <f t="shared" ca="1" si="344"/>
        <v>#N/A</v>
      </c>
      <c r="AD769" s="323" t="e">
        <f t="shared" ca="1" si="345"/>
        <v>#N/A</v>
      </c>
      <c r="AE769" s="324" t="e">
        <f t="shared" ca="1" si="324"/>
        <v>#N/A</v>
      </c>
      <c r="AG769" s="306">
        <f t="shared" ca="1" si="346"/>
        <v>7.7259512399370687</v>
      </c>
      <c r="AH769" s="304">
        <f t="shared" ca="1" si="347"/>
        <v>-1.8948775748710596</v>
      </c>
    </row>
    <row r="770" spans="1:34" x14ac:dyDescent="0.2">
      <c r="A770" s="347">
        <f t="shared" ca="1" si="325"/>
        <v>0.1</v>
      </c>
      <c r="B770" s="304">
        <f t="shared" ca="1" si="326"/>
        <v>31.600000000000119</v>
      </c>
      <c r="D770" s="306">
        <f t="shared" ca="1" si="327"/>
        <v>-0.37325210920577434</v>
      </c>
      <c r="E770" s="307">
        <f t="shared" ca="1" si="328"/>
        <v>-7.9141505907928913</v>
      </c>
      <c r="F770" s="304">
        <f t="shared" ca="1" si="329"/>
        <v>7.9229474762094707</v>
      </c>
      <c r="G770" s="306">
        <f t="shared" ca="1" si="330"/>
        <v>15.999188995676711</v>
      </c>
      <c r="H770" s="307">
        <f t="shared" ca="1" si="331"/>
        <v>-82.245250776207882</v>
      </c>
      <c r="I770" s="304">
        <f t="shared" ca="1" si="332"/>
        <v>83.786963924949006</v>
      </c>
      <c r="J770" s="306">
        <f t="shared" ca="1" si="333"/>
        <v>636.29325653290994</v>
      </c>
      <c r="K770" s="307">
        <f t="shared" ca="1" si="334"/>
        <v>2324.648744365536</v>
      </c>
      <c r="L770" s="304">
        <f t="shared" ca="1" si="319"/>
        <v>2410.157856446237</v>
      </c>
      <c r="M770" s="306">
        <f t="shared" ca="1" si="335"/>
        <v>-1.3786656336625465</v>
      </c>
      <c r="N770" s="304">
        <f t="shared" ca="1" si="336"/>
        <v>-78.991722168593185</v>
      </c>
      <c r="P770" s="310">
        <f t="shared" ca="1" si="337"/>
        <v>23</v>
      </c>
      <c r="Q770" s="304">
        <f t="shared" ca="1" si="338"/>
        <v>0</v>
      </c>
      <c r="R770" s="306">
        <f t="shared" ca="1" si="339"/>
        <v>0</v>
      </c>
      <c r="S770" s="307">
        <f t="shared" ca="1" si="340"/>
        <v>9.137999999999975</v>
      </c>
      <c r="T770" s="304">
        <f t="shared" ca="1" si="320"/>
        <v>89.643779999999765</v>
      </c>
      <c r="U770" s="311">
        <f t="shared" ca="1" si="321"/>
        <v>0</v>
      </c>
      <c r="V770" s="306">
        <f t="shared" ca="1" si="322"/>
        <v>0.96988335790129709</v>
      </c>
      <c r="W770" s="304">
        <f t="shared" ca="1" si="323"/>
        <v>18.000613973239734</v>
      </c>
      <c r="Y770" s="314" t="str">
        <f t="shared" ca="1" si="341"/>
        <v/>
      </c>
      <c r="Z770" s="315" t="str">
        <f t="shared" ca="1" si="342"/>
        <v/>
      </c>
      <c r="AA770" s="316" t="str">
        <f t="shared" ca="1" si="343"/>
        <v/>
      </c>
      <c r="AC770" s="310" t="e">
        <f t="shared" ca="1" si="344"/>
        <v>#N/A</v>
      </c>
      <c r="AD770" s="323" t="e">
        <f t="shared" ca="1" si="345"/>
        <v>#N/A</v>
      </c>
      <c r="AE770" s="324" t="e">
        <f t="shared" ca="1" si="324"/>
        <v>#N/A</v>
      </c>
      <c r="AG770" s="306">
        <f t="shared" ca="1" si="346"/>
        <v>7.6929880764815639</v>
      </c>
      <c r="AH770" s="304">
        <f t="shared" ca="1" si="347"/>
        <v>-1.9322427692755129</v>
      </c>
    </row>
    <row r="771" spans="1:34" x14ac:dyDescent="0.2">
      <c r="A771" s="347">
        <f t="shared" ca="1" si="325"/>
        <v>0.1</v>
      </c>
      <c r="B771" s="304">
        <f t="shared" ca="1" si="326"/>
        <v>31.70000000000012</v>
      </c>
      <c r="D771" s="306">
        <f t="shared" ca="1" si="327"/>
        <v>-0.37614706691648986</v>
      </c>
      <c r="E771" s="307">
        <f t="shared" ca="1" si="328"/>
        <v>-7.8763826237916605</v>
      </c>
      <c r="F771" s="304">
        <f t="shared" ca="1" si="329"/>
        <v>7.8853592088323463</v>
      </c>
      <c r="G771" s="306">
        <f t="shared" ca="1" si="330"/>
        <v>15.961574288985062</v>
      </c>
      <c r="H771" s="307">
        <f t="shared" ca="1" si="331"/>
        <v>-83.032889038587044</v>
      </c>
      <c r="I771" s="304">
        <f t="shared" ca="1" si="332"/>
        <v>84.553134275892447</v>
      </c>
      <c r="J771" s="306">
        <f t="shared" ca="1" si="333"/>
        <v>637.89129469714305</v>
      </c>
      <c r="K771" s="307">
        <f t="shared" ca="1" si="334"/>
        <v>2316.3848373747965</v>
      </c>
      <c r="L771" s="304">
        <f t="shared" ca="1" si="319"/>
        <v>2402.611915951109</v>
      </c>
      <c r="M771" s="306">
        <f t="shared" ca="1" si="335"/>
        <v>-1.380881079650975</v>
      </c>
      <c r="N771" s="304">
        <f t="shared" ca="1" si="336"/>
        <v>-79.118657873469331</v>
      </c>
      <c r="P771" s="310">
        <f t="shared" ca="1" si="337"/>
        <v>23</v>
      </c>
      <c r="Q771" s="304">
        <f t="shared" ca="1" si="338"/>
        <v>0</v>
      </c>
      <c r="R771" s="306">
        <f t="shared" ca="1" si="339"/>
        <v>0</v>
      </c>
      <c r="S771" s="307">
        <f t="shared" ca="1" si="340"/>
        <v>9.137999999999975</v>
      </c>
      <c r="T771" s="304">
        <f t="shared" ca="1" si="320"/>
        <v>89.643779999999765</v>
      </c>
      <c r="U771" s="311">
        <f t="shared" ca="1" si="321"/>
        <v>0</v>
      </c>
      <c r="V771" s="306">
        <f t="shared" ca="1" si="322"/>
        <v>0.97069613793074161</v>
      </c>
      <c r="W771" s="304">
        <f t="shared" ca="1" si="323"/>
        <v>18.34668595991084</v>
      </c>
      <c r="Y771" s="314" t="str">
        <f t="shared" ca="1" si="341"/>
        <v/>
      </c>
      <c r="Z771" s="315" t="str">
        <f t="shared" ca="1" si="342"/>
        <v/>
      </c>
      <c r="AA771" s="316" t="str">
        <f t="shared" ca="1" si="343"/>
        <v/>
      </c>
      <c r="AC771" s="310" t="e">
        <f t="shared" ca="1" si="344"/>
        <v>#N/A</v>
      </c>
      <c r="AD771" s="323" t="e">
        <f t="shared" ca="1" si="345"/>
        <v>#N/A</v>
      </c>
      <c r="AE771" s="324" t="e">
        <f t="shared" ca="1" si="324"/>
        <v>#N/A</v>
      </c>
      <c r="AG771" s="306">
        <f t="shared" ca="1" si="346"/>
        <v>7.659628491422696</v>
      </c>
      <c r="AH771" s="304">
        <f t="shared" ca="1" si="347"/>
        <v>-1.9698636433836487</v>
      </c>
    </row>
    <row r="772" spans="1:34" x14ac:dyDescent="0.2">
      <c r="A772" s="347">
        <f t="shared" ca="1" si="325"/>
        <v>0.1</v>
      </c>
      <c r="B772" s="304">
        <f t="shared" ca="1" si="326"/>
        <v>31.800000000000122</v>
      </c>
      <c r="D772" s="306">
        <f t="shared" ca="1" si="327"/>
        <v>-0.37901158597282814</v>
      </c>
      <c r="E772" s="307">
        <f t="shared" ca="1" si="328"/>
        <v>-7.8383632182736394</v>
      </c>
      <c r="F772" s="304">
        <f t="shared" ca="1" si="329"/>
        <v>7.8475211196840196</v>
      </c>
      <c r="G772" s="306">
        <f t="shared" ca="1" si="330"/>
        <v>15.92367313038778</v>
      </c>
      <c r="H772" s="307">
        <f t="shared" ca="1" si="331"/>
        <v>-83.816725360414409</v>
      </c>
      <c r="I772" s="304">
        <f t="shared" ca="1" si="332"/>
        <v>85.315923578817163</v>
      </c>
      <c r="J772" s="306">
        <f t="shared" ca="1" si="333"/>
        <v>639.48555706811169</v>
      </c>
      <c r="K772" s="307">
        <f t="shared" ca="1" si="334"/>
        <v>2308.0423566548466</v>
      </c>
      <c r="L772" s="304">
        <f t="shared" ref="L772:L835" ca="1" si="348">SQRT(pos_x^2+pos_z^2)</f>
        <v>2394.9950517300808</v>
      </c>
      <c r="M772" s="306">
        <f t="shared" ca="1" si="335"/>
        <v>-1.3830517069691102</v>
      </c>
      <c r="N772" s="304">
        <f t="shared" ca="1" si="336"/>
        <v>-79.243025657694275</v>
      </c>
      <c r="P772" s="310">
        <f t="shared" ca="1" si="337"/>
        <v>23</v>
      </c>
      <c r="Q772" s="304">
        <f t="shared" ca="1" si="338"/>
        <v>0</v>
      </c>
      <c r="R772" s="306">
        <f t="shared" ca="1" si="339"/>
        <v>0</v>
      </c>
      <c r="S772" s="307">
        <f t="shared" ca="1" si="340"/>
        <v>9.137999999999975</v>
      </c>
      <c r="T772" s="304">
        <f t="shared" ref="T772:T835" ca="1" si="349">m*g</f>
        <v>89.643779999999765</v>
      </c>
      <c r="U772" s="311">
        <f t="shared" ref="U772:U835" ca="1" si="350">IF(pos_xz&lt;L_rampe,Poids*COS(Beta),0)</f>
        <v>0</v>
      </c>
      <c r="V772" s="306">
        <f t="shared" ref="V772:V835" ca="1" si="351">Rho_moyen*(20000-Alt_rampe-pos_z)/(20000+Alt_rampe+pos_z)</f>
        <v>0.97151725671851796</v>
      </c>
      <c r="W772" s="304">
        <f t="shared" ref="W772:W835" ca="1" si="352">1/2*Rho*Sref*Cx*vit_xz^2</f>
        <v>18.695006301314685</v>
      </c>
      <c r="Y772" s="314" t="str">
        <f t="shared" ca="1" si="341"/>
        <v/>
      </c>
      <c r="Z772" s="315" t="str">
        <f t="shared" ca="1" si="342"/>
        <v/>
      </c>
      <c r="AA772" s="316" t="str">
        <f t="shared" ca="1" si="343"/>
        <v/>
      </c>
      <c r="AC772" s="310" t="e">
        <f t="shared" ca="1" si="344"/>
        <v>#N/A</v>
      </c>
      <c r="AD772" s="323" t="e">
        <f t="shared" ca="1" si="345"/>
        <v>#N/A</v>
      </c>
      <c r="AE772" s="324" t="e">
        <f t="shared" ref="AE772:AE835" ca="1" si="353">IF(t&lt;T_para, pos_z, NA())</f>
        <v>#N/A</v>
      </c>
      <c r="AG772" s="306">
        <f t="shared" ca="1" si="346"/>
        <v>7.6258831477168219</v>
      </c>
      <c r="AH772" s="304">
        <f t="shared" ca="1" si="347"/>
        <v>-2.0077353862892195</v>
      </c>
    </row>
    <row r="773" spans="1:34" x14ac:dyDescent="0.2">
      <c r="A773" s="347">
        <f t="shared" ref="A773:A836" ca="1" si="354">IF(B772+0.01&lt;=T_ini+ROUNDUP(Temps_fin_propu,0), 0.01, IF(K772&gt;0, 0.1, 0.0001))</f>
        <v>0.1</v>
      </c>
      <c r="B773" s="304">
        <f t="shared" ref="B773:B836" ca="1" si="355">B772+pas</f>
        <v>31.900000000000123</v>
      </c>
      <c r="D773" s="306">
        <f t="shared" ref="D773:D836" ca="1" si="356">IF(AND(L772&lt;L_rampe,Poussee&lt;Poids*SIN(M772)),0,(-W772+Poussee)/m*COS(M772)-U772/m*SIN(M772))</f>
        <v>-0.38184544976233176</v>
      </c>
      <c r="E773" s="307">
        <f t="shared" ref="E773:E836" ca="1" si="357">IF(AND(L772&lt;L_rampe,Poussee&lt;Poids*SIN(M772)),0,(-W772+Poussee)/m*SIN(M772)+U772/m*COS(M772)-Poids/m)</f>
        <v>-7.8000972011428207</v>
      </c>
      <c r="F773" s="304">
        <f t="shared" ref="F773:F836" ca="1" si="358">SQRT(acc_x^2+acc_z^2)</f>
        <v>7.8094380268224333</v>
      </c>
      <c r="G773" s="306">
        <f t="shared" ref="G773:G836" ca="1" si="359">G772+acc_x*pas</f>
        <v>15.885488585411547</v>
      </c>
      <c r="H773" s="307">
        <f t="shared" ref="H773:H836" ca="1" si="360">H772+acc_z*pas</f>
        <v>-84.596735080528688</v>
      </c>
      <c r="I773" s="304">
        <f t="shared" ref="I773:I836" ca="1" si="361">SQRT(vit_x^2+vit_z^2)</f>
        <v>86.075294561694022</v>
      </c>
      <c r="J773" s="306">
        <f t="shared" ref="J773:J836" ca="1" si="362">J772+0.5*(vit_x+G772)*pas*(K772&gt;=0)</f>
        <v>641.07601515390161</v>
      </c>
      <c r="K773" s="307">
        <f t="shared" ref="K773:K836" ca="1" si="363">K772+0.5*(vit_z+H772)*pas</f>
        <v>2299.6216836327994</v>
      </c>
      <c r="L773" s="304">
        <f t="shared" ca="1" si="348"/>
        <v>2387.3077608552603</v>
      </c>
      <c r="M773" s="306">
        <f t="shared" ref="M773:M836" ca="1" si="364">IF(AND(L772&gt;L_rampe,G773&gt;0),ATAN2(G773,H773),$M$4)</f>
        <v>-1.3851788856653835</v>
      </c>
      <c r="N773" s="304">
        <f t="shared" ref="N773:N836" ca="1" si="365">DEGREES(Beta)</f>
        <v>-79.364904019260877</v>
      </c>
      <c r="P773" s="310">
        <f t="shared" ref="P773:P836" ca="1" si="366">MATCH(t-pas/2-T_ini,CdP_t)</f>
        <v>23</v>
      </c>
      <c r="Q773" s="304">
        <f t="shared" ref="Q773:Q836" ca="1" si="367">(INDEX(CdP,2,i_P+1)-INDEX(CdP,2,i_P+0))/(INDEX(CdP,1,i_P+1)-INDEX(CdP,1,i_P+0))*(t-pas/2-T_ini-INDEX(CdP,1,i_P+0))+INDEX(CdP,2,i_P+0)</f>
        <v>0</v>
      </c>
      <c r="R773" s="306">
        <f t="shared" ref="R773:R836" ca="1" si="368">Poussee/(g*ISP)</f>
        <v>0</v>
      </c>
      <c r="S773" s="307">
        <f t="shared" ref="S773:S836" ca="1" si="369">S772-Débit*pas</f>
        <v>9.137999999999975</v>
      </c>
      <c r="T773" s="304">
        <f t="shared" ca="1" si="349"/>
        <v>89.643779999999765</v>
      </c>
      <c r="U773" s="311">
        <f t="shared" ca="1" si="350"/>
        <v>0</v>
      </c>
      <c r="V773" s="306">
        <f t="shared" ca="1" si="351"/>
        <v>0.97234669471834223</v>
      </c>
      <c r="W773" s="304">
        <f t="shared" ca="1" si="352"/>
        <v>19.045530800637813</v>
      </c>
      <c r="Y773" s="314" t="str">
        <f t="shared" ref="Y773:Y836" ca="1" si="370">IF(AND(pos_z&lt;=0,K772&gt;0),"Impact balistique","") &amp; IF(AND(H774&lt;0,vit_z&gt;=0),"Apogée","") &amp; IF(AND(Poussee=0,Q772&gt;0),"Fin de propulsion","") &amp; IF(AND(L774&gt;L_rampe,pos_xz&lt;=L_rampe),"Sortie de rampe","")</f>
        <v/>
      </c>
      <c r="Z773" s="315" t="str">
        <f t="shared" ref="Z773:Z836" ca="1" si="371">IF(ABS(t-T_para)&lt;pas/2,"Para","")</f>
        <v/>
      </c>
      <c r="AA773" s="316" t="str">
        <f t="shared" ref="AA773:AA836" ca="1" si="372">IF(ABS(t-T_satellite)&lt;pas/2,"Satellite","")</f>
        <v/>
      </c>
      <c r="AC773" s="310" t="e">
        <f t="shared" ref="AC773:AC836" ca="1" si="373">IF(ABS(t-ROUND(t,0))&lt;0.001,t,NA())</f>
        <v>#N/A</v>
      </c>
      <c r="AD773" s="323" t="e">
        <f t="shared" ref="AD773:AD836" ca="1" si="374">IF(ABS(t-ROUND(t,0))&lt;0.001,pos_x,NA())</f>
        <v>#N/A</v>
      </c>
      <c r="AE773" s="324" t="e">
        <f t="shared" ca="1" si="353"/>
        <v>#N/A</v>
      </c>
      <c r="AG773" s="306">
        <f t="shared" ref="AG773:AG836" ca="1" si="375">IF(AND(L772&lt;L_rampe,Poussee&lt;Poids*SIN(M772)),0,(-W772+Poussee)/m-Poids*SIN(M772)/m)</f>
        <v>7.591762423646772</v>
      </c>
      <c r="AH773" s="304">
        <f t="shared" ref="AH773:AH836" ca="1" si="376">IF(AND(L772&lt;L_rampe,Poussee&lt;Poids*SIN(M772)), g*SIN(M772), (-W772+Poussee)/m)</f>
        <v>-2.0458531737048298</v>
      </c>
    </row>
    <row r="774" spans="1:34" x14ac:dyDescent="0.2">
      <c r="A774" s="347">
        <f t="shared" ca="1" si="354"/>
        <v>0.1</v>
      </c>
      <c r="B774" s="304">
        <f t="shared" ca="1" si="355"/>
        <v>32.000000000000121</v>
      </c>
      <c r="D774" s="306">
        <f t="shared" ca="1" si="356"/>
        <v>-0.38464844981789681</v>
      </c>
      <c r="E774" s="307">
        <f t="shared" ca="1" si="357"/>
        <v>-7.7615894123480862</v>
      </c>
      <c r="F774" s="304">
        <f t="shared" ca="1" si="358"/>
        <v>7.7711147614625551</v>
      </c>
      <c r="G774" s="306">
        <f t="shared" ca="1" si="359"/>
        <v>15.847023740429758</v>
      </c>
      <c r="H774" s="307">
        <f t="shared" ca="1" si="360"/>
        <v>-85.3728940217635</v>
      </c>
      <c r="I774" s="304">
        <f t="shared" ca="1" si="361"/>
        <v>86.831210950216544</v>
      </c>
      <c r="J774" s="306">
        <f t="shared" ca="1" si="362"/>
        <v>642.66264077019366</v>
      </c>
      <c r="K774" s="307">
        <f t="shared" ca="1" si="363"/>
        <v>2291.123202177685</v>
      </c>
      <c r="L774" s="304">
        <f t="shared" ca="1" si="348"/>
        <v>2379.550545249806</v>
      </c>
      <c r="M774" s="306">
        <f t="shared" ca="1" si="364"/>
        <v>-1.3872639311026704</v>
      </c>
      <c r="N774" s="304">
        <f t="shared" ca="1" si="365"/>
        <v>-79.484368322910427</v>
      </c>
      <c r="P774" s="310">
        <f t="shared" ca="1" si="366"/>
        <v>23</v>
      </c>
      <c r="Q774" s="304">
        <f t="shared" ca="1" si="367"/>
        <v>0</v>
      </c>
      <c r="R774" s="306">
        <f t="shared" ca="1" si="368"/>
        <v>0</v>
      </c>
      <c r="S774" s="307">
        <f t="shared" ca="1" si="369"/>
        <v>9.137999999999975</v>
      </c>
      <c r="T774" s="304">
        <f t="shared" ca="1" si="349"/>
        <v>89.643779999999765</v>
      </c>
      <c r="U774" s="311">
        <f t="shared" ca="1" si="350"/>
        <v>0</v>
      </c>
      <c r="V774" s="306">
        <f t="shared" ca="1" si="351"/>
        <v>0.97318443223233575</v>
      </c>
      <c r="W774" s="304">
        <f t="shared" ca="1" si="352"/>
        <v>19.39821515837356</v>
      </c>
      <c r="Y774" s="314" t="str">
        <f t="shared" ca="1" si="370"/>
        <v/>
      </c>
      <c r="Z774" s="315" t="str">
        <f t="shared" ca="1" si="371"/>
        <v/>
      </c>
      <c r="AA774" s="316" t="str">
        <f t="shared" ca="1" si="372"/>
        <v/>
      </c>
      <c r="AC774" s="310">
        <f t="shared" ca="1" si="373"/>
        <v>32.000000000000121</v>
      </c>
      <c r="AD774" s="323">
        <f t="shared" ca="1" si="374"/>
        <v>642.66264077019366</v>
      </c>
      <c r="AE774" s="324" t="e">
        <f t="shared" ca="1" si="353"/>
        <v>#N/A</v>
      </c>
      <c r="AG774" s="306">
        <f t="shared" ca="1" si="375"/>
        <v>7.5572764295918873</v>
      </c>
      <c r="AH774" s="304">
        <f t="shared" ca="1" si="376"/>
        <v>-2.0842121690345663</v>
      </c>
    </row>
    <row r="775" spans="1:34" x14ac:dyDescent="0.2">
      <c r="A775" s="347">
        <f t="shared" ca="1" si="354"/>
        <v>0.1</v>
      </c>
      <c r="B775" s="304">
        <f t="shared" ca="1" si="355"/>
        <v>32.100000000000122</v>
      </c>
      <c r="D775" s="306">
        <f t="shared" ca="1" si="356"/>
        <v>-0.38742038568967629</v>
      </c>
      <c r="E775" s="307">
        <f t="shared" ca="1" si="357"/>
        <v>-7.7228447037677963</v>
      </c>
      <c r="F775" s="304">
        <f t="shared" ca="1" si="358"/>
        <v>7.7325561668676057</v>
      </c>
      <c r="G775" s="306">
        <f t="shared" ca="1" si="359"/>
        <v>15.808281701860791</v>
      </c>
      <c r="H775" s="307">
        <f t="shared" ca="1" si="360"/>
        <v>-86.145178492140275</v>
      </c>
      <c r="I775" s="304">
        <f t="shared" ca="1" si="361"/>
        <v>87.583637443349517</v>
      </c>
      <c r="J775" s="306">
        <f t="shared" ca="1" si="362"/>
        <v>644.24540604230822</v>
      </c>
      <c r="K775" s="307">
        <f t="shared" ca="1" si="363"/>
        <v>2282.54729855199</v>
      </c>
      <c r="L775" s="304">
        <f t="shared" ca="1" si="348"/>
        <v>2371.7239117008553</v>
      </c>
      <c r="M775" s="306">
        <f t="shared" ca="1" si="364"/>
        <v>-1.3893081066207487</v>
      </c>
      <c r="N775" s="304">
        <f t="shared" ca="1" si="365"/>
        <v>-79.60149095268028</v>
      </c>
      <c r="P775" s="310">
        <f t="shared" ca="1" si="366"/>
        <v>23</v>
      </c>
      <c r="Q775" s="304">
        <f t="shared" ca="1" si="367"/>
        <v>0</v>
      </c>
      <c r="R775" s="306">
        <f t="shared" ca="1" si="368"/>
        <v>0</v>
      </c>
      <c r="S775" s="307">
        <f t="shared" ca="1" si="369"/>
        <v>9.137999999999975</v>
      </c>
      <c r="T775" s="304">
        <f t="shared" ca="1" si="349"/>
        <v>89.643779999999765</v>
      </c>
      <c r="U775" s="311">
        <f t="shared" ca="1" si="350"/>
        <v>0</v>
      </c>
      <c r="V775" s="306">
        <f t="shared" ca="1" si="351"/>
        <v>0.97403044941294592</v>
      </c>
      <c r="W775" s="304">
        <f t="shared" ca="1" si="352"/>
        <v>19.753014982080952</v>
      </c>
      <c r="Y775" s="314" t="str">
        <f t="shared" ca="1" si="370"/>
        <v/>
      </c>
      <c r="Z775" s="315" t="str">
        <f t="shared" ca="1" si="371"/>
        <v/>
      </c>
      <c r="AA775" s="316" t="str">
        <f t="shared" ca="1" si="372"/>
        <v/>
      </c>
      <c r="AC775" s="310" t="e">
        <f t="shared" ca="1" si="373"/>
        <v>#N/A</v>
      </c>
      <c r="AD775" s="323" t="e">
        <f t="shared" ca="1" si="374"/>
        <v>#N/A</v>
      </c>
      <c r="AE775" s="324" t="e">
        <f t="shared" ca="1" si="353"/>
        <v>#N/A</v>
      </c>
      <c r="AG775" s="306">
        <f t="shared" ca="1" si="375"/>
        <v>7.5224350235797992</v>
      </c>
      <c r="AH775" s="304">
        <f t="shared" ca="1" si="376"/>
        <v>-2.1228075244444748</v>
      </c>
    </row>
    <row r="776" spans="1:34" x14ac:dyDescent="0.2">
      <c r="A776" s="347">
        <f t="shared" ca="1" si="354"/>
        <v>0.1</v>
      </c>
      <c r="B776" s="304">
        <f t="shared" ca="1" si="355"/>
        <v>32.200000000000124</v>
      </c>
      <c r="D776" s="306">
        <f t="shared" ca="1" si="356"/>
        <v>-0.39016106482318774</v>
      </c>
      <c r="E776" s="307">
        <f t="shared" ca="1" si="357"/>
        <v>-7.6838679380997679</v>
      </c>
      <c r="F776" s="304">
        <f t="shared" ca="1" si="358"/>
        <v>7.6937670972457664</v>
      </c>
      <c r="G776" s="306">
        <f t="shared" ca="1" si="359"/>
        <v>15.769265595378473</v>
      </c>
      <c r="H776" s="307">
        <f t="shared" ca="1" si="360"/>
        <v>-86.913565285950256</v>
      </c>
      <c r="I776" s="304">
        <f t="shared" ca="1" si="361"/>
        <v>88.332539690267737</v>
      </c>
      <c r="J776" s="306">
        <f t="shared" ca="1" si="362"/>
        <v>645.82428340717013</v>
      </c>
      <c r="K776" s="307">
        <f t="shared" ca="1" si="363"/>
        <v>2273.8943613630854</v>
      </c>
      <c r="L776" s="304">
        <f t="shared" ca="1" si="348"/>
        <v>2363.828371874155</v>
      </c>
      <c r="M776" s="306">
        <f t="shared" ca="1" si="364"/>
        <v>-1.3913126260469439</v>
      </c>
      <c r="N776" s="304">
        <f t="shared" ca="1" si="365"/>
        <v>-79.716341455753252</v>
      </c>
      <c r="P776" s="310">
        <f t="shared" ca="1" si="366"/>
        <v>23</v>
      </c>
      <c r="Q776" s="304">
        <f t="shared" ca="1" si="367"/>
        <v>0</v>
      </c>
      <c r="R776" s="306">
        <f t="shared" ca="1" si="368"/>
        <v>0</v>
      </c>
      <c r="S776" s="307">
        <f t="shared" ca="1" si="369"/>
        <v>9.137999999999975</v>
      </c>
      <c r="T776" s="304">
        <f t="shared" ca="1" si="349"/>
        <v>89.643779999999765</v>
      </c>
      <c r="U776" s="311">
        <f t="shared" ca="1" si="350"/>
        <v>0</v>
      </c>
      <c r="V776" s="306">
        <f t="shared" ca="1" si="351"/>
        <v>0.97488472626487643</v>
      </c>
      <c r="W776" s="304">
        <f t="shared" ca="1" si="352"/>
        <v>20.109885796117275</v>
      </c>
      <c r="Y776" s="314" t="str">
        <f t="shared" ca="1" si="370"/>
        <v/>
      </c>
      <c r="Z776" s="315" t="str">
        <f t="shared" ca="1" si="371"/>
        <v/>
      </c>
      <c r="AA776" s="316" t="str">
        <f t="shared" ca="1" si="372"/>
        <v/>
      </c>
      <c r="AC776" s="310" t="e">
        <f t="shared" ca="1" si="373"/>
        <v>#N/A</v>
      </c>
      <c r="AD776" s="323" t="e">
        <f t="shared" ca="1" si="374"/>
        <v>#N/A</v>
      </c>
      <c r="AE776" s="324" t="e">
        <f t="shared" ca="1" si="353"/>
        <v>#N/A</v>
      </c>
      <c r="AG776" s="306">
        <f t="shared" ca="1" si="375"/>
        <v>7.4872478257136974</v>
      </c>
      <c r="AH776" s="304">
        <f t="shared" ca="1" si="376"/>
        <v>-2.1616343819305106</v>
      </c>
    </row>
    <row r="777" spans="1:34" x14ac:dyDescent="0.2">
      <c r="A777" s="347">
        <f t="shared" ca="1" si="354"/>
        <v>0.1</v>
      </c>
      <c r="B777" s="304">
        <f t="shared" ca="1" si="355"/>
        <v>32.300000000000125</v>
      </c>
      <c r="D777" s="306">
        <f t="shared" ca="1" si="356"/>
        <v>-0.39287030244311416</v>
      </c>
      <c r="E777" s="307">
        <f t="shared" ca="1" si="357"/>
        <v>-7.6446639877568057</v>
      </c>
      <c r="F777" s="304">
        <f t="shared" ca="1" si="358"/>
        <v>7.6547524166525163</v>
      </c>
      <c r="G777" s="306">
        <f t="shared" ca="1" si="359"/>
        <v>15.729978565134161</v>
      </c>
      <c r="H777" s="307">
        <f t="shared" ca="1" si="360"/>
        <v>-87.678031684725937</v>
      </c>
      <c r="I777" s="304">
        <f t="shared" ca="1" si="361"/>
        <v>89.077884268584796</v>
      </c>
      <c r="J777" s="306">
        <f t="shared" ca="1" si="362"/>
        <v>647.39924561519581</v>
      </c>
      <c r="K777" s="307">
        <f t="shared" ca="1" si="363"/>
        <v>2265.1647815145516</v>
      </c>
      <c r="L777" s="304">
        <f t="shared" ca="1" si="348"/>
        <v>2355.8644423304559</v>
      </c>
      <c r="M777" s="306">
        <f t="shared" ca="1" si="364"/>
        <v>-1.3932786560648125</v>
      </c>
      <c r="N777" s="304">
        <f t="shared" ca="1" si="365"/>
        <v>-79.828986678173152</v>
      </c>
      <c r="P777" s="310">
        <f t="shared" ca="1" si="366"/>
        <v>23</v>
      </c>
      <c r="Q777" s="304">
        <f t="shared" ca="1" si="367"/>
        <v>0</v>
      </c>
      <c r="R777" s="306">
        <f t="shared" ca="1" si="368"/>
        <v>0</v>
      </c>
      <c r="S777" s="307">
        <f t="shared" ca="1" si="369"/>
        <v>9.137999999999975</v>
      </c>
      <c r="T777" s="304">
        <f t="shared" ca="1" si="349"/>
        <v>89.643779999999765</v>
      </c>
      <c r="U777" s="311">
        <f t="shared" ca="1" si="350"/>
        <v>0</v>
      </c>
      <c r="V777" s="306">
        <f t="shared" ca="1" si="351"/>
        <v>0.97574724264703405</v>
      </c>
      <c r="W777" s="304">
        <f t="shared" ca="1" si="352"/>
        <v>20.468783051341155</v>
      </c>
      <c r="Y777" s="314" t="str">
        <f t="shared" ca="1" si="370"/>
        <v/>
      </c>
      <c r="Z777" s="315" t="str">
        <f t="shared" ca="1" si="371"/>
        <v/>
      </c>
      <c r="AA777" s="316" t="str">
        <f t="shared" ca="1" si="372"/>
        <v/>
      </c>
      <c r="AC777" s="310" t="e">
        <f t="shared" ca="1" si="373"/>
        <v>#N/A</v>
      </c>
      <c r="AD777" s="323" t="e">
        <f t="shared" ca="1" si="374"/>
        <v>#N/A</v>
      </c>
      <c r="AE777" s="324" t="e">
        <f t="shared" ca="1" si="353"/>
        <v>#N/A</v>
      </c>
      <c r="AG777" s="306">
        <f t="shared" ca="1" si="375"/>
        <v>7.4517242315610002</v>
      </c>
      <c r="AH777" s="304">
        <f t="shared" ca="1" si="376"/>
        <v>-2.2006878743835991</v>
      </c>
    </row>
    <row r="778" spans="1:34" x14ac:dyDescent="0.2">
      <c r="A778" s="347">
        <f t="shared" ca="1" si="354"/>
        <v>0.1</v>
      </c>
      <c r="B778" s="304">
        <f t="shared" ca="1" si="355"/>
        <v>32.400000000000126</v>
      </c>
      <c r="D778" s="306">
        <f t="shared" ca="1" si="356"/>
        <v>-0.39554792144232476</v>
      </c>
      <c r="E778" s="307">
        <f t="shared" ca="1" si="357"/>
        <v>-7.6052377337678969</v>
      </c>
      <c r="F778" s="304">
        <f t="shared" ca="1" si="358"/>
        <v>7.615516997898724</v>
      </c>
      <c r="G778" s="306">
        <f t="shared" ca="1" si="359"/>
        <v>15.690423772989929</v>
      </c>
      <c r="H778" s="307">
        <f t="shared" ca="1" si="360"/>
        <v>-88.438555458102726</v>
      </c>
      <c r="I778" s="304">
        <f t="shared" ca="1" si="361"/>
        <v>89.819638663779529</v>
      </c>
      <c r="J778" s="306">
        <f t="shared" ca="1" si="362"/>
        <v>648.97026573210201</v>
      </c>
      <c r="K778" s="307">
        <f t="shared" ca="1" si="363"/>
        <v>2256.3589521574099</v>
      </c>
      <c r="L778" s="304">
        <f t="shared" ca="1" si="348"/>
        <v>2347.832644543746</v>
      </c>
      <c r="M778" s="306">
        <f t="shared" ca="1" si="364"/>
        <v>-1.3952073184499965</v>
      </c>
      <c r="N778" s="304">
        <f t="shared" ca="1" si="365"/>
        <v>-79.939490892949834</v>
      </c>
      <c r="P778" s="310">
        <f t="shared" ca="1" si="366"/>
        <v>23</v>
      </c>
      <c r="Q778" s="304">
        <f t="shared" ca="1" si="367"/>
        <v>0</v>
      </c>
      <c r="R778" s="306">
        <f t="shared" ca="1" si="368"/>
        <v>0</v>
      </c>
      <c r="S778" s="307">
        <f t="shared" ca="1" si="369"/>
        <v>9.137999999999975</v>
      </c>
      <c r="T778" s="304">
        <f t="shared" ca="1" si="349"/>
        <v>89.643779999999765</v>
      </c>
      <c r="U778" s="311">
        <f t="shared" ca="1" si="350"/>
        <v>0</v>
      </c>
      <c r="V778" s="306">
        <f t="shared" ca="1" si="351"/>
        <v>0.9766179782744836</v>
      </c>
      <c r="W778" s="304">
        <f t="shared" ca="1" si="352"/>
        <v>20.829662134782737</v>
      </c>
      <c r="Y778" s="314" t="str">
        <f t="shared" ca="1" si="370"/>
        <v/>
      </c>
      <c r="Z778" s="315" t="str">
        <f t="shared" ca="1" si="371"/>
        <v/>
      </c>
      <c r="AA778" s="316" t="str">
        <f t="shared" ca="1" si="372"/>
        <v/>
      </c>
      <c r="AC778" s="310" t="e">
        <f t="shared" ca="1" si="373"/>
        <v>#N/A</v>
      </c>
      <c r="AD778" s="323" t="e">
        <f t="shared" ca="1" si="374"/>
        <v>#N/A</v>
      </c>
      <c r="AE778" s="324" t="e">
        <f t="shared" ca="1" si="353"/>
        <v>#N/A</v>
      </c>
      <c r="AG778" s="306">
        <f t="shared" ca="1" si="375"/>
        <v>7.415873424582168</v>
      </c>
      <c r="AH778" s="304">
        <f t="shared" ca="1" si="376"/>
        <v>-2.2399631266514786</v>
      </c>
    </row>
    <row r="779" spans="1:34" x14ac:dyDescent="0.2">
      <c r="A779" s="347">
        <f t="shared" ca="1" si="354"/>
        <v>0.1</v>
      </c>
      <c r="B779" s="304">
        <f t="shared" ca="1" si="355"/>
        <v>32.500000000000128</v>
      </c>
      <c r="D779" s="306">
        <f t="shared" ca="1" si="356"/>
        <v>-0.39819375227567227</v>
      </c>
      <c r="E779" s="307">
        <f t="shared" ca="1" si="357"/>
        <v>-7.5655940646852633</v>
      </c>
      <c r="F779" s="304">
        <f t="shared" ca="1" si="358"/>
        <v>7.5760657214646878</v>
      </c>
      <c r="G779" s="306">
        <f t="shared" ca="1" si="359"/>
        <v>15.650604397762361</v>
      </c>
      <c r="H779" s="307">
        <f t="shared" ca="1" si="360"/>
        <v>-89.195114864571252</v>
      </c>
      <c r="I779" s="304">
        <f t="shared" ca="1" si="361"/>
        <v>90.557771249734927</v>
      </c>
      <c r="J779" s="306">
        <f t="shared" ca="1" si="362"/>
        <v>650.53731714063963</v>
      </c>
      <c r="K779" s="307">
        <f t="shared" ca="1" si="363"/>
        <v>2247.4772686412762</v>
      </c>
      <c r="L779" s="304">
        <f t="shared" ca="1" si="348"/>
        <v>2339.7335049214025</v>
      </c>
      <c r="M779" s="306">
        <f t="shared" ca="1" si="364"/>
        <v>-1.3970996921817327</v>
      </c>
      <c r="N779" s="304">
        <f t="shared" ca="1" si="365"/>
        <v>-80.047915921039746</v>
      </c>
      <c r="P779" s="310">
        <f t="shared" ca="1" si="366"/>
        <v>23</v>
      </c>
      <c r="Q779" s="304">
        <f t="shared" ca="1" si="367"/>
        <v>0</v>
      </c>
      <c r="R779" s="306">
        <f t="shared" ca="1" si="368"/>
        <v>0</v>
      </c>
      <c r="S779" s="307">
        <f t="shared" ca="1" si="369"/>
        <v>9.137999999999975</v>
      </c>
      <c r="T779" s="304">
        <f t="shared" ca="1" si="349"/>
        <v>89.643779999999765</v>
      </c>
      <c r="U779" s="311">
        <f t="shared" ca="1" si="350"/>
        <v>0</v>
      </c>
      <c r="V779" s="306">
        <f t="shared" ca="1" si="351"/>
        <v>0.97749691272041417</v>
      </c>
      <c r="W779" s="304">
        <f t="shared" ca="1" si="352"/>
        <v>21.192478379277944</v>
      </c>
      <c r="Y779" s="314" t="str">
        <f t="shared" ca="1" si="370"/>
        <v/>
      </c>
      <c r="Z779" s="315" t="str">
        <f t="shared" ca="1" si="371"/>
        <v/>
      </c>
      <c r="AA779" s="316" t="str">
        <f t="shared" ca="1" si="372"/>
        <v/>
      </c>
      <c r="AC779" s="310" t="e">
        <f t="shared" ca="1" si="373"/>
        <v>#N/A</v>
      </c>
      <c r="AD779" s="323" t="e">
        <f t="shared" ca="1" si="374"/>
        <v>#N/A</v>
      </c>
      <c r="AE779" s="324" t="e">
        <f t="shared" ca="1" si="353"/>
        <v>#N/A</v>
      </c>
      <c r="AG779" s="306">
        <f t="shared" ca="1" si="375"/>
        <v>7.3797043876718975</v>
      </c>
      <c r="AH779" s="304">
        <f t="shared" ca="1" si="376"/>
        <v>-2.2794552565969353</v>
      </c>
    </row>
    <row r="780" spans="1:34" x14ac:dyDescent="0.2">
      <c r="A780" s="347">
        <f t="shared" ca="1" si="354"/>
        <v>0.1</v>
      </c>
      <c r="B780" s="304">
        <f t="shared" ca="1" si="355"/>
        <v>32.600000000000129</v>
      </c>
      <c r="D780" s="306">
        <f t="shared" ca="1" si="356"/>
        <v>-0.400807632858172</v>
      </c>
      <c r="E780" s="307">
        <f t="shared" ca="1" si="357"/>
        <v>-7.5257378754974553</v>
      </c>
      <c r="F780" s="304">
        <f t="shared" ca="1" si="358"/>
        <v>7.5364034744202968</v>
      </c>
      <c r="G780" s="306">
        <f t="shared" ca="1" si="359"/>
        <v>15.610523634476545</v>
      </c>
      <c r="H780" s="307">
        <f t="shared" ca="1" si="360"/>
        <v>-89.947688652121002</v>
      </c>
      <c r="I780" s="304">
        <f t="shared" ca="1" si="361"/>
        <v>91.29225127031016</v>
      </c>
      <c r="J780" s="306">
        <f t="shared" ca="1" si="362"/>
        <v>652.10037354225153</v>
      </c>
      <c r="K780" s="307">
        <f t="shared" ca="1" si="363"/>
        <v>2238.5201284654418</v>
      </c>
      <c r="L780" s="304">
        <f t="shared" ca="1" si="348"/>
        <v>2331.5675548263407</v>
      </c>
      <c r="M780" s="306">
        <f t="shared" ca="1" si="364"/>
        <v>-1.3989568154378962</v>
      </c>
      <c r="N780" s="304">
        <f t="shared" ca="1" si="365"/>
        <v>-80.154321245653506</v>
      </c>
      <c r="P780" s="310">
        <f t="shared" ca="1" si="366"/>
        <v>23</v>
      </c>
      <c r="Q780" s="304">
        <f t="shared" ca="1" si="367"/>
        <v>0</v>
      </c>
      <c r="R780" s="306">
        <f t="shared" ca="1" si="368"/>
        <v>0</v>
      </c>
      <c r="S780" s="307">
        <f t="shared" ca="1" si="369"/>
        <v>9.137999999999975</v>
      </c>
      <c r="T780" s="304">
        <f t="shared" ca="1" si="349"/>
        <v>89.643779999999765</v>
      </c>
      <c r="U780" s="311">
        <f t="shared" ca="1" si="350"/>
        <v>0</v>
      </c>
      <c r="V780" s="306">
        <f t="shared" ca="1" si="351"/>
        <v>0.97838402541811675</v>
      </c>
      <c r="W780" s="304">
        <f t="shared" ca="1" si="352"/>
        <v>21.557187073063503</v>
      </c>
      <c r="Y780" s="314" t="str">
        <f t="shared" ca="1" si="370"/>
        <v/>
      </c>
      <c r="Z780" s="315" t="str">
        <f t="shared" ca="1" si="371"/>
        <v/>
      </c>
      <c r="AA780" s="316" t="str">
        <f t="shared" ca="1" si="372"/>
        <v/>
      </c>
      <c r="AC780" s="310" t="e">
        <f t="shared" ca="1" si="373"/>
        <v>#N/A</v>
      </c>
      <c r="AD780" s="323" t="e">
        <f t="shared" ca="1" si="374"/>
        <v>#N/A</v>
      </c>
      <c r="AE780" s="324" t="e">
        <f t="shared" ca="1" si="353"/>
        <v>#N/A</v>
      </c>
      <c r="AG780" s="306">
        <f t="shared" ca="1" si="375"/>
        <v>7.3432259138790323</v>
      </c>
      <c r="AH780" s="304">
        <f t="shared" ca="1" si="376"/>
        <v>-2.3191593761521121</v>
      </c>
    </row>
    <row r="781" spans="1:34" x14ac:dyDescent="0.2">
      <c r="A781" s="347">
        <f t="shared" ca="1" si="354"/>
        <v>0.1</v>
      </c>
      <c r="B781" s="304">
        <f t="shared" ca="1" si="355"/>
        <v>32.700000000000131</v>
      </c>
      <c r="D781" s="306">
        <f t="shared" ca="1" si="356"/>
        <v>-0.40338940846717808</v>
      </c>
      <c r="E781" s="307">
        <f t="shared" ca="1" si="357"/>
        <v>-7.4856740665486541</v>
      </c>
      <c r="F781" s="304">
        <f t="shared" ca="1" si="358"/>
        <v>7.4965351493515033</v>
      </c>
      <c r="G781" s="306">
        <f t="shared" ca="1" si="359"/>
        <v>15.570184693629827</v>
      </c>
      <c r="H781" s="307">
        <f t="shared" ca="1" si="360"/>
        <v>-90.696256058775873</v>
      </c>
      <c r="I781" s="304">
        <f t="shared" ca="1" si="361"/>
        <v>92.023048821872791</v>
      </c>
      <c r="J781" s="306">
        <f t="shared" ca="1" si="362"/>
        <v>653.65940895865685</v>
      </c>
      <c r="K781" s="307">
        <f t="shared" ca="1" si="363"/>
        <v>2229.4879312298967</v>
      </c>
      <c r="L781" s="304">
        <f t="shared" ca="1" si="348"/>
        <v>2323.3353306012341</v>
      </c>
      <c r="M781" s="306">
        <f t="shared" ca="1" si="364"/>
        <v>-1.4007796874808969</v>
      </c>
      <c r="N781" s="304">
        <f t="shared" ca="1" si="365"/>
        <v>-80.258764120309834</v>
      </c>
      <c r="P781" s="310">
        <f t="shared" ca="1" si="366"/>
        <v>23</v>
      </c>
      <c r="Q781" s="304">
        <f t="shared" ca="1" si="367"/>
        <v>0</v>
      </c>
      <c r="R781" s="306">
        <f t="shared" ca="1" si="368"/>
        <v>0</v>
      </c>
      <c r="S781" s="307">
        <f t="shared" ca="1" si="369"/>
        <v>9.137999999999975</v>
      </c>
      <c r="T781" s="304">
        <f t="shared" ca="1" si="349"/>
        <v>89.643779999999765</v>
      </c>
      <c r="U781" s="311">
        <f t="shared" ca="1" si="350"/>
        <v>0</v>
      </c>
      <c r="V781" s="306">
        <f t="shared" ca="1" si="351"/>
        <v>0.97927929566297311</v>
      </c>
      <c r="W781" s="304">
        <f t="shared" ca="1" si="352"/>
        <v>21.923743469329843</v>
      </c>
      <c r="Y781" s="314" t="str">
        <f t="shared" ca="1" si="370"/>
        <v/>
      </c>
      <c r="Z781" s="315" t="str">
        <f t="shared" ca="1" si="371"/>
        <v/>
      </c>
      <c r="AA781" s="316" t="str">
        <f t="shared" ca="1" si="372"/>
        <v/>
      </c>
      <c r="AC781" s="310" t="e">
        <f t="shared" ca="1" si="373"/>
        <v>#N/A</v>
      </c>
      <c r="AD781" s="323" t="e">
        <f t="shared" ca="1" si="374"/>
        <v>#N/A</v>
      </c>
      <c r="AE781" s="324" t="e">
        <f t="shared" ca="1" si="353"/>
        <v>#N/A</v>
      </c>
      <c r="AG781" s="306">
        <f t="shared" ca="1" si="375"/>
        <v>7.3064466163660882</v>
      </c>
      <c r="AH781" s="304">
        <f t="shared" ca="1" si="376"/>
        <v>-2.3590705923685227</v>
      </c>
    </row>
    <row r="782" spans="1:34" x14ac:dyDescent="0.2">
      <c r="A782" s="347">
        <f t="shared" ca="1" si="354"/>
        <v>0.1</v>
      </c>
      <c r="B782" s="304">
        <f t="shared" ca="1" si="355"/>
        <v>32.800000000000132</v>
      </c>
      <c r="D782" s="306">
        <f t="shared" ca="1" si="356"/>
        <v>-0.40593893164822564</v>
      </c>
      <c r="E782" s="307">
        <f t="shared" ca="1" si="357"/>
        <v>-7.4454075424643964</v>
      </c>
      <c r="F782" s="304">
        <f t="shared" ca="1" si="358"/>
        <v>7.4564656432933045</v>
      </c>
      <c r="G782" s="306">
        <f t="shared" ca="1" si="359"/>
        <v>15.529590800465003</v>
      </c>
      <c r="H782" s="307">
        <f t="shared" ca="1" si="360"/>
        <v>-91.440796813022317</v>
      </c>
      <c r="I782" s="304">
        <f t="shared" ca="1" si="361"/>
        <v>92.75013483672312</v>
      </c>
      <c r="J782" s="306">
        <f t="shared" ca="1" si="362"/>
        <v>655.21439773336158</v>
      </c>
      <c r="K782" s="307">
        <f t="shared" ca="1" si="363"/>
        <v>2220.381078586307</v>
      </c>
      <c r="L782" s="304">
        <f t="shared" ca="1" si="348"/>
        <v>2315.0373735949024</v>
      </c>
      <c r="M782" s="306">
        <f t="shared" ca="1" si="364"/>
        <v>-1.4025692704412416</v>
      </c>
      <c r="N782" s="304">
        <f t="shared" ca="1" si="365"/>
        <v>-80.361299671026103</v>
      </c>
      <c r="P782" s="310">
        <f t="shared" ca="1" si="366"/>
        <v>23</v>
      </c>
      <c r="Q782" s="304">
        <f t="shared" ca="1" si="367"/>
        <v>0</v>
      </c>
      <c r="R782" s="306">
        <f t="shared" ca="1" si="368"/>
        <v>0</v>
      </c>
      <c r="S782" s="307">
        <f t="shared" ca="1" si="369"/>
        <v>9.137999999999975</v>
      </c>
      <c r="T782" s="304">
        <f t="shared" ca="1" si="349"/>
        <v>89.643779999999765</v>
      </c>
      <c r="U782" s="311">
        <f t="shared" ca="1" si="350"/>
        <v>0</v>
      </c>
      <c r="V782" s="306">
        <f t="shared" ca="1" si="351"/>
        <v>0.98018270261445284</v>
      </c>
      <c r="W782" s="304">
        <f t="shared" ca="1" si="352"/>
        <v>22.292102795728471</v>
      </c>
      <c r="Y782" s="314" t="str">
        <f t="shared" ca="1" si="370"/>
        <v/>
      </c>
      <c r="Z782" s="315" t="str">
        <f t="shared" ca="1" si="371"/>
        <v/>
      </c>
      <c r="AA782" s="316" t="str">
        <f t="shared" ca="1" si="372"/>
        <v/>
      </c>
      <c r="AC782" s="310" t="e">
        <f t="shared" ca="1" si="373"/>
        <v>#N/A</v>
      </c>
      <c r="AD782" s="323" t="e">
        <f t="shared" ca="1" si="374"/>
        <v>#N/A</v>
      </c>
      <c r="AE782" s="324" t="e">
        <f t="shared" ca="1" si="353"/>
        <v>#N/A</v>
      </c>
      <c r="AG782" s="306">
        <f t="shared" ca="1" si="375"/>
        <v>7.2693749376644554</v>
      </c>
      <c r="AH782" s="304">
        <f t="shared" ca="1" si="376"/>
        <v>-2.3991840084624538</v>
      </c>
    </row>
    <row r="783" spans="1:34" x14ac:dyDescent="0.2">
      <c r="A783" s="347">
        <f t="shared" ca="1" si="354"/>
        <v>0.1</v>
      </c>
      <c r="B783" s="304">
        <f t="shared" ca="1" si="355"/>
        <v>32.900000000000134</v>
      </c>
      <c r="D783" s="306">
        <f t="shared" ca="1" si="356"/>
        <v>-0.4084560621242066</v>
      </c>
      <c r="E783" s="307">
        <f t="shared" ca="1" si="357"/>
        <v>-7.4049432110839364</v>
      </c>
      <c r="F783" s="304">
        <f t="shared" ca="1" si="358"/>
        <v>7.4161998566694578</v>
      </c>
      <c r="G783" s="306">
        <f t="shared" ca="1" si="359"/>
        <v>15.488745194252584</v>
      </c>
      <c r="H783" s="307">
        <f t="shared" ca="1" si="360"/>
        <v>-92.181291134130717</v>
      </c>
      <c r="I783" s="304">
        <f t="shared" ca="1" si="361"/>
        <v>93.473481067347919</v>
      </c>
      <c r="J783" s="306">
        <f t="shared" ca="1" si="362"/>
        <v>656.76531453309747</v>
      </c>
      <c r="K783" s="307">
        <f t="shared" ca="1" si="363"/>
        <v>2211.1999741889495</v>
      </c>
      <c r="L783" s="304">
        <f t="shared" ca="1" si="348"/>
        <v>2306.6742301909408</v>
      </c>
      <c r="M783" s="306">
        <f t="shared" ca="1" si="364"/>
        <v>-1.4043264910050928</v>
      </c>
      <c r="N783" s="304">
        <f t="shared" ca="1" si="365"/>
        <v>-80.461980993008382</v>
      </c>
      <c r="P783" s="310">
        <f t="shared" ca="1" si="366"/>
        <v>23</v>
      </c>
      <c r="Q783" s="304">
        <f t="shared" ca="1" si="367"/>
        <v>0</v>
      </c>
      <c r="R783" s="306">
        <f t="shared" ca="1" si="368"/>
        <v>0</v>
      </c>
      <c r="S783" s="307">
        <f t="shared" ca="1" si="369"/>
        <v>9.137999999999975</v>
      </c>
      <c r="T783" s="304">
        <f t="shared" ca="1" si="349"/>
        <v>89.643779999999765</v>
      </c>
      <c r="U783" s="311">
        <f t="shared" ca="1" si="350"/>
        <v>0</v>
      </c>
      <c r="V783" s="306">
        <f t="shared" ca="1" si="351"/>
        <v>0.9810942252981204</v>
      </c>
      <c r="W783" s="304">
        <f t="shared" ca="1" si="352"/>
        <v>22.662220263831102</v>
      </c>
      <c r="Y783" s="314" t="str">
        <f t="shared" ca="1" si="370"/>
        <v/>
      </c>
      <c r="Z783" s="315" t="str">
        <f t="shared" ca="1" si="371"/>
        <v/>
      </c>
      <c r="AA783" s="316" t="str">
        <f t="shared" ca="1" si="372"/>
        <v/>
      </c>
      <c r="AC783" s="310" t="e">
        <f t="shared" ca="1" si="373"/>
        <v>#N/A</v>
      </c>
      <c r="AD783" s="323" t="e">
        <f t="shared" ca="1" si="374"/>
        <v>#N/A</v>
      </c>
      <c r="AE783" s="324" t="e">
        <f t="shared" ca="1" si="353"/>
        <v>#N/A</v>
      </c>
      <c r="AG783" s="306">
        <f t="shared" ca="1" si="375"/>
        <v>7.2320191582767883</v>
      </c>
      <c r="AH783" s="304">
        <f t="shared" ca="1" si="376"/>
        <v>-2.4394947248553875</v>
      </c>
    </row>
    <row r="784" spans="1:34" x14ac:dyDescent="0.2">
      <c r="A784" s="347">
        <f t="shared" ca="1" si="354"/>
        <v>0.1</v>
      </c>
      <c r="B784" s="304">
        <f t="shared" ca="1" si="355"/>
        <v>33.000000000000135</v>
      </c>
      <c r="D784" s="306">
        <f t="shared" ca="1" si="356"/>
        <v>-0.41094066670759993</v>
      </c>
      <c r="E784" s="307">
        <f t="shared" ca="1" si="357"/>
        <v>-7.3642859823994282</v>
      </c>
      <c r="F784" s="304">
        <f t="shared" ca="1" si="358"/>
        <v>7.3757426922391209</v>
      </c>
      <c r="G784" s="306">
        <f t="shared" ca="1" si="359"/>
        <v>15.447651127581823</v>
      </c>
      <c r="H784" s="307">
        <f t="shared" ca="1" si="360"/>
        <v>-92.917719732370657</v>
      </c>
      <c r="I784" s="304">
        <f t="shared" ca="1" si="361"/>
        <v>94.193060071445089</v>
      </c>
      <c r="J784" s="306">
        <f t="shared" ca="1" si="362"/>
        <v>658.31213434918914</v>
      </c>
      <c r="K784" s="307">
        <f t="shared" ca="1" si="363"/>
        <v>2201.9450236456246</v>
      </c>
      <c r="L784" s="304">
        <f t="shared" ca="1" si="348"/>
        <v>2298.2464518386869</v>
      </c>
      <c r="M784" s="306">
        <f t="shared" ca="1" si="364"/>
        <v>-1.4060522420117239</v>
      </c>
      <c r="N784" s="304">
        <f t="shared" ca="1" si="365"/>
        <v>-80.560859242178793</v>
      </c>
      <c r="P784" s="310">
        <f t="shared" ca="1" si="366"/>
        <v>23</v>
      </c>
      <c r="Q784" s="304">
        <f t="shared" ca="1" si="367"/>
        <v>0</v>
      </c>
      <c r="R784" s="306">
        <f t="shared" ca="1" si="368"/>
        <v>0</v>
      </c>
      <c r="S784" s="307">
        <f t="shared" ca="1" si="369"/>
        <v>9.137999999999975</v>
      </c>
      <c r="T784" s="304">
        <f t="shared" ca="1" si="349"/>
        <v>89.643779999999765</v>
      </c>
      <c r="U784" s="311">
        <f t="shared" ca="1" si="350"/>
        <v>0</v>
      </c>
      <c r="V784" s="306">
        <f t="shared" ca="1" si="351"/>
        <v>0.98201384260765356</v>
      </c>
      <c r="W784" s="304">
        <f t="shared" ca="1" si="352"/>
        <v>23.034051078537278</v>
      </c>
      <c r="Y784" s="314" t="str">
        <f t="shared" ca="1" si="370"/>
        <v/>
      </c>
      <c r="Z784" s="315" t="str">
        <f t="shared" ca="1" si="371"/>
        <v/>
      </c>
      <c r="AA784" s="316" t="str">
        <f t="shared" ca="1" si="372"/>
        <v/>
      </c>
      <c r="AC784" s="310">
        <f t="shared" ca="1" si="373"/>
        <v>33.000000000000135</v>
      </c>
      <c r="AD784" s="323">
        <f t="shared" ca="1" si="374"/>
        <v>658.31213434918914</v>
      </c>
      <c r="AE784" s="324" t="e">
        <f t="shared" ca="1" si="353"/>
        <v>#N/A</v>
      </c>
      <c r="AG784" s="306">
        <f t="shared" ca="1" si="375"/>
        <v>7.1943874046740852</v>
      </c>
      <c r="AH784" s="304">
        <f t="shared" ca="1" si="376"/>
        <v>-2.4799978402091445</v>
      </c>
    </row>
    <row r="785" spans="1:34" x14ac:dyDescent="0.2">
      <c r="A785" s="347">
        <f t="shared" ca="1" si="354"/>
        <v>0.1</v>
      </c>
      <c r="B785" s="304">
        <f t="shared" ca="1" si="355"/>
        <v>33.100000000000136</v>
      </c>
      <c r="D785" s="306">
        <f t="shared" ca="1" si="356"/>
        <v>-0.41339261921547155</v>
      </c>
      <c r="E785" s="307">
        <f t="shared" ca="1" si="357"/>
        <v>-7.3234407675021878</v>
      </c>
      <c r="F785" s="304">
        <f t="shared" ca="1" si="358"/>
        <v>7.3350990540506578</v>
      </c>
      <c r="G785" s="306">
        <f t="shared" ca="1" si="359"/>
        <v>15.406311865660276</v>
      </c>
      <c r="H785" s="307">
        <f t="shared" ca="1" si="360"/>
        <v>-93.65006380912088</v>
      </c>
      <c r="I785" s="304">
        <f t="shared" ca="1" si="361"/>
        <v>94.9088451976653</v>
      </c>
      <c r="J785" s="306">
        <f t="shared" ca="1" si="362"/>
        <v>659.85483249885124</v>
      </c>
      <c r="K785" s="307">
        <f t="shared" ca="1" si="363"/>
        <v>2192.6166344685498</v>
      </c>
      <c r="L785" s="304">
        <f t="shared" ca="1" si="348"/>
        <v>2289.754595086617</v>
      </c>
      <c r="M785" s="306">
        <f t="shared" ca="1" si="364"/>
        <v>-1.4077473839663601</v>
      </c>
      <c r="N785" s="304">
        <f t="shared" ca="1" si="365"/>
        <v>-80.657983721855004</v>
      </c>
      <c r="P785" s="310">
        <f t="shared" ca="1" si="366"/>
        <v>23</v>
      </c>
      <c r="Q785" s="304">
        <f t="shared" ca="1" si="367"/>
        <v>0</v>
      </c>
      <c r="R785" s="306">
        <f t="shared" ca="1" si="368"/>
        <v>0</v>
      </c>
      <c r="S785" s="307">
        <f t="shared" ca="1" si="369"/>
        <v>9.137999999999975</v>
      </c>
      <c r="T785" s="304">
        <f t="shared" ca="1" si="349"/>
        <v>89.643779999999765</v>
      </c>
      <c r="U785" s="311">
        <f t="shared" ca="1" si="350"/>
        <v>0</v>
      </c>
      <c r="V785" s="306">
        <f t="shared" ca="1" si="351"/>
        <v>0.98294153330686851</v>
      </c>
      <c r="W785" s="304">
        <f t="shared" ca="1" si="352"/>
        <v>23.407550447427688</v>
      </c>
      <c r="Y785" s="314" t="str">
        <f t="shared" ca="1" si="370"/>
        <v/>
      </c>
      <c r="Z785" s="315" t="str">
        <f t="shared" ca="1" si="371"/>
        <v/>
      </c>
      <c r="AA785" s="316" t="str">
        <f t="shared" ca="1" si="372"/>
        <v/>
      </c>
      <c r="AC785" s="310" t="e">
        <f t="shared" ca="1" si="373"/>
        <v>#N/A</v>
      </c>
      <c r="AD785" s="323" t="e">
        <f t="shared" ca="1" si="374"/>
        <v>#N/A</v>
      </c>
      <c r="AE785" s="324" t="e">
        <f t="shared" ca="1" si="353"/>
        <v>#N/A</v>
      </c>
      <c r="AG785" s="306">
        <f t="shared" ca="1" si="375"/>
        <v>7.1564876567311018</v>
      </c>
      <c r="AH785" s="304">
        <f t="shared" ca="1" si="376"/>
        <v>-2.5206884524553885</v>
      </c>
    </row>
    <row r="786" spans="1:34" x14ac:dyDescent="0.2">
      <c r="A786" s="347">
        <f t="shared" ca="1" si="354"/>
        <v>0.1</v>
      </c>
      <c r="B786" s="304">
        <f t="shared" ca="1" si="355"/>
        <v>33.200000000000138</v>
      </c>
      <c r="D786" s="306">
        <f t="shared" ca="1" si="356"/>
        <v>-0.41581180038700571</v>
      </c>
      <c r="E786" s="307">
        <f t="shared" ca="1" si="357"/>
        <v>-7.2824124775362264</v>
      </c>
      <c r="F786" s="304">
        <f t="shared" ca="1" si="358"/>
        <v>7.2942738464028345</v>
      </c>
      <c r="G786" s="306">
        <f t="shared" ca="1" si="359"/>
        <v>15.364730685621575</v>
      </c>
      <c r="H786" s="307">
        <f t="shared" ca="1" si="360"/>
        <v>-94.378305056874495</v>
      </c>
      <c r="I786" s="304">
        <f t="shared" ca="1" si="361"/>
        <v>95.620810572020062</v>
      </c>
      <c r="J786" s="306">
        <f t="shared" ca="1" si="362"/>
        <v>661.39338462641535</v>
      </c>
      <c r="K786" s="307">
        <f t="shared" ca="1" si="363"/>
        <v>2183.2152160252499</v>
      </c>
      <c r="L786" s="304">
        <f t="shared" ca="1" si="348"/>
        <v>2281.1992216182616</v>
      </c>
      <c r="M786" s="306">
        <f t="shared" ca="1" si="364"/>
        <v>-1.4094127464735282</v>
      </c>
      <c r="N786" s="304">
        <f t="shared" ca="1" si="365"/>
        <v>-80.753401964875067</v>
      </c>
      <c r="P786" s="310">
        <f t="shared" ca="1" si="366"/>
        <v>23</v>
      </c>
      <c r="Q786" s="304">
        <f t="shared" ca="1" si="367"/>
        <v>0</v>
      </c>
      <c r="R786" s="306">
        <f t="shared" ca="1" si="368"/>
        <v>0</v>
      </c>
      <c r="S786" s="307">
        <f t="shared" ca="1" si="369"/>
        <v>9.137999999999975</v>
      </c>
      <c r="T786" s="304">
        <f t="shared" ca="1" si="349"/>
        <v>89.643779999999765</v>
      </c>
      <c r="U786" s="311">
        <f t="shared" ca="1" si="350"/>
        <v>0</v>
      </c>
      <c r="V786" s="306">
        <f t="shared" ca="1" si="351"/>
        <v>0.98387727603175346</v>
      </c>
      <c r="W786" s="304">
        <f t="shared" ca="1" si="352"/>
        <v>23.782673590060046</v>
      </c>
      <c r="Y786" s="314" t="str">
        <f t="shared" ca="1" si="370"/>
        <v/>
      </c>
      <c r="Z786" s="315" t="str">
        <f t="shared" ca="1" si="371"/>
        <v/>
      </c>
      <c r="AA786" s="316" t="str">
        <f t="shared" ca="1" si="372"/>
        <v/>
      </c>
      <c r="AC786" s="310" t="e">
        <f t="shared" ca="1" si="373"/>
        <v>#N/A</v>
      </c>
      <c r="AD786" s="323" t="e">
        <f t="shared" ca="1" si="374"/>
        <v>#N/A</v>
      </c>
      <c r="AE786" s="324" t="e">
        <f t="shared" ca="1" si="353"/>
        <v>#N/A</v>
      </c>
      <c r="AG786" s="306">
        <f t="shared" ca="1" si="375"/>
        <v>7.1183277546405233</v>
      </c>
      <c r="AH786" s="304">
        <f t="shared" ca="1" si="376"/>
        <v>-2.5615616598191893</v>
      </c>
    </row>
    <row r="787" spans="1:34" x14ac:dyDescent="0.2">
      <c r="A787" s="347">
        <f t="shared" ca="1" si="354"/>
        <v>0.1</v>
      </c>
      <c r="B787" s="304">
        <f t="shared" ca="1" si="355"/>
        <v>33.300000000000139</v>
      </c>
      <c r="D787" s="306">
        <f t="shared" ca="1" si="356"/>
        <v>-0.41819809780331985</v>
      </c>
      <c r="E787" s="307">
        <f t="shared" ca="1" si="357"/>
        <v>-7.2412060226593118</v>
      </c>
      <c r="F787" s="304">
        <f t="shared" ca="1" si="358"/>
        <v>7.2532719728136357</v>
      </c>
      <c r="G787" s="306">
        <f t="shared" ca="1" si="359"/>
        <v>15.322910875841243</v>
      </c>
      <c r="H787" s="307">
        <f t="shared" ca="1" si="360"/>
        <v>-95.102425659140422</v>
      </c>
      <c r="I787" s="304">
        <f t="shared" ca="1" si="361"/>
        <v>96.328931084909811</v>
      </c>
      <c r="J787" s="306">
        <f t="shared" ca="1" si="362"/>
        <v>662.92776670448848</v>
      </c>
      <c r="K787" s="307">
        <f t="shared" ca="1" si="363"/>
        <v>2173.7411794894492</v>
      </c>
      <c r="L787" s="304">
        <f t="shared" ca="1" si="348"/>
        <v>2272.5808982907479</v>
      </c>
      <c r="M787" s="306">
        <f t="shared" ca="1" si="364"/>
        <v>-1.4110491295956795</v>
      </c>
      <c r="N787" s="304">
        <f t="shared" ca="1" si="365"/>
        <v>-80.847159811440775</v>
      </c>
      <c r="P787" s="310">
        <f t="shared" ca="1" si="366"/>
        <v>23</v>
      </c>
      <c r="Q787" s="304">
        <f t="shared" ca="1" si="367"/>
        <v>0</v>
      </c>
      <c r="R787" s="306">
        <f t="shared" ca="1" si="368"/>
        <v>0</v>
      </c>
      <c r="S787" s="307">
        <f t="shared" ca="1" si="369"/>
        <v>9.137999999999975</v>
      </c>
      <c r="T787" s="304">
        <f t="shared" ca="1" si="349"/>
        <v>89.643779999999765</v>
      </c>
      <c r="U787" s="311">
        <f t="shared" ca="1" si="350"/>
        <v>0</v>
      </c>
      <c r="V787" s="306">
        <f t="shared" ca="1" si="351"/>
        <v>0.98482104929251391</v>
      </c>
      <c r="W787" s="304">
        <f t="shared" ca="1" si="352"/>
        <v>24.159375747204926</v>
      </c>
      <c r="Y787" s="314" t="str">
        <f t="shared" ca="1" si="370"/>
        <v/>
      </c>
      <c r="Z787" s="315" t="str">
        <f t="shared" ca="1" si="371"/>
        <v/>
      </c>
      <c r="AA787" s="316" t="str">
        <f t="shared" ca="1" si="372"/>
        <v/>
      </c>
      <c r="AC787" s="310" t="e">
        <f t="shared" ca="1" si="373"/>
        <v>#N/A</v>
      </c>
      <c r="AD787" s="323" t="e">
        <f t="shared" ca="1" si="374"/>
        <v>#N/A</v>
      </c>
      <c r="AE787" s="324" t="e">
        <f t="shared" ca="1" si="353"/>
        <v>#N/A</v>
      </c>
      <c r="AG787" s="306">
        <f t="shared" ca="1" si="375"/>
        <v>7.0799154053430051</v>
      </c>
      <c r="AH787" s="304">
        <f t="shared" ca="1" si="376"/>
        <v>-2.6026125618363003</v>
      </c>
    </row>
    <row r="788" spans="1:34" x14ac:dyDescent="0.2">
      <c r="A788" s="347">
        <f t="shared" ca="1" si="354"/>
        <v>0.1</v>
      </c>
      <c r="B788" s="304">
        <f t="shared" ca="1" si="355"/>
        <v>33.400000000000141</v>
      </c>
      <c r="D788" s="306">
        <f t="shared" ca="1" si="356"/>
        <v>-0.42055140580937167</v>
      </c>
      <c r="E788" s="307">
        <f t="shared" ca="1" si="357"/>
        <v>-7.1998263110117477</v>
      </c>
      <c r="F788" s="304">
        <f t="shared" ca="1" si="358"/>
        <v>7.2120983349969148</v>
      </c>
      <c r="G788" s="306">
        <f t="shared" ca="1" si="359"/>
        <v>15.280855735260307</v>
      </c>
      <c r="H788" s="307">
        <f t="shared" ca="1" si="360"/>
        <v>-95.822408290241597</v>
      </c>
      <c r="I788" s="304">
        <f t="shared" ca="1" si="361"/>
        <v>97.033182378728569</v>
      </c>
      <c r="J788" s="306">
        <f t="shared" ca="1" si="362"/>
        <v>664.4579550350436</v>
      </c>
      <c r="K788" s="307">
        <f t="shared" ca="1" si="363"/>
        <v>2164.19493779198</v>
      </c>
      <c r="L788" s="304">
        <f t="shared" ca="1" si="348"/>
        <v>2263.9001971760558</v>
      </c>
      <c r="M788" s="306">
        <f t="shared" ca="1" si="364"/>
        <v>-1.4126573051415479</v>
      </c>
      <c r="N788" s="304">
        <f t="shared" ca="1" si="365"/>
        <v>-80.939301482935178</v>
      </c>
      <c r="P788" s="310">
        <f t="shared" ca="1" si="366"/>
        <v>23</v>
      </c>
      <c r="Q788" s="304">
        <f t="shared" ca="1" si="367"/>
        <v>0</v>
      </c>
      <c r="R788" s="306">
        <f t="shared" ca="1" si="368"/>
        <v>0</v>
      </c>
      <c r="S788" s="307">
        <f t="shared" ca="1" si="369"/>
        <v>9.137999999999975</v>
      </c>
      <c r="T788" s="304">
        <f t="shared" ca="1" si="349"/>
        <v>89.643779999999765</v>
      </c>
      <c r="U788" s="311">
        <f t="shared" ca="1" si="350"/>
        <v>0</v>
      </c>
      <c r="V788" s="306">
        <f t="shared" ca="1" si="351"/>
        <v>0.98577283147562089</v>
      </c>
      <c r="W788" s="304">
        <f t="shared" ca="1" si="352"/>
        <v>24.537612190018436</v>
      </c>
      <c r="Y788" s="314" t="str">
        <f t="shared" ca="1" si="370"/>
        <v/>
      </c>
      <c r="Z788" s="315" t="str">
        <f t="shared" ca="1" si="371"/>
        <v/>
      </c>
      <c r="AA788" s="316" t="str">
        <f t="shared" ca="1" si="372"/>
        <v/>
      </c>
      <c r="AC788" s="310" t="e">
        <f t="shared" ca="1" si="373"/>
        <v>#N/A</v>
      </c>
      <c r="AD788" s="323" t="e">
        <f t="shared" ca="1" si="374"/>
        <v>#N/A</v>
      </c>
      <c r="AE788" s="324" t="e">
        <f t="shared" ca="1" si="353"/>
        <v>#N/A</v>
      </c>
      <c r="AG788" s="306">
        <f t="shared" ca="1" si="375"/>
        <v>7.0412581885074506</v>
      </c>
      <c r="AH788" s="304">
        <f t="shared" ca="1" si="376"/>
        <v>-2.6438362603638645</v>
      </c>
    </row>
    <row r="789" spans="1:34" x14ac:dyDescent="0.2">
      <c r="A789" s="347">
        <f t="shared" ca="1" si="354"/>
        <v>0.1</v>
      </c>
      <c r="B789" s="304">
        <f t="shared" ca="1" si="355"/>
        <v>33.500000000000142</v>
      </c>
      <c r="D789" s="306">
        <f t="shared" ca="1" si="356"/>
        <v>-0.42287162543773371</v>
      </c>
      <c r="E789" s="307">
        <f t="shared" ca="1" si="357"/>
        <v>-7.1582782476931532</v>
      </c>
      <c r="F789" s="304">
        <f t="shared" ca="1" si="358"/>
        <v>7.1707578318471548</v>
      </c>
      <c r="G789" s="306">
        <f t="shared" ca="1" si="359"/>
        <v>15.238568572716533</v>
      </c>
      <c r="H789" s="307">
        <f t="shared" ca="1" si="360"/>
        <v>-96.538236115010918</v>
      </c>
      <c r="I789" s="304">
        <f t="shared" ca="1" si="361"/>
        <v>97.733540836004622</v>
      </c>
      <c r="J789" s="306">
        <f t="shared" ca="1" si="362"/>
        <v>665.98392625044244</v>
      </c>
      <c r="K789" s="307">
        <f t="shared" ca="1" si="363"/>
        <v>2154.5769055717174</v>
      </c>
      <c r="L789" s="304">
        <f t="shared" ca="1" si="348"/>
        <v>2255.1576956051103</v>
      </c>
      <c r="M789" s="306">
        <f t="shared" ca="1" si="364"/>
        <v>-1.4142380178883889</v>
      </c>
      <c r="N789" s="304">
        <f t="shared" ca="1" si="365"/>
        <v>-81.029869651951699</v>
      </c>
      <c r="P789" s="310">
        <f t="shared" ca="1" si="366"/>
        <v>23</v>
      </c>
      <c r="Q789" s="304">
        <f t="shared" ca="1" si="367"/>
        <v>0</v>
      </c>
      <c r="R789" s="306">
        <f t="shared" ca="1" si="368"/>
        <v>0</v>
      </c>
      <c r="S789" s="307">
        <f t="shared" ca="1" si="369"/>
        <v>9.137999999999975</v>
      </c>
      <c r="T789" s="304">
        <f t="shared" ca="1" si="349"/>
        <v>89.643779999999765</v>
      </c>
      <c r="U789" s="311">
        <f t="shared" ca="1" si="350"/>
        <v>0</v>
      </c>
      <c r="V789" s="306">
        <f t="shared" ca="1" si="351"/>
        <v>0.986732600845871</v>
      </c>
      <c r="W789" s="304">
        <f t="shared" ca="1" si="352"/>
        <v>24.917338229149046</v>
      </c>
      <c r="Y789" s="314" t="str">
        <f t="shared" ca="1" si="370"/>
        <v/>
      </c>
      <c r="Z789" s="315" t="str">
        <f t="shared" ca="1" si="371"/>
        <v/>
      </c>
      <c r="AA789" s="316" t="str">
        <f t="shared" ca="1" si="372"/>
        <v/>
      </c>
      <c r="AC789" s="310" t="e">
        <f t="shared" ca="1" si="373"/>
        <v>#N/A</v>
      </c>
      <c r="AD789" s="323" t="e">
        <f t="shared" ca="1" si="374"/>
        <v>#N/A</v>
      </c>
      <c r="AE789" s="324" t="e">
        <f t="shared" ca="1" si="353"/>
        <v>#N/A</v>
      </c>
      <c r="AG789" s="306">
        <f t="shared" ca="1" si="375"/>
        <v>7.0023635620932687</v>
      </c>
      <c r="AH789" s="304">
        <f t="shared" ca="1" si="376"/>
        <v>-2.685227860584209</v>
      </c>
    </row>
    <row r="790" spans="1:34" x14ac:dyDescent="0.2">
      <c r="A790" s="347">
        <f t="shared" ca="1" si="354"/>
        <v>0.1</v>
      </c>
      <c r="B790" s="304">
        <f t="shared" ca="1" si="355"/>
        <v>33.600000000000144</v>
      </c>
      <c r="D790" s="306">
        <f t="shared" ca="1" si="356"/>
        <v>-0.42515866433407362</v>
      </c>
      <c r="E790" s="307">
        <f t="shared" ca="1" si="357"/>
        <v>-7.1165667337474421</v>
      </c>
      <c r="F790" s="304">
        <f t="shared" ca="1" si="358"/>
        <v>7.1292553584325393</v>
      </c>
      <c r="G790" s="306">
        <f t="shared" ca="1" si="359"/>
        <v>15.196052706283126</v>
      </c>
      <c r="H790" s="307">
        <f t="shared" ca="1" si="360"/>
        <v>-97.249892788385665</v>
      </c>
      <c r="I790" s="304">
        <f t="shared" ca="1" si="361"/>
        <v>98.429983568040086</v>
      </c>
      <c r="J790" s="306">
        <f t="shared" ca="1" si="362"/>
        <v>667.50565731439247</v>
      </c>
      <c r="K790" s="307">
        <f t="shared" ca="1" si="363"/>
        <v>2144.8874991265475</v>
      </c>
      <c r="L790" s="304">
        <f t="shared" ca="1" si="348"/>
        <v>2246.3539762148025</v>
      </c>
      <c r="M790" s="306">
        <f t="shared" ca="1" si="364"/>
        <v>-1.4157919867419848</v>
      </c>
      <c r="N790" s="304">
        <f t="shared" ca="1" si="365"/>
        <v>-81.118905508757535</v>
      </c>
      <c r="P790" s="310">
        <f t="shared" ca="1" si="366"/>
        <v>23</v>
      </c>
      <c r="Q790" s="304">
        <f t="shared" ca="1" si="367"/>
        <v>0</v>
      </c>
      <c r="R790" s="306">
        <f t="shared" ca="1" si="368"/>
        <v>0</v>
      </c>
      <c r="S790" s="307">
        <f t="shared" ca="1" si="369"/>
        <v>9.137999999999975</v>
      </c>
      <c r="T790" s="304">
        <f t="shared" ca="1" si="349"/>
        <v>89.643779999999765</v>
      </c>
      <c r="U790" s="311">
        <f t="shared" ca="1" si="350"/>
        <v>0</v>
      </c>
      <c r="V790" s="306">
        <f t="shared" ca="1" si="351"/>
        <v>0.98770033554845071</v>
      </c>
      <c r="W790" s="304">
        <f t="shared" ca="1" si="352"/>
        <v>25.298509223775866</v>
      </c>
      <c r="Y790" s="314" t="str">
        <f t="shared" ca="1" si="370"/>
        <v/>
      </c>
      <c r="Z790" s="315" t="str">
        <f t="shared" ca="1" si="371"/>
        <v/>
      </c>
      <c r="AA790" s="316" t="str">
        <f t="shared" ca="1" si="372"/>
        <v/>
      </c>
      <c r="AC790" s="310" t="e">
        <f t="shared" ca="1" si="373"/>
        <v>#N/A</v>
      </c>
      <c r="AD790" s="323" t="e">
        <f t="shared" ca="1" si="374"/>
        <v>#N/A</v>
      </c>
      <c r="AE790" s="324" t="e">
        <f t="shared" ca="1" si="353"/>
        <v>#N/A</v>
      </c>
      <c r="AG790" s="306">
        <f t="shared" ca="1" si="375"/>
        <v>6.9632388675239163</v>
      </c>
      <c r="AH790" s="304">
        <f t="shared" ca="1" si="376"/>
        <v>-2.7267824720014349</v>
      </c>
    </row>
    <row r="791" spans="1:34" x14ac:dyDescent="0.2">
      <c r="A791" s="347">
        <f t="shared" ca="1" si="354"/>
        <v>0.1</v>
      </c>
      <c r="B791" s="304">
        <f t="shared" ca="1" si="355"/>
        <v>33.700000000000145</v>
      </c>
      <c r="D791" s="306">
        <f t="shared" ca="1" si="356"/>
        <v>-0.42741243668416434</v>
      </c>
      <c r="E791" s="307">
        <f t="shared" ca="1" si="357"/>
        <v>-7.0746966651562486</v>
      </c>
      <c r="F791" s="304">
        <f t="shared" ca="1" si="358"/>
        <v>7.0875958049965888</v>
      </c>
      <c r="G791" s="306">
        <f t="shared" ca="1" si="359"/>
        <v>15.15331146261471</v>
      </c>
      <c r="H791" s="307">
        <f t="shared" ca="1" si="360"/>
        <v>-97.957362454901286</v>
      </c>
      <c r="I791" s="304">
        <f t="shared" ca="1" si="361"/>
        <v>99.122488404014121</v>
      </c>
      <c r="J791" s="306">
        <f t="shared" ca="1" si="362"/>
        <v>669.0231255228374</v>
      </c>
      <c r="K791" s="307">
        <f t="shared" ca="1" si="363"/>
        <v>2135.1271363643832</v>
      </c>
      <c r="L791" s="304">
        <f t="shared" ca="1" si="348"/>
        <v>2237.48962699806</v>
      </c>
      <c r="M791" s="306">
        <f t="shared" ca="1" si="364"/>
        <v>-1.4173199058380412</v>
      </c>
      <c r="N791" s="304">
        <f t="shared" ca="1" si="365"/>
        <v>-81.206448824399004</v>
      </c>
      <c r="P791" s="310">
        <f t="shared" ca="1" si="366"/>
        <v>23</v>
      </c>
      <c r="Q791" s="304">
        <f t="shared" ca="1" si="367"/>
        <v>0</v>
      </c>
      <c r="R791" s="306">
        <f t="shared" ca="1" si="368"/>
        <v>0</v>
      </c>
      <c r="S791" s="307">
        <f t="shared" ca="1" si="369"/>
        <v>9.137999999999975</v>
      </c>
      <c r="T791" s="304">
        <f t="shared" ca="1" si="349"/>
        <v>89.643779999999765</v>
      </c>
      <c r="U791" s="311">
        <f t="shared" ca="1" si="350"/>
        <v>0</v>
      </c>
      <c r="V791" s="306">
        <f t="shared" ca="1" si="351"/>
        <v>0.9886760136110101</v>
      </c>
      <c r="W791" s="304">
        <f t="shared" ca="1" si="352"/>
        <v>25.681080590575547</v>
      </c>
      <c r="Y791" s="314" t="str">
        <f t="shared" ca="1" si="370"/>
        <v/>
      </c>
      <c r="Z791" s="315" t="str">
        <f t="shared" ca="1" si="371"/>
        <v/>
      </c>
      <c r="AA791" s="316" t="str">
        <f t="shared" ca="1" si="372"/>
        <v/>
      </c>
      <c r="AC791" s="310" t="e">
        <f t="shared" ca="1" si="373"/>
        <v>#N/A</v>
      </c>
      <c r="AD791" s="323" t="e">
        <f t="shared" ca="1" si="374"/>
        <v>#N/A</v>
      </c>
      <c r="AE791" s="324" t="e">
        <f t="shared" ca="1" si="353"/>
        <v>#N/A</v>
      </c>
      <c r="AG791" s="306">
        <f t="shared" ca="1" si="375"/>
        <v>6.9238913344988955</v>
      </c>
      <c r="AH791" s="304">
        <f t="shared" ca="1" si="376"/>
        <v>-2.7684952094305029</v>
      </c>
    </row>
    <row r="792" spans="1:34" x14ac:dyDescent="0.2">
      <c r="A792" s="347">
        <f t="shared" ca="1" si="354"/>
        <v>0.1</v>
      </c>
      <c r="B792" s="304">
        <f t="shared" ca="1" si="355"/>
        <v>33.800000000000146</v>
      </c>
      <c r="D792" s="306">
        <f t="shared" ca="1" si="356"/>
        <v>-0.42963286314226035</v>
      </c>
      <c r="E792" s="307">
        <f t="shared" ca="1" si="357"/>
        <v>-7.0326729318410308</v>
      </c>
      <c r="F792" s="304">
        <f t="shared" ca="1" si="358"/>
        <v>7.0457840559685998</v>
      </c>
      <c r="G792" s="306">
        <f t="shared" ca="1" si="359"/>
        <v>15.110348176300484</v>
      </c>
      <c r="H792" s="307">
        <f t="shared" ca="1" si="360"/>
        <v>-98.660629748085384</v>
      </c>
      <c r="I792" s="304">
        <f t="shared" ca="1" si="361"/>
        <v>99.811033880517527</v>
      </c>
      <c r="J792" s="306">
        <f t="shared" ca="1" si="362"/>
        <v>670.53630850478316</v>
      </c>
      <c r="K792" s="307">
        <f t="shared" ca="1" si="363"/>
        <v>2125.2962367542341</v>
      </c>
      <c r="L792" s="304">
        <f t="shared" ca="1" si="348"/>
        <v>2228.5652413570779</v>
      </c>
      <c r="M792" s="306">
        <f t="shared" ca="1" si="364"/>
        <v>-1.4188224455883605</v>
      </c>
      <c r="N792" s="304">
        <f t="shared" ca="1" si="365"/>
        <v>-81.292538010642943</v>
      </c>
      <c r="P792" s="310">
        <f t="shared" ca="1" si="366"/>
        <v>23</v>
      </c>
      <c r="Q792" s="304">
        <f t="shared" ca="1" si="367"/>
        <v>0</v>
      </c>
      <c r="R792" s="306">
        <f t="shared" ca="1" si="368"/>
        <v>0</v>
      </c>
      <c r="S792" s="307">
        <f t="shared" ca="1" si="369"/>
        <v>9.137999999999975</v>
      </c>
      <c r="T792" s="304">
        <f t="shared" ca="1" si="349"/>
        <v>89.643779999999765</v>
      </c>
      <c r="U792" s="311">
        <f t="shared" ca="1" si="350"/>
        <v>0</v>
      </c>
      <c r="V792" s="306">
        <f t="shared" ca="1" si="351"/>
        <v>0.98965961294574145</v>
      </c>
      <c r="W792" s="304">
        <f t="shared" ca="1" si="352"/>
        <v>26.065007812615224</v>
      </c>
      <c r="Y792" s="314" t="str">
        <f t="shared" ca="1" si="370"/>
        <v/>
      </c>
      <c r="Z792" s="315" t="str">
        <f t="shared" ca="1" si="371"/>
        <v/>
      </c>
      <c r="AA792" s="316" t="str">
        <f t="shared" ca="1" si="372"/>
        <v/>
      </c>
      <c r="AC792" s="310" t="e">
        <f t="shared" ca="1" si="373"/>
        <v>#N/A</v>
      </c>
      <c r="AD792" s="323" t="e">
        <f t="shared" ca="1" si="374"/>
        <v>#N/A</v>
      </c>
      <c r="AE792" s="324" t="e">
        <f t="shared" ca="1" si="353"/>
        <v>#N/A</v>
      </c>
      <c r="AG792" s="306">
        <f t="shared" ca="1" si="375"/>
        <v>6.8843280854692628</v>
      </c>
      <c r="AH792" s="304">
        <f t="shared" ca="1" si="376"/>
        <v>-2.8103611939785091</v>
      </c>
    </row>
    <row r="793" spans="1:34" x14ac:dyDescent="0.2">
      <c r="A793" s="347">
        <f t="shared" ca="1" si="354"/>
        <v>0.1</v>
      </c>
      <c r="B793" s="304">
        <f t="shared" ca="1" si="355"/>
        <v>33.900000000000148</v>
      </c>
      <c r="D793" s="306">
        <f t="shared" ca="1" si="356"/>
        <v>-0.43181987076071099</v>
      </c>
      <c r="E793" s="307">
        <f t="shared" ca="1" si="357"/>
        <v>-6.9905004166740952</v>
      </c>
      <c r="F793" s="304">
        <f t="shared" ca="1" si="358"/>
        <v>7.0038249889831263</v>
      </c>
      <c r="G793" s="306">
        <f t="shared" ca="1" si="359"/>
        <v>15.067166189224412</v>
      </c>
      <c r="H793" s="307">
        <f t="shared" ca="1" si="360"/>
        <v>-99.359679789752789</v>
      </c>
      <c r="I793" s="304">
        <f t="shared" ca="1" si="361"/>
        <v>100.49559923148833</v>
      </c>
      <c r="J793" s="306">
        <f t="shared" ca="1" si="362"/>
        <v>672.04518422305944</v>
      </c>
      <c r="K793" s="307">
        <f t="shared" ca="1" si="363"/>
        <v>2115.395221277342</v>
      </c>
      <c r="L793" s="304">
        <f t="shared" ca="1" si="348"/>
        <v>2219.5814181598344</v>
      </c>
      <c r="M793" s="306">
        <f t="shared" ca="1" si="364"/>
        <v>-1.4203002536749652</v>
      </c>
      <c r="N793" s="304">
        <f t="shared" ca="1" si="365"/>
        <v>-81.377210176935691</v>
      </c>
      <c r="P793" s="310">
        <f t="shared" ca="1" si="366"/>
        <v>23</v>
      </c>
      <c r="Q793" s="304">
        <f t="shared" ca="1" si="367"/>
        <v>0</v>
      </c>
      <c r="R793" s="306">
        <f t="shared" ca="1" si="368"/>
        <v>0</v>
      </c>
      <c r="S793" s="307">
        <f t="shared" ca="1" si="369"/>
        <v>9.137999999999975</v>
      </c>
      <c r="T793" s="304">
        <f t="shared" ca="1" si="349"/>
        <v>89.643779999999765</v>
      </c>
      <c r="U793" s="311">
        <f t="shared" ca="1" si="350"/>
        <v>0</v>
      </c>
      <c r="V793" s="306">
        <f t="shared" ca="1" si="351"/>
        <v>0.990651111351464</v>
      </c>
      <c r="W793" s="304">
        <f t="shared" ca="1" si="352"/>
        <v>26.450246448168802</v>
      </c>
      <c r="Y793" s="314" t="str">
        <f t="shared" ca="1" si="370"/>
        <v/>
      </c>
      <c r="Z793" s="315" t="str">
        <f t="shared" ca="1" si="371"/>
        <v/>
      </c>
      <c r="AA793" s="316" t="str">
        <f t="shared" ca="1" si="372"/>
        <v/>
      </c>
      <c r="AC793" s="310" t="e">
        <f t="shared" ca="1" si="373"/>
        <v>#N/A</v>
      </c>
      <c r="AD793" s="323" t="e">
        <f t="shared" ca="1" si="374"/>
        <v>#N/A</v>
      </c>
      <c r="AE793" s="324" t="e">
        <f t="shared" ca="1" si="353"/>
        <v>#N/A</v>
      </c>
      <c r="AG793" s="306">
        <f t="shared" ca="1" si="375"/>
        <v>6.8445561397999803</v>
      </c>
      <c r="AH793" s="304">
        <f t="shared" ca="1" si="376"/>
        <v>-2.8523755540178701</v>
      </c>
    </row>
    <row r="794" spans="1:34" x14ac:dyDescent="0.2">
      <c r="A794" s="347">
        <f t="shared" ca="1" si="354"/>
        <v>0.1</v>
      </c>
      <c r="B794" s="304">
        <f t="shared" ca="1" si="355"/>
        <v>34.000000000000149</v>
      </c>
      <c r="D794" s="306">
        <f t="shared" ca="1" si="356"/>
        <v>-0.43397339292066084</v>
      </c>
      <c r="E794" s="307">
        <f t="shared" ca="1" si="357"/>
        <v>-6.9481839944987671</v>
      </c>
      <c r="F794" s="304">
        <f t="shared" ca="1" si="358"/>
        <v>6.9617234739087355</v>
      </c>
      <c r="G794" s="306">
        <f t="shared" ca="1" si="359"/>
        <v>15.023768849932347</v>
      </c>
      <c r="H794" s="307">
        <f t="shared" ca="1" si="360"/>
        <v>-100.05449818920266</v>
      </c>
      <c r="I794" s="304">
        <f t="shared" ca="1" si="361"/>
        <v>101.17616437852028</v>
      </c>
      <c r="J794" s="306">
        <f t="shared" ca="1" si="362"/>
        <v>673.54973097501727</v>
      </c>
      <c r="K794" s="307">
        <f t="shared" ca="1" si="363"/>
        <v>2105.4245123783944</v>
      </c>
      <c r="L794" s="304">
        <f t="shared" ca="1" si="348"/>
        <v>2210.5387618000091</v>
      </c>
      <c r="M794" s="306">
        <f t="shared" ca="1" si="364"/>
        <v>-1.4217539559951331</v>
      </c>
      <c r="N794" s="304">
        <f t="shared" ca="1" si="365"/>
        <v>-81.460501184549699</v>
      </c>
      <c r="P794" s="310">
        <f t="shared" ca="1" si="366"/>
        <v>23</v>
      </c>
      <c r="Q794" s="304">
        <f t="shared" ca="1" si="367"/>
        <v>0</v>
      </c>
      <c r="R794" s="306">
        <f t="shared" ca="1" si="368"/>
        <v>0</v>
      </c>
      <c r="S794" s="307">
        <f t="shared" ca="1" si="369"/>
        <v>9.137999999999975</v>
      </c>
      <c r="T794" s="304">
        <f t="shared" ca="1" si="349"/>
        <v>89.643779999999765</v>
      </c>
      <c r="U794" s="311">
        <f t="shared" ca="1" si="350"/>
        <v>0</v>
      </c>
      <c r="V794" s="306">
        <f t="shared" ca="1" si="351"/>
        <v>0.99165048651571586</v>
      </c>
      <c r="W794" s="304">
        <f t="shared" ca="1" si="352"/>
        <v>26.836752139454113</v>
      </c>
      <c r="Y794" s="314" t="str">
        <f t="shared" ca="1" si="370"/>
        <v/>
      </c>
      <c r="Z794" s="315" t="str">
        <f t="shared" ca="1" si="371"/>
        <v/>
      </c>
      <c r="AA794" s="316" t="str">
        <f t="shared" ca="1" si="372"/>
        <v/>
      </c>
      <c r="AC794" s="310">
        <f t="shared" ca="1" si="373"/>
        <v>34.000000000000149</v>
      </c>
      <c r="AD794" s="323">
        <f t="shared" ca="1" si="374"/>
        <v>673.54973097501727</v>
      </c>
      <c r="AE794" s="324" t="e">
        <f t="shared" ca="1" si="353"/>
        <v>#N/A</v>
      </c>
      <c r="AG794" s="306">
        <f t="shared" ca="1" si="375"/>
        <v>6.804582417640642</v>
      </c>
      <c r="AH794" s="304">
        <f t="shared" ca="1" si="376"/>
        <v>-2.8945334261511135</v>
      </c>
    </row>
    <row r="795" spans="1:34" x14ac:dyDescent="0.2">
      <c r="A795" s="347">
        <f t="shared" ca="1" si="354"/>
        <v>0.1</v>
      </c>
      <c r="B795" s="304">
        <f t="shared" ca="1" si="355"/>
        <v>34.100000000000151</v>
      </c>
      <c r="D795" s="306">
        <f t="shared" ca="1" si="356"/>
        <v>-0.43609336926373277</v>
      </c>
      <c r="E795" s="307">
        <f t="shared" ca="1" si="357"/>
        <v>-6.9057285311589496</v>
      </c>
      <c r="F795" s="304">
        <f t="shared" ca="1" si="358"/>
        <v>6.9194843718862851</v>
      </c>
      <c r="G795" s="306">
        <f t="shared" ca="1" si="359"/>
        <v>14.980159513005974</v>
      </c>
      <c r="H795" s="307">
        <f t="shared" ca="1" si="360"/>
        <v>-100.74507104231856</v>
      </c>
      <c r="I795" s="304">
        <f t="shared" ca="1" si="361"/>
        <v>101.85270992151813</v>
      </c>
      <c r="J795" s="306">
        <f t="shared" ca="1" si="362"/>
        <v>675.04992739316424</v>
      </c>
      <c r="K795" s="307">
        <f t="shared" ca="1" si="363"/>
        <v>2095.3845339168183</v>
      </c>
      <c r="L795" s="304">
        <f t="shared" ca="1" si="348"/>
        <v>2201.4378822604372</v>
      </c>
      <c r="M795" s="306">
        <f t="shared" ca="1" si="364"/>
        <v>-1.4231841575601238</v>
      </c>
      <c r="N795" s="304">
        <f t="shared" ca="1" si="365"/>
        <v>-81.542445698076662</v>
      </c>
      <c r="P795" s="310">
        <f t="shared" ca="1" si="366"/>
        <v>23</v>
      </c>
      <c r="Q795" s="304">
        <f t="shared" ca="1" si="367"/>
        <v>0</v>
      </c>
      <c r="R795" s="306">
        <f t="shared" ca="1" si="368"/>
        <v>0</v>
      </c>
      <c r="S795" s="307">
        <f t="shared" ca="1" si="369"/>
        <v>9.137999999999975</v>
      </c>
      <c r="T795" s="304">
        <f t="shared" ca="1" si="349"/>
        <v>89.643779999999765</v>
      </c>
      <c r="U795" s="311">
        <f t="shared" ca="1" si="350"/>
        <v>0</v>
      </c>
      <c r="V795" s="306">
        <f t="shared" ca="1" si="351"/>
        <v>0.99265771601685004</v>
      </c>
      <c r="W795" s="304">
        <f t="shared" ca="1" si="352"/>
        <v>27.224480621288372</v>
      </c>
      <c r="Y795" s="314" t="str">
        <f t="shared" ca="1" si="370"/>
        <v/>
      </c>
      <c r="Z795" s="315" t="str">
        <f t="shared" ca="1" si="371"/>
        <v/>
      </c>
      <c r="AA795" s="316" t="str">
        <f t="shared" ca="1" si="372"/>
        <v/>
      </c>
      <c r="AC795" s="310" t="e">
        <f t="shared" ca="1" si="373"/>
        <v>#N/A</v>
      </c>
      <c r="AD795" s="323" t="e">
        <f t="shared" ca="1" si="374"/>
        <v>#N/A</v>
      </c>
      <c r="AE795" s="324" t="e">
        <f t="shared" ca="1" si="353"/>
        <v>#N/A</v>
      </c>
      <c r="AG795" s="306">
        <f t="shared" ca="1" si="375"/>
        <v>6.7644137435245515</v>
      </c>
      <c r="AH795" s="304">
        <f t="shared" ca="1" si="376"/>
        <v>-2.9368299561670153</v>
      </c>
    </row>
    <row r="796" spans="1:34" x14ac:dyDescent="0.2">
      <c r="A796" s="347">
        <f t="shared" ca="1" si="354"/>
        <v>0.1</v>
      </c>
      <c r="B796" s="304">
        <f t="shared" ca="1" si="355"/>
        <v>34.200000000000152</v>
      </c>
      <c r="D796" s="306">
        <f t="shared" ca="1" si="356"/>
        <v>-0.43817974562456247</v>
      </c>
      <c r="E796" s="307">
        <f t="shared" ca="1" si="357"/>
        <v>-6.86313888253828</v>
      </c>
      <c r="F796" s="304">
        <f t="shared" ca="1" si="358"/>
        <v>6.8771125343769386</v>
      </c>
      <c r="G796" s="306">
        <f t="shared" ca="1" si="359"/>
        <v>14.936341538443518</v>
      </c>
      <c r="H796" s="307">
        <f t="shared" ca="1" si="360"/>
        <v>-101.43138493057239</v>
      </c>
      <c r="I796" s="304">
        <f t="shared" ca="1" si="361"/>
        <v>102.52521712967489</v>
      </c>
      <c r="J796" s="306">
        <f t="shared" ca="1" si="362"/>
        <v>676.54575244573675</v>
      </c>
      <c r="K796" s="307">
        <f t="shared" ca="1" si="363"/>
        <v>2085.2757111181736</v>
      </c>
      <c r="L796" s="304">
        <f t="shared" ca="1" si="348"/>
        <v>2192.279395180225</v>
      </c>
      <c r="M796" s="306">
        <f t="shared" ca="1" si="364"/>
        <v>-1.4245914433501932</v>
      </c>
      <c r="N796" s="304">
        <f t="shared" ca="1" si="365"/>
        <v>-81.623077234416371</v>
      </c>
      <c r="P796" s="310">
        <f t="shared" ca="1" si="366"/>
        <v>23</v>
      </c>
      <c r="Q796" s="304">
        <f t="shared" ca="1" si="367"/>
        <v>0</v>
      </c>
      <c r="R796" s="306">
        <f t="shared" ca="1" si="368"/>
        <v>0</v>
      </c>
      <c r="S796" s="307">
        <f t="shared" ca="1" si="369"/>
        <v>9.137999999999975</v>
      </c>
      <c r="T796" s="304">
        <f t="shared" ca="1" si="349"/>
        <v>89.643779999999765</v>
      </c>
      <c r="U796" s="311">
        <f t="shared" ca="1" si="350"/>
        <v>0</v>
      </c>
      <c r="V796" s="306">
        <f t="shared" ca="1" si="351"/>
        <v>0.99367277732613546</v>
      </c>
      <c r="W796" s="304">
        <f t="shared" ca="1" si="352"/>
        <v>27.613387729659422</v>
      </c>
      <c r="Y796" s="314" t="str">
        <f t="shared" ca="1" si="370"/>
        <v/>
      </c>
      <c r="Z796" s="315" t="str">
        <f t="shared" ca="1" si="371"/>
        <v/>
      </c>
      <c r="AA796" s="316" t="str">
        <f t="shared" ca="1" si="372"/>
        <v/>
      </c>
      <c r="AC796" s="310" t="e">
        <f t="shared" ca="1" si="373"/>
        <v>#N/A</v>
      </c>
      <c r="AD796" s="323" t="e">
        <f t="shared" ca="1" si="374"/>
        <v>#N/A</v>
      </c>
      <c r="AE796" s="324" t="e">
        <f t="shared" ca="1" si="353"/>
        <v>#N/A</v>
      </c>
      <c r="AG796" s="306">
        <f t="shared" ca="1" si="375"/>
        <v>6.7240568497147493</v>
      </c>
      <c r="AH796" s="304">
        <f t="shared" ca="1" si="376"/>
        <v>-2.9792602999877924</v>
      </c>
    </row>
    <row r="797" spans="1:34" x14ac:dyDescent="0.2">
      <c r="A797" s="347">
        <f t="shared" ca="1" si="354"/>
        <v>0.1</v>
      </c>
      <c r="B797" s="304">
        <f t="shared" ca="1" si="355"/>
        <v>34.300000000000153</v>
      </c>
      <c r="D797" s="306">
        <f t="shared" ca="1" si="356"/>
        <v>-0.44023247396409254</v>
      </c>
      <c r="E797" s="307">
        <f t="shared" ca="1" si="357"/>
        <v>-6.8204198936091505</v>
      </c>
      <c r="F797" s="304">
        <f t="shared" ca="1" si="358"/>
        <v>6.8346128022201809</v>
      </c>
      <c r="G797" s="306">
        <f t="shared" ca="1" si="359"/>
        <v>14.892318291047109</v>
      </c>
      <c r="H797" s="307">
        <f t="shared" ca="1" si="360"/>
        <v>-102.1134269199333</v>
      </c>
      <c r="I797" s="304">
        <f t="shared" ca="1" si="361"/>
        <v>103.19366793274874</v>
      </c>
      <c r="J797" s="306">
        <f t="shared" ca="1" si="362"/>
        <v>678.03718543721129</v>
      </c>
      <c r="K797" s="307">
        <f t="shared" ca="1" si="363"/>
        <v>2075.0984705256483</v>
      </c>
      <c r="L797" s="304">
        <f t="shared" ca="1" si="348"/>
        <v>2183.0639219256727</v>
      </c>
      <c r="M797" s="306">
        <f t="shared" ca="1" si="364"/>
        <v>-1.4259763791283337</v>
      </c>
      <c r="N797" s="304">
        <f t="shared" ca="1" si="365"/>
        <v>-81.702428209400495</v>
      </c>
      <c r="P797" s="310">
        <f t="shared" ca="1" si="366"/>
        <v>23</v>
      </c>
      <c r="Q797" s="304">
        <f t="shared" ca="1" si="367"/>
        <v>0</v>
      </c>
      <c r="R797" s="306">
        <f t="shared" ca="1" si="368"/>
        <v>0</v>
      </c>
      <c r="S797" s="307">
        <f t="shared" ca="1" si="369"/>
        <v>9.137999999999975</v>
      </c>
      <c r="T797" s="304">
        <f t="shared" ca="1" si="349"/>
        <v>89.643779999999765</v>
      </c>
      <c r="U797" s="311">
        <f t="shared" ca="1" si="350"/>
        <v>0</v>
      </c>
      <c r="V797" s="306">
        <f t="shared" ca="1" si="351"/>
        <v>0.99469564780986564</v>
      </c>
      <c r="W797" s="304">
        <f t="shared" ca="1" si="352"/>
        <v>28.003429410210469</v>
      </c>
      <c r="Y797" s="314" t="str">
        <f t="shared" ca="1" si="370"/>
        <v/>
      </c>
      <c r="Z797" s="315" t="str">
        <f t="shared" ca="1" si="371"/>
        <v/>
      </c>
      <c r="AA797" s="316" t="str">
        <f t="shared" ca="1" si="372"/>
        <v/>
      </c>
      <c r="AC797" s="310" t="e">
        <f t="shared" ca="1" si="373"/>
        <v>#N/A</v>
      </c>
      <c r="AD797" s="323" t="e">
        <f t="shared" ca="1" si="374"/>
        <v>#N/A</v>
      </c>
      <c r="AE797" s="324" t="e">
        <f t="shared" ca="1" si="353"/>
        <v>#N/A</v>
      </c>
      <c r="AG797" s="306">
        <f t="shared" ca="1" si="375"/>
        <v>6.6835183793142061</v>
      </c>
      <c r="AH797" s="304">
        <f t="shared" ca="1" si="376"/>
        <v>-3.0218196246070801</v>
      </c>
    </row>
    <row r="798" spans="1:34" x14ac:dyDescent="0.2">
      <c r="A798" s="347">
        <f t="shared" ca="1" si="354"/>
        <v>0.1</v>
      </c>
      <c r="B798" s="304">
        <f t="shared" ca="1" si="355"/>
        <v>34.400000000000155</v>
      </c>
      <c r="D798" s="306">
        <f t="shared" ca="1" si="356"/>
        <v>-0.44225151230352699</v>
      </c>
      <c r="E798" s="307">
        <f t="shared" ca="1" si="357"/>
        <v>-6.7775763974917762</v>
      </c>
      <c r="F798" s="304">
        <f t="shared" ca="1" si="358"/>
        <v>6.7919900047020363</v>
      </c>
      <c r="G798" s="306">
        <f t="shared" ca="1" si="359"/>
        <v>14.848093139816756</v>
      </c>
      <c r="H798" s="307">
        <f t="shared" ca="1" si="360"/>
        <v>-102.79118455968248</v>
      </c>
      <c r="I798" s="304">
        <f t="shared" ca="1" si="361"/>
        <v>103.85804491261801</v>
      </c>
      <c r="J798" s="306">
        <f t="shared" ca="1" si="362"/>
        <v>679.5242060087545</v>
      </c>
      <c r="K798" s="307">
        <f t="shared" ca="1" si="363"/>
        <v>2064.8532399516675</v>
      </c>
      <c r="L798" s="304">
        <f t="shared" ca="1" si="348"/>
        <v>2173.7920896651376</v>
      </c>
      <c r="M798" s="306">
        <f t="shared" ca="1" si="364"/>
        <v>-1.4273395122150252</v>
      </c>
      <c r="N798" s="304">
        <f t="shared" ca="1" si="365"/>
        <v>-81.780529982182557</v>
      </c>
      <c r="P798" s="310">
        <f t="shared" ca="1" si="366"/>
        <v>23</v>
      </c>
      <c r="Q798" s="304">
        <f t="shared" ca="1" si="367"/>
        <v>0</v>
      </c>
      <c r="R798" s="306">
        <f t="shared" ca="1" si="368"/>
        <v>0</v>
      </c>
      <c r="S798" s="307">
        <f t="shared" ca="1" si="369"/>
        <v>9.137999999999975</v>
      </c>
      <c r="T798" s="304">
        <f t="shared" ca="1" si="349"/>
        <v>89.643779999999765</v>
      </c>
      <c r="U798" s="311">
        <f t="shared" ca="1" si="350"/>
        <v>0</v>
      </c>
      <c r="V798" s="306">
        <f t="shared" ca="1" si="351"/>
        <v>0.99572630473146706</v>
      </c>
      <c r="W798" s="304">
        <f t="shared" ca="1" si="352"/>
        <v>28.394561726635818</v>
      </c>
      <c r="Y798" s="314" t="str">
        <f t="shared" ca="1" si="370"/>
        <v/>
      </c>
      <c r="Z798" s="315" t="str">
        <f t="shared" ca="1" si="371"/>
        <v/>
      </c>
      <c r="AA798" s="316" t="str">
        <f t="shared" ca="1" si="372"/>
        <v/>
      </c>
      <c r="AC798" s="310" t="e">
        <f t="shared" ca="1" si="373"/>
        <v>#N/A</v>
      </c>
      <c r="AD798" s="323" t="e">
        <f t="shared" ca="1" si="374"/>
        <v>#N/A</v>
      </c>
      <c r="AE798" s="324" t="e">
        <f t="shared" ca="1" si="353"/>
        <v>#N/A</v>
      </c>
      <c r="AG798" s="306">
        <f t="shared" ca="1" si="375"/>
        <v>6.6428048891561584</v>
      </c>
      <c r="AH798" s="304">
        <f t="shared" ca="1" si="376"/>
        <v>-3.0645031090184442</v>
      </c>
    </row>
    <row r="799" spans="1:34" x14ac:dyDescent="0.2">
      <c r="A799" s="347">
        <f t="shared" ca="1" si="354"/>
        <v>0.1</v>
      </c>
      <c r="B799" s="304">
        <f t="shared" ca="1" si="355"/>
        <v>34.500000000000156</v>
      </c>
      <c r="D799" s="306">
        <f t="shared" ca="1" si="356"/>
        <v>-0.44423682465885544</v>
      </c>
      <c r="E799" s="307">
        <f t="shared" ca="1" si="357"/>
        <v>-6.7346132145235664</v>
      </c>
      <c r="F799" s="304">
        <f t="shared" ca="1" si="358"/>
        <v>6.749248958633725</v>
      </c>
      <c r="G799" s="306">
        <f t="shared" ca="1" si="359"/>
        <v>14.803669457350871</v>
      </c>
      <c r="H799" s="307">
        <f t="shared" ca="1" si="360"/>
        <v>-103.46464588113483</v>
      </c>
      <c r="I799" s="304">
        <f t="shared" ca="1" si="361"/>
        <v>104.51833129509453</v>
      </c>
      <c r="J799" s="306">
        <f t="shared" ca="1" si="362"/>
        <v>681.00679413861292</v>
      </c>
      <c r="K799" s="307">
        <f t="shared" ca="1" si="363"/>
        <v>2054.5404484296268</v>
      </c>
      <c r="L799" s="304">
        <f t="shared" ca="1" si="348"/>
        <v>2164.4645314479894</v>
      </c>
      <c r="M799" s="306">
        <f t="shared" ca="1" si="364"/>
        <v>-1.4286813722261356</v>
      </c>
      <c r="N799" s="304">
        <f t="shared" ca="1" si="365"/>
        <v>-81.857412897516554</v>
      </c>
      <c r="P799" s="310">
        <f t="shared" ca="1" si="366"/>
        <v>23</v>
      </c>
      <c r="Q799" s="304">
        <f t="shared" ca="1" si="367"/>
        <v>0</v>
      </c>
      <c r="R799" s="306">
        <f t="shared" ca="1" si="368"/>
        <v>0</v>
      </c>
      <c r="S799" s="307">
        <f t="shared" ca="1" si="369"/>
        <v>9.137999999999975</v>
      </c>
      <c r="T799" s="304">
        <f t="shared" ca="1" si="349"/>
        <v>89.643779999999765</v>
      </c>
      <c r="U799" s="311">
        <f t="shared" ca="1" si="350"/>
        <v>0</v>
      </c>
      <c r="V799" s="306">
        <f t="shared" ca="1" si="351"/>
        <v>0.99676472525361559</v>
      </c>
      <c r="W799" s="304">
        <f t="shared" ca="1" si="352"/>
        <v>28.786740868985355</v>
      </c>
      <c r="Y799" s="314" t="str">
        <f t="shared" ca="1" si="370"/>
        <v/>
      </c>
      <c r="Z799" s="315" t="str">
        <f t="shared" ca="1" si="371"/>
        <v/>
      </c>
      <c r="AA799" s="316" t="str">
        <f t="shared" ca="1" si="372"/>
        <v/>
      </c>
      <c r="AC799" s="310" t="e">
        <f t="shared" ca="1" si="373"/>
        <v>#N/A</v>
      </c>
      <c r="AD799" s="323" t="e">
        <f t="shared" ca="1" si="374"/>
        <v>#N/A</v>
      </c>
      <c r="AE799" s="324" t="e">
        <f t="shared" ca="1" si="353"/>
        <v>#N/A</v>
      </c>
      <c r="AG799" s="306">
        <f t="shared" ca="1" si="375"/>
        <v>6.6019228524895359</v>
      </c>
      <c r="AH799" s="304">
        <f t="shared" ca="1" si="376"/>
        <v>-3.1073059451341534</v>
      </c>
    </row>
    <row r="800" spans="1:34" x14ac:dyDescent="0.2">
      <c r="A800" s="347">
        <f t="shared" ca="1" si="354"/>
        <v>0.1</v>
      </c>
      <c r="B800" s="304">
        <f t="shared" ca="1" si="355"/>
        <v>34.600000000000158</v>
      </c>
      <c r="D800" s="306">
        <f t="shared" ca="1" si="356"/>
        <v>-0.44618838097586905</v>
      </c>
      <c r="E800" s="307">
        <f t="shared" ca="1" si="357"/>
        <v>-6.6915351513390009</v>
      </c>
      <c r="F800" s="304">
        <f t="shared" ca="1" si="358"/>
        <v>6.7063944674410063</v>
      </c>
      <c r="G800" s="306">
        <f t="shared" ca="1" si="359"/>
        <v>14.759050619253284</v>
      </c>
      <c r="H800" s="307">
        <f t="shared" ca="1" si="360"/>
        <v>-104.13379939626873</v>
      </c>
      <c r="I800" s="304">
        <f t="shared" ca="1" si="361"/>
        <v>105.17451094197689</v>
      </c>
      <c r="J800" s="306">
        <f t="shared" ca="1" si="362"/>
        <v>682.48493014244309</v>
      </c>
      <c r="K800" s="307">
        <f t="shared" ca="1" si="363"/>
        <v>2044.1605261657567</v>
      </c>
      <c r="L800" s="304">
        <f t="shared" ca="1" si="348"/>
        <v>2155.0818862878041</v>
      </c>
      <c r="M800" s="306">
        <f t="shared" ca="1" si="364"/>
        <v>-1.4300024717759852</v>
      </c>
      <c r="N800" s="304">
        <f t="shared" ca="1" si="365"/>
        <v>-81.933106326039578</v>
      </c>
      <c r="P800" s="310">
        <f t="shared" ca="1" si="366"/>
        <v>23</v>
      </c>
      <c r="Q800" s="304">
        <f t="shared" ca="1" si="367"/>
        <v>0</v>
      </c>
      <c r="R800" s="306">
        <f t="shared" ca="1" si="368"/>
        <v>0</v>
      </c>
      <c r="S800" s="307">
        <f t="shared" ca="1" si="369"/>
        <v>9.137999999999975</v>
      </c>
      <c r="T800" s="304">
        <f t="shared" ca="1" si="349"/>
        <v>89.643779999999765</v>
      </c>
      <c r="U800" s="311">
        <f t="shared" ca="1" si="350"/>
        <v>0</v>
      </c>
      <c r="V800" s="306">
        <f t="shared" ca="1" si="351"/>
        <v>0.99781088644035565</v>
      </c>
      <c r="W800" s="304">
        <f t="shared" ca="1" si="352"/>
        <v>29.179923161875589</v>
      </c>
      <c r="Y800" s="314" t="str">
        <f t="shared" ca="1" si="370"/>
        <v/>
      </c>
      <c r="Z800" s="315" t="str">
        <f t="shared" ca="1" si="371"/>
        <v/>
      </c>
      <c r="AA800" s="316" t="str">
        <f t="shared" ca="1" si="372"/>
        <v/>
      </c>
      <c r="AC800" s="310" t="e">
        <f t="shared" ca="1" si="373"/>
        <v>#N/A</v>
      </c>
      <c r="AD800" s="323" t="e">
        <f t="shared" ca="1" si="374"/>
        <v>#N/A</v>
      </c>
      <c r="AE800" s="324" t="e">
        <f t="shared" ca="1" si="353"/>
        <v>#N/A</v>
      </c>
      <c r="AG800" s="306">
        <f t="shared" ca="1" si="375"/>
        <v>6.5608786614732599</v>
      </c>
      <c r="AH800" s="304">
        <f t="shared" ca="1" si="376"/>
        <v>-3.1502233386939631</v>
      </c>
    </row>
    <row r="801" spans="1:34" x14ac:dyDescent="0.2">
      <c r="A801" s="347">
        <f t="shared" ca="1" si="354"/>
        <v>0.1</v>
      </c>
      <c r="B801" s="304">
        <f t="shared" ca="1" si="355"/>
        <v>34.700000000000159</v>
      </c>
      <c r="D801" s="306">
        <f t="shared" ca="1" si="356"/>
        <v>-0.44810615706558965</v>
      </c>
      <c r="E801" s="307">
        <f t="shared" ca="1" si="357"/>
        <v>-6.6483469999602294</v>
      </c>
      <c r="F801" s="304">
        <f t="shared" ca="1" si="358"/>
        <v>6.6634313202643787</v>
      </c>
      <c r="G801" s="306">
        <f t="shared" ca="1" si="359"/>
        <v>14.714240003546724</v>
      </c>
      <c r="H801" s="307">
        <f t="shared" ca="1" si="360"/>
        <v>-104.79863409626475</v>
      </c>
      <c r="I801" s="304">
        <f t="shared" ca="1" si="361"/>
        <v>105.82656834332651</v>
      </c>
      <c r="J801" s="306">
        <f t="shared" ca="1" si="362"/>
        <v>683.95859467358309</v>
      </c>
      <c r="K801" s="307">
        <f t="shared" ca="1" si="363"/>
        <v>2033.7139044911301</v>
      </c>
      <c r="L801" s="304">
        <f t="shared" ca="1" si="348"/>
        <v>2145.6447992499643</v>
      </c>
      <c r="M801" s="306">
        <f t="shared" ca="1" si="364"/>
        <v>-1.431303307147457</v>
      </c>
      <c r="N801" s="304">
        <f t="shared" ca="1" si="365"/>
        <v>-82.007638702666242</v>
      </c>
      <c r="P801" s="310">
        <f t="shared" ca="1" si="366"/>
        <v>23</v>
      </c>
      <c r="Q801" s="304">
        <f t="shared" ca="1" si="367"/>
        <v>0</v>
      </c>
      <c r="R801" s="306">
        <f t="shared" ca="1" si="368"/>
        <v>0</v>
      </c>
      <c r="S801" s="307">
        <f t="shared" ca="1" si="369"/>
        <v>9.137999999999975</v>
      </c>
      <c r="T801" s="304">
        <f t="shared" ca="1" si="349"/>
        <v>89.643779999999765</v>
      </c>
      <c r="U801" s="311">
        <f t="shared" ca="1" si="350"/>
        <v>0</v>
      </c>
      <c r="V801" s="306">
        <f t="shared" ca="1" si="351"/>
        <v>0.99886476525922085</v>
      </c>
      <c r="W801" s="304">
        <f t="shared" ca="1" si="352"/>
        <v>29.574065072604903</v>
      </c>
      <c r="Y801" s="314" t="str">
        <f t="shared" ca="1" si="370"/>
        <v/>
      </c>
      <c r="Z801" s="315" t="str">
        <f t="shared" ca="1" si="371"/>
        <v/>
      </c>
      <c r="AA801" s="316" t="str">
        <f t="shared" ca="1" si="372"/>
        <v/>
      </c>
      <c r="AC801" s="310" t="e">
        <f t="shared" ca="1" si="373"/>
        <v>#N/A</v>
      </c>
      <c r="AD801" s="323" t="e">
        <f t="shared" ca="1" si="374"/>
        <v>#N/A</v>
      </c>
      <c r="AE801" s="324" t="e">
        <f t="shared" ca="1" si="353"/>
        <v>#N/A</v>
      </c>
      <c r="AG801" s="306">
        <f t="shared" ca="1" si="375"/>
        <v>6.5196786294923257</v>
      </c>
      <c r="AH801" s="304">
        <f t="shared" ca="1" si="376"/>
        <v>-3.1932505101636757</v>
      </c>
    </row>
    <row r="802" spans="1:34" x14ac:dyDescent="0.2">
      <c r="A802" s="347">
        <f t="shared" ca="1" si="354"/>
        <v>0.1</v>
      </c>
      <c r="B802" s="304">
        <f t="shared" ca="1" si="355"/>
        <v>34.800000000000161</v>
      </c>
      <c r="D802" s="306">
        <f t="shared" ca="1" si="356"/>
        <v>-0.44999013454005249</v>
      </c>
      <c r="E802" s="307">
        <f t="shared" ca="1" si="357"/>
        <v>-6.6050535368986214</v>
      </c>
      <c r="F802" s="304">
        <f t="shared" ca="1" si="358"/>
        <v>6.6203642910704215</v>
      </c>
      <c r="G802" s="306">
        <f t="shared" ca="1" si="359"/>
        <v>14.669240990092719</v>
      </c>
      <c r="H802" s="307">
        <f t="shared" ca="1" si="360"/>
        <v>-105.45913944995461</v>
      </c>
      <c r="I802" s="304">
        <f t="shared" ca="1" si="361"/>
        <v>106.47448860995007</v>
      </c>
      <c r="J802" s="306">
        <f t="shared" ca="1" si="362"/>
        <v>685.4277687232651</v>
      </c>
      <c r="K802" s="307">
        <f t="shared" ca="1" si="363"/>
        <v>2023.2010158138191</v>
      </c>
      <c r="L802" s="304">
        <f t="shared" ca="1" si="348"/>
        <v>2136.1539215438161</v>
      </c>
      <c r="M802" s="306">
        <f t="shared" ca="1" si="364"/>
        <v>-1.4325843589309288</v>
      </c>
      <c r="N802" s="304">
        <f t="shared" ca="1" si="365"/>
        <v>-82.081037563196887</v>
      </c>
      <c r="P802" s="310">
        <f t="shared" ca="1" si="366"/>
        <v>23</v>
      </c>
      <c r="Q802" s="304">
        <f t="shared" ca="1" si="367"/>
        <v>0</v>
      </c>
      <c r="R802" s="306">
        <f t="shared" ca="1" si="368"/>
        <v>0</v>
      </c>
      <c r="S802" s="307">
        <f t="shared" ca="1" si="369"/>
        <v>9.137999999999975</v>
      </c>
      <c r="T802" s="304">
        <f t="shared" ca="1" si="349"/>
        <v>89.643779999999765</v>
      </c>
      <c r="U802" s="311">
        <f t="shared" ca="1" si="350"/>
        <v>0</v>
      </c>
      <c r="V802" s="306">
        <f t="shared" ca="1" si="351"/>
        <v>0.99992633858336122</v>
      </c>
      <c r="W802" s="304">
        <f t="shared" ca="1" si="352"/>
        <v>29.969123219171014</v>
      </c>
      <c r="Y802" s="314" t="str">
        <f t="shared" ca="1" si="370"/>
        <v/>
      </c>
      <c r="Z802" s="315" t="str">
        <f t="shared" ca="1" si="371"/>
        <v/>
      </c>
      <c r="AA802" s="316" t="str">
        <f t="shared" ca="1" si="372"/>
        <v/>
      </c>
      <c r="AC802" s="310" t="e">
        <f t="shared" ca="1" si="373"/>
        <v>#N/A</v>
      </c>
      <c r="AD802" s="323" t="e">
        <f t="shared" ca="1" si="374"/>
        <v>#N/A</v>
      </c>
      <c r="AE802" s="324" t="e">
        <f t="shared" ca="1" si="353"/>
        <v>#N/A</v>
      </c>
      <c r="AG802" s="306">
        <f t="shared" ca="1" si="375"/>
        <v>6.4783289933076631</v>
      </c>
      <c r="AH802" s="304">
        <f t="shared" ca="1" si="376"/>
        <v>-3.2363826956232198</v>
      </c>
    </row>
    <row r="803" spans="1:34" x14ac:dyDescent="0.2">
      <c r="A803" s="347">
        <f t="shared" ca="1" si="354"/>
        <v>0.1</v>
      </c>
      <c r="B803" s="304">
        <f t="shared" ca="1" si="355"/>
        <v>34.900000000000162</v>
      </c>
      <c r="D803" s="306">
        <f t="shared" ca="1" si="356"/>
        <v>-0.45184030074836967</v>
      </c>
      <c r="E803" s="307">
        <f t="shared" ca="1" si="357"/>
        <v>-6.5616595222674459</v>
      </c>
      <c r="F803" s="304">
        <f t="shared" ca="1" si="358"/>
        <v>6.5771981377744293</v>
      </c>
      <c r="G803" s="306">
        <f t="shared" ca="1" si="359"/>
        <v>14.624056960017882</v>
      </c>
      <c r="H803" s="307">
        <f t="shared" ca="1" si="360"/>
        <v>-106.11530540218135</v>
      </c>
      <c r="I803" s="304">
        <f t="shared" ca="1" si="361"/>
        <v>107.11825746607376</v>
      </c>
      <c r="J803" s="306">
        <f t="shared" ca="1" si="362"/>
        <v>686.89243362077059</v>
      </c>
      <c r="K803" s="307">
        <f t="shared" ca="1" si="363"/>
        <v>2012.6222935712124</v>
      </c>
      <c r="L803" s="304">
        <f t="shared" ca="1" si="348"/>
        <v>2126.6099106195552</v>
      </c>
      <c r="M803" s="306">
        <f t="shared" ca="1" si="364"/>
        <v>-1.43384609263369</v>
      </c>
      <c r="N803" s="304">
        <f t="shared" ca="1" si="365"/>
        <v>-82.153329579234509</v>
      </c>
      <c r="P803" s="310">
        <f t="shared" ca="1" si="366"/>
        <v>23</v>
      </c>
      <c r="Q803" s="304">
        <f t="shared" ca="1" si="367"/>
        <v>0</v>
      </c>
      <c r="R803" s="306">
        <f t="shared" ca="1" si="368"/>
        <v>0</v>
      </c>
      <c r="S803" s="307">
        <f t="shared" ca="1" si="369"/>
        <v>9.137999999999975</v>
      </c>
      <c r="T803" s="304">
        <f t="shared" ca="1" si="349"/>
        <v>89.643779999999765</v>
      </c>
      <c r="U803" s="311">
        <f t="shared" ca="1" si="350"/>
        <v>0</v>
      </c>
      <c r="V803" s="306">
        <f t="shared" ca="1" si="351"/>
        <v>1.0009955831936685</v>
      </c>
      <c r="W803" s="304">
        <f t="shared" ca="1" si="352"/>
        <v>30.365054378188404</v>
      </c>
      <c r="Y803" s="314" t="str">
        <f t="shared" ca="1" si="370"/>
        <v/>
      </c>
      <c r="Z803" s="315" t="str">
        <f t="shared" ca="1" si="371"/>
        <v/>
      </c>
      <c r="AA803" s="316" t="str">
        <f t="shared" ca="1" si="372"/>
        <v/>
      </c>
      <c r="AC803" s="310" t="e">
        <f t="shared" ca="1" si="373"/>
        <v>#N/A</v>
      </c>
      <c r="AD803" s="323" t="e">
        <f t="shared" ca="1" si="374"/>
        <v>#N/A</v>
      </c>
      <c r="AE803" s="324" t="e">
        <f t="shared" ca="1" si="353"/>
        <v>#N/A</v>
      </c>
      <c r="AG803" s="306">
        <f t="shared" ca="1" si="375"/>
        <v>6.4368359150509651</v>
      </c>
      <c r="AH803" s="304">
        <f t="shared" ca="1" si="376"/>
        <v>-3.2796151476440243</v>
      </c>
    </row>
    <row r="804" spans="1:34" x14ac:dyDescent="0.2">
      <c r="A804" s="347">
        <f t="shared" ca="1" si="354"/>
        <v>0.1</v>
      </c>
      <c r="B804" s="304">
        <f t="shared" ca="1" si="355"/>
        <v>35.000000000000163</v>
      </c>
      <c r="D804" s="306">
        <f t="shared" ca="1" si="356"/>
        <v>-0.45365664871302236</v>
      </c>
      <c r="E804" s="307">
        <f t="shared" ca="1" si="357"/>
        <v>-6.5181696989059308</v>
      </c>
      <c r="F804" s="304">
        <f t="shared" ca="1" si="358"/>
        <v>6.5339376013746078</v>
      </c>
      <c r="G804" s="306">
        <f t="shared" ca="1" si="359"/>
        <v>14.57869129514658</v>
      </c>
      <c r="H804" s="307">
        <f t="shared" ca="1" si="360"/>
        <v>-106.76712237207194</v>
      </c>
      <c r="I804" s="304">
        <f t="shared" ca="1" si="361"/>
        <v>107.75786124219508</v>
      </c>
      <c r="J804" s="306">
        <f t="shared" ca="1" si="362"/>
        <v>688.35257103352876</v>
      </c>
      <c r="K804" s="307">
        <f t="shared" ca="1" si="363"/>
        <v>2001.9781721824997</v>
      </c>
      <c r="L804" s="304">
        <f t="shared" ca="1" si="348"/>
        <v>2117.0134302700235</v>
      </c>
      <c r="M804" s="306">
        <f t="shared" ca="1" si="364"/>
        <v>-1.4350889592614084</v>
      </c>
      <c r="N804" s="304">
        <f t="shared" ca="1" si="365"/>
        <v>-82.224540591500443</v>
      </c>
      <c r="P804" s="310">
        <f t="shared" ca="1" si="366"/>
        <v>23</v>
      </c>
      <c r="Q804" s="304">
        <f t="shared" ca="1" si="367"/>
        <v>0</v>
      </c>
      <c r="R804" s="306">
        <f t="shared" ca="1" si="368"/>
        <v>0</v>
      </c>
      <c r="S804" s="307">
        <f t="shared" ca="1" si="369"/>
        <v>9.137999999999975</v>
      </c>
      <c r="T804" s="304">
        <f t="shared" ca="1" si="349"/>
        <v>89.643779999999765</v>
      </c>
      <c r="U804" s="311">
        <f t="shared" ca="1" si="350"/>
        <v>0</v>
      </c>
      <c r="V804" s="306">
        <f t="shared" ca="1" si="351"/>
        <v>1.0020724757809092</v>
      </c>
      <c r="W804" s="304">
        <f t="shared" ca="1" si="352"/>
        <v>30.761815492703921</v>
      </c>
      <c r="Y804" s="314" t="str">
        <f t="shared" ca="1" si="370"/>
        <v/>
      </c>
      <c r="Z804" s="315" t="str">
        <f t="shared" ca="1" si="371"/>
        <v/>
      </c>
      <c r="AA804" s="316" t="str">
        <f t="shared" ca="1" si="372"/>
        <v/>
      </c>
      <c r="AC804" s="310">
        <f t="shared" ca="1" si="373"/>
        <v>35.000000000000163</v>
      </c>
      <c r="AD804" s="323">
        <f t="shared" ca="1" si="374"/>
        <v>688.35257103352876</v>
      </c>
      <c r="AE804" s="324" t="e">
        <f t="shared" ca="1" si="353"/>
        <v>#N/A</v>
      </c>
      <c r="AG804" s="306">
        <f t="shared" ca="1" si="375"/>
        <v>6.3952054840748573</v>
      </c>
      <c r="AH804" s="304">
        <f t="shared" ca="1" si="376"/>
        <v>-3.3229431361554482</v>
      </c>
    </row>
    <row r="805" spans="1:34" x14ac:dyDescent="0.2">
      <c r="A805" s="347">
        <f t="shared" ca="1" si="354"/>
        <v>0.1</v>
      </c>
      <c r="B805" s="304">
        <f t="shared" ca="1" si="355"/>
        <v>35.100000000000165</v>
      </c>
      <c r="D805" s="306">
        <f t="shared" ca="1" si="356"/>
        <v>-0.45543917706633436</v>
      </c>
      <c r="E805" s="307">
        <f t="shared" ca="1" si="357"/>
        <v>-6.474588791514833</v>
      </c>
      <c r="F805" s="304">
        <f t="shared" ca="1" si="358"/>
        <v>6.4905874050979673</v>
      </c>
      <c r="G805" s="306">
        <f t="shared" ca="1" si="359"/>
        <v>14.533147377439947</v>
      </c>
      <c r="H805" s="307">
        <f t="shared" ca="1" si="360"/>
        <v>-107.41458125122342</v>
      </c>
      <c r="I805" s="304">
        <f t="shared" ca="1" si="361"/>
        <v>108.3932868680993</v>
      </c>
      <c r="J805" s="306">
        <f t="shared" ca="1" si="362"/>
        <v>689.80816296715807</v>
      </c>
      <c r="K805" s="307">
        <f t="shared" ca="1" si="363"/>
        <v>1991.269087001335</v>
      </c>
      <c r="L805" s="304">
        <f t="shared" ca="1" si="348"/>
        <v>2107.3651507375876</v>
      </c>
      <c r="M805" s="306">
        <f t="shared" ca="1" si="364"/>
        <v>-1.4363133958731207</v>
      </c>
      <c r="N805" s="304">
        <f t="shared" ca="1" si="365"/>
        <v>-82.294695641632842</v>
      </c>
      <c r="P805" s="310">
        <f t="shared" ca="1" si="366"/>
        <v>23</v>
      </c>
      <c r="Q805" s="304">
        <f t="shared" ca="1" si="367"/>
        <v>0</v>
      </c>
      <c r="R805" s="306">
        <f t="shared" ca="1" si="368"/>
        <v>0</v>
      </c>
      <c r="S805" s="307">
        <f t="shared" ca="1" si="369"/>
        <v>9.137999999999975</v>
      </c>
      <c r="T805" s="304">
        <f t="shared" ca="1" si="349"/>
        <v>89.643779999999765</v>
      </c>
      <c r="U805" s="311">
        <f t="shared" ca="1" si="350"/>
        <v>0</v>
      </c>
      <c r="V805" s="306">
        <f t="shared" ca="1" si="351"/>
        <v>1.0031569929478543</v>
      </c>
      <c r="W805" s="304">
        <f t="shared" ca="1" si="352"/>
        <v>31.159363679908324</v>
      </c>
      <c r="Y805" s="314" t="str">
        <f t="shared" ca="1" si="370"/>
        <v/>
      </c>
      <c r="Z805" s="315" t="str">
        <f t="shared" ca="1" si="371"/>
        <v/>
      </c>
      <c r="AA805" s="316" t="str">
        <f t="shared" ca="1" si="372"/>
        <v/>
      </c>
      <c r="AC805" s="310" t="e">
        <f t="shared" ca="1" si="373"/>
        <v>#N/A</v>
      </c>
      <c r="AD805" s="323" t="e">
        <f t="shared" ca="1" si="374"/>
        <v>#N/A</v>
      </c>
      <c r="AE805" s="324" t="e">
        <f t="shared" ca="1" si="353"/>
        <v>#N/A</v>
      </c>
      <c r="AG805" s="306">
        <f t="shared" ca="1" si="375"/>
        <v>6.3534437186682027</v>
      </c>
      <c r="AH805" s="304">
        <f t="shared" ca="1" si="376"/>
        <v>-3.366361949300066</v>
      </c>
    </row>
    <row r="806" spans="1:34" x14ac:dyDescent="0.2">
      <c r="A806" s="347">
        <f t="shared" ca="1" si="354"/>
        <v>0.1</v>
      </c>
      <c r="B806" s="304">
        <f t="shared" ca="1" si="355"/>
        <v>35.200000000000166</v>
      </c>
      <c r="D806" s="306">
        <f t="shared" ca="1" si="356"/>
        <v>-0.45718788998706839</v>
      </c>
      <c r="E806" s="307">
        <f t="shared" ca="1" si="357"/>
        <v>-6.4309215058037923</v>
      </c>
      <c r="F806" s="304">
        <f t="shared" ca="1" si="358"/>
        <v>6.4471522535581975</v>
      </c>
      <c r="G806" s="306">
        <f t="shared" ca="1" si="359"/>
        <v>14.48742858844124</v>
      </c>
      <c r="H806" s="307">
        <f t="shared" ca="1" si="360"/>
        <v>-108.0576734018038</v>
      </c>
      <c r="I806" s="304">
        <f t="shared" ca="1" si="361"/>
        <v>109.02452186602828</v>
      </c>
      <c r="J806" s="306">
        <f t="shared" ca="1" si="362"/>
        <v>691.2591917654521</v>
      </c>
      <c r="K806" s="307">
        <f t="shared" ca="1" si="363"/>
        <v>1980.4954742686837</v>
      </c>
      <c r="L806" s="304">
        <f t="shared" ca="1" si="348"/>
        <v>2097.6657488262908</v>
      </c>
      <c r="M806" s="306">
        <f t="shared" ca="1" si="364"/>
        <v>-1.4375198261111266</v>
      </c>
      <c r="N806" s="304">
        <f t="shared" ca="1" si="365"/>
        <v>-82.363819002547558</v>
      </c>
      <c r="P806" s="310">
        <f t="shared" ca="1" si="366"/>
        <v>23</v>
      </c>
      <c r="Q806" s="304">
        <f t="shared" ca="1" si="367"/>
        <v>0</v>
      </c>
      <c r="R806" s="306">
        <f t="shared" ca="1" si="368"/>
        <v>0</v>
      </c>
      <c r="S806" s="307">
        <f t="shared" ca="1" si="369"/>
        <v>9.137999999999975</v>
      </c>
      <c r="T806" s="304">
        <f t="shared" ca="1" si="349"/>
        <v>89.643779999999765</v>
      </c>
      <c r="U806" s="311">
        <f t="shared" ca="1" si="350"/>
        <v>0</v>
      </c>
      <c r="V806" s="306">
        <f t="shared" ca="1" si="351"/>
        <v>1.0042491112114154</v>
      </c>
      <c r="W806" s="304">
        <f t="shared" ca="1" si="352"/>
        <v>31.557656238742069</v>
      </c>
      <c r="Y806" s="314" t="str">
        <f t="shared" ca="1" si="370"/>
        <v/>
      </c>
      <c r="Z806" s="315" t="str">
        <f t="shared" ca="1" si="371"/>
        <v/>
      </c>
      <c r="AA806" s="316" t="str">
        <f t="shared" ca="1" si="372"/>
        <v/>
      </c>
      <c r="AC806" s="310" t="e">
        <f t="shared" ca="1" si="373"/>
        <v>#N/A</v>
      </c>
      <c r="AD806" s="323" t="e">
        <f t="shared" ca="1" si="374"/>
        <v>#N/A</v>
      </c>
      <c r="AE806" s="324" t="e">
        <f t="shared" ca="1" si="353"/>
        <v>#N/A</v>
      </c>
      <c r="AG806" s="306">
        <f t="shared" ca="1" si="375"/>
        <v>6.3115565676455354</v>
      </c>
      <c r="AH806" s="304">
        <f t="shared" ca="1" si="376"/>
        <v>-3.4098668942775672</v>
      </c>
    </row>
    <row r="807" spans="1:34" x14ac:dyDescent="0.2">
      <c r="A807" s="347">
        <f t="shared" ca="1" si="354"/>
        <v>0.1</v>
      </c>
      <c r="B807" s="304">
        <f t="shared" ca="1" si="355"/>
        <v>35.300000000000168</v>
      </c>
      <c r="D807" s="306">
        <f t="shared" ca="1" si="356"/>
        <v>-0.45890279713711823</v>
      </c>
      <c r="E807" s="307">
        <f t="shared" ca="1" si="357"/>
        <v>-6.387172527650586</v>
      </c>
      <c r="F807" s="304">
        <f t="shared" ca="1" si="358"/>
        <v>6.40363683192564</v>
      </c>
      <c r="G807" s="306">
        <f t="shared" ca="1" si="359"/>
        <v>14.441538308727528</v>
      </c>
      <c r="H807" s="307">
        <f t="shared" ca="1" si="360"/>
        <v>-108.69639065456886</v>
      </c>
      <c r="I807" s="304">
        <f t="shared" ca="1" si="361"/>
        <v>109.65155434399044</v>
      </c>
      <c r="J807" s="306">
        <f t="shared" ca="1" si="362"/>
        <v>692.70564011031058</v>
      </c>
      <c r="K807" s="307">
        <f t="shared" ca="1" si="363"/>
        <v>1969.6577710658651</v>
      </c>
      <c r="L807" s="304">
        <f t="shared" ca="1" si="348"/>
        <v>2087.9159080194745</v>
      </c>
      <c r="M807" s="306">
        <f t="shared" ca="1" si="364"/>
        <v>-1.438708660707096</v>
      </c>
      <c r="N807" s="304">
        <f t="shared" ca="1" si="365"/>
        <v>-82.431934207435745</v>
      </c>
      <c r="P807" s="310">
        <f t="shared" ca="1" si="366"/>
        <v>23</v>
      </c>
      <c r="Q807" s="304">
        <f t="shared" ca="1" si="367"/>
        <v>0</v>
      </c>
      <c r="R807" s="306">
        <f t="shared" ca="1" si="368"/>
        <v>0</v>
      </c>
      <c r="S807" s="307">
        <f t="shared" ca="1" si="369"/>
        <v>9.137999999999975</v>
      </c>
      <c r="T807" s="304">
        <f t="shared" ca="1" si="349"/>
        <v>89.643779999999765</v>
      </c>
      <c r="U807" s="311">
        <f t="shared" ca="1" si="350"/>
        <v>0</v>
      </c>
      <c r="V807" s="306">
        <f t="shared" ca="1" si="351"/>
        <v>1.005348807004778</v>
      </c>
      <c r="W807" s="304">
        <f t="shared" ca="1" si="352"/>
        <v>31.95665065739329</v>
      </c>
      <c r="Y807" s="314" t="str">
        <f t="shared" ca="1" si="370"/>
        <v/>
      </c>
      <c r="Z807" s="315" t="str">
        <f t="shared" ca="1" si="371"/>
        <v/>
      </c>
      <c r="AA807" s="316" t="str">
        <f t="shared" ca="1" si="372"/>
        <v/>
      </c>
      <c r="AC807" s="310" t="e">
        <f t="shared" ca="1" si="373"/>
        <v>#N/A</v>
      </c>
      <c r="AD807" s="323" t="e">
        <f t="shared" ca="1" si="374"/>
        <v>#N/A</v>
      </c>
      <c r="AE807" s="324" t="e">
        <f t="shared" ca="1" si="353"/>
        <v>#N/A</v>
      </c>
      <c r="AG807" s="306">
        <f t="shared" ca="1" si="375"/>
        <v>6.2695499118191327</v>
      </c>
      <c r="AH807" s="304">
        <f t="shared" ca="1" si="376"/>
        <v>-3.45345329817708</v>
      </c>
    </row>
    <row r="808" spans="1:34" x14ac:dyDescent="0.2">
      <c r="A808" s="347">
        <f t="shared" ca="1" si="354"/>
        <v>0.1</v>
      </c>
      <c r="B808" s="304">
        <f t="shared" ca="1" si="355"/>
        <v>35.400000000000169</v>
      </c>
      <c r="D808" s="306">
        <f t="shared" ca="1" si="356"/>
        <v>-0.46058391359824186</v>
      </c>
      <c r="E808" s="307">
        <f t="shared" ca="1" si="357"/>
        <v>-6.3433465222725349</v>
      </c>
      <c r="F808" s="304">
        <f t="shared" ca="1" si="358"/>
        <v>6.3600458051096247</v>
      </c>
      <c r="G808" s="306">
        <f t="shared" ca="1" si="359"/>
        <v>14.395479917367703</v>
      </c>
      <c r="H808" s="307">
        <f t="shared" ca="1" si="360"/>
        <v>-109.33072530679611</v>
      </c>
      <c r="I808" s="304">
        <f t="shared" ca="1" si="361"/>
        <v>110.2743729892011</v>
      </c>
      <c r="J808" s="306">
        <f t="shared" ca="1" si="362"/>
        <v>694.14749102161534</v>
      </c>
      <c r="K808" s="307">
        <f t="shared" ca="1" si="363"/>
        <v>1958.7564152677969</v>
      </c>
      <c r="L808" s="304">
        <f t="shared" ca="1" si="348"/>
        <v>2078.1163186030644</v>
      </c>
      <c r="M808" s="306">
        <f t="shared" ca="1" si="364"/>
        <v>-1.4398802979656113</v>
      </c>
      <c r="N808" s="304">
        <f t="shared" ca="1" si="365"/>
        <v>-82.499064077468944</v>
      </c>
      <c r="P808" s="310">
        <f t="shared" ca="1" si="366"/>
        <v>23</v>
      </c>
      <c r="Q808" s="304">
        <f t="shared" ca="1" si="367"/>
        <v>0</v>
      </c>
      <c r="R808" s="306">
        <f t="shared" ca="1" si="368"/>
        <v>0</v>
      </c>
      <c r="S808" s="307">
        <f t="shared" ca="1" si="369"/>
        <v>9.137999999999975</v>
      </c>
      <c r="T808" s="304">
        <f t="shared" ca="1" si="349"/>
        <v>89.643779999999765</v>
      </c>
      <c r="U808" s="311">
        <f t="shared" ca="1" si="350"/>
        <v>0</v>
      </c>
      <c r="V808" s="306">
        <f t="shared" ca="1" si="351"/>
        <v>1.0064560566795389</v>
      </c>
      <c r="W808" s="304">
        <f t="shared" ca="1" si="352"/>
        <v>32.356304620686338</v>
      </c>
      <c r="Y808" s="314" t="str">
        <f t="shared" ca="1" si="370"/>
        <v/>
      </c>
      <c r="Z808" s="315" t="str">
        <f t="shared" ca="1" si="371"/>
        <v/>
      </c>
      <c r="AA808" s="316" t="str">
        <f t="shared" ca="1" si="372"/>
        <v/>
      </c>
      <c r="AC808" s="310" t="e">
        <f t="shared" ca="1" si="373"/>
        <v>#N/A</v>
      </c>
      <c r="AD808" s="323" t="e">
        <f t="shared" ca="1" si="374"/>
        <v>#N/A</v>
      </c>
      <c r="AE808" s="324" t="e">
        <f t="shared" ca="1" si="353"/>
        <v>#N/A</v>
      </c>
      <c r="AG808" s="306">
        <f t="shared" ca="1" si="375"/>
        <v>6.2274295653616303</v>
      </c>
      <c r="AH808" s="304">
        <f t="shared" ca="1" si="376"/>
        <v>-3.4971165087976992</v>
      </c>
    </row>
    <row r="809" spans="1:34" x14ac:dyDescent="0.2">
      <c r="A809" s="347">
        <f t="shared" ca="1" si="354"/>
        <v>0.1</v>
      </c>
      <c r="B809" s="304">
        <f t="shared" ca="1" si="355"/>
        <v>35.500000000000171</v>
      </c>
      <c r="D809" s="306">
        <f t="shared" ca="1" si="356"/>
        <v>-0.46223125980881158</v>
      </c>
      <c r="E809" s="307">
        <f t="shared" ca="1" si="357"/>
        <v>-6.2994481334101806</v>
      </c>
      <c r="F809" s="304">
        <f t="shared" ca="1" si="358"/>
        <v>6.3163838169532927</v>
      </c>
      <c r="G809" s="306">
        <f t="shared" ca="1" si="359"/>
        <v>14.349256791386823</v>
      </c>
      <c r="H809" s="307">
        <f t="shared" ca="1" si="360"/>
        <v>-109.96067012013712</v>
      </c>
      <c r="I809" s="304">
        <f t="shared" ca="1" si="361"/>
        <v>110.89296706164363</v>
      </c>
      <c r="J809" s="306">
        <f t="shared" ca="1" si="362"/>
        <v>695.58472785705305</v>
      </c>
      <c r="K809" s="307">
        <f t="shared" ca="1" si="363"/>
        <v>1947.7918454964502</v>
      </c>
      <c r="L809" s="304">
        <f t="shared" ca="1" si="348"/>
        <v>2068.2676777947377</v>
      </c>
      <c r="M809" s="306">
        <f t="shared" ca="1" si="364"/>
        <v>-1.441035124226304</v>
      </c>
      <c r="N809" s="304">
        <f t="shared" ca="1" si="365"/>
        <v>-82.565230748277514</v>
      </c>
      <c r="P809" s="310">
        <f t="shared" ca="1" si="366"/>
        <v>23</v>
      </c>
      <c r="Q809" s="304">
        <f t="shared" ca="1" si="367"/>
        <v>0</v>
      </c>
      <c r="R809" s="306">
        <f t="shared" ca="1" si="368"/>
        <v>0</v>
      </c>
      <c r="S809" s="307">
        <f t="shared" ca="1" si="369"/>
        <v>9.137999999999975</v>
      </c>
      <c r="T809" s="304">
        <f t="shared" ca="1" si="349"/>
        <v>89.643779999999765</v>
      </c>
      <c r="U809" s="311">
        <f t="shared" ca="1" si="350"/>
        <v>0</v>
      </c>
      <c r="V809" s="306">
        <f t="shared" ca="1" si="351"/>
        <v>1.007570836507842</v>
      </c>
      <c r="W809" s="304">
        <f t="shared" ca="1" si="352"/>
        <v>32.756576017359173</v>
      </c>
      <c r="Y809" s="314" t="str">
        <f t="shared" ca="1" si="370"/>
        <v/>
      </c>
      <c r="Z809" s="315" t="str">
        <f t="shared" ca="1" si="371"/>
        <v/>
      </c>
      <c r="AA809" s="316" t="str">
        <f t="shared" ca="1" si="372"/>
        <v/>
      </c>
      <c r="AC809" s="310" t="e">
        <f t="shared" ca="1" si="373"/>
        <v>#N/A</v>
      </c>
      <c r="AD809" s="323" t="e">
        <f t="shared" ca="1" si="374"/>
        <v>#N/A</v>
      </c>
      <c r="AE809" s="324" t="e">
        <f t="shared" ca="1" si="353"/>
        <v>#N/A</v>
      </c>
      <c r="AG809" s="306">
        <f t="shared" ca="1" si="375"/>
        <v>6.1852012770665574</v>
      </c>
      <c r="AH809" s="304">
        <f t="shared" ca="1" si="376"/>
        <v>-3.5408518954570396</v>
      </c>
    </row>
    <row r="810" spans="1:34" x14ac:dyDescent="0.2">
      <c r="A810" s="347">
        <f t="shared" ca="1" si="354"/>
        <v>0.1</v>
      </c>
      <c r="B810" s="304">
        <f t="shared" ca="1" si="355"/>
        <v>35.600000000000172</v>
      </c>
      <c r="D810" s="306">
        <f t="shared" ca="1" si="356"/>
        <v>-0.46384486150054566</v>
      </c>
      <c r="E810" s="307">
        <f t="shared" ca="1" si="357"/>
        <v>-6.2554819825234489</v>
      </c>
      <c r="F810" s="304">
        <f t="shared" ca="1" si="358"/>
        <v>6.2726554894411315</v>
      </c>
      <c r="G810" s="306">
        <f t="shared" ca="1" si="359"/>
        <v>14.302872305236768</v>
      </c>
      <c r="H810" s="307">
        <f t="shared" ca="1" si="360"/>
        <v>-110.58621831838947</v>
      </c>
      <c r="I810" s="304">
        <f t="shared" ca="1" si="361"/>
        <v>111.50732638774193</v>
      </c>
      <c r="J810" s="306">
        <f t="shared" ca="1" si="362"/>
        <v>697.01733431188427</v>
      </c>
      <c r="K810" s="307">
        <f t="shared" ca="1" si="363"/>
        <v>1936.7645010745239</v>
      </c>
      <c r="L810" s="304">
        <f t="shared" ca="1" si="348"/>
        <v>2058.3706898791806</v>
      </c>
      <c r="M810" s="306">
        <f t="shared" ca="1" si="364"/>
        <v>-1.4421735143056704</v>
      </c>
      <c r="N810" s="304">
        <f t="shared" ca="1" si="365"/>
        <v>-82.630455695264772</v>
      </c>
      <c r="P810" s="310">
        <f t="shared" ca="1" si="366"/>
        <v>23</v>
      </c>
      <c r="Q810" s="304">
        <f t="shared" ca="1" si="367"/>
        <v>0</v>
      </c>
      <c r="R810" s="306">
        <f t="shared" ca="1" si="368"/>
        <v>0</v>
      </c>
      <c r="S810" s="307">
        <f t="shared" ca="1" si="369"/>
        <v>9.137999999999975</v>
      </c>
      <c r="T810" s="304">
        <f t="shared" ca="1" si="349"/>
        <v>89.643779999999765</v>
      </c>
      <c r="U810" s="311">
        <f t="shared" ca="1" si="350"/>
        <v>0</v>
      </c>
      <c r="V810" s="306">
        <f t="shared" ca="1" si="351"/>
        <v>1.0086931226845162</v>
      </c>
      <c r="W810" s="304">
        <f t="shared" ca="1" si="352"/>
        <v>33.157422947227658</v>
      </c>
      <c r="Y810" s="314" t="str">
        <f t="shared" ca="1" si="370"/>
        <v/>
      </c>
      <c r="Z810" s="315" t="str">
        <f t="shared" ca="1" si="371"/>
        <v/>
      </c>
      <c r="AA810" s="316" t="str">
        <f t="shared" ca="1" si="372"/>
        <v/>
      </c>
      <c r="AC810" s="310" t="e">
        <f t="shared" ca="1" si="373"/>
        <v>#N/A</v>
      </c>
      <c r="AD810" s="323" t="e">
        <f t="shared" ca="1" si="374"/>
        <v>#N/A</v>
      </c>
      <c r="AE810" s="324" t="e">
        <f t="shared" ca="1" si="353"/>
        <v>#N/A</v>
      </c>
      <c r="AG810" s="306">
        <f t="shared" ca="1" si="375"/>
        <v>6.1428707315137228</v>
      </c>
      <c r="AH810" s="304">
        <f t="shared" ca="1" si="376"/>
        <v>-3.5846548497876189</v>
      </c>
    </row>
    <row r="811" spans="1:34" x14ac:dyDescent="0.2">
      <c r="A811" s="347">
        <f t="shared" ca="1" si="354"/>
        <v>0.1</v>
      </c>
      <c r="B811" s="304">
        <f t="shared" ca="1" si="355"/>
        <v>35.700000000000173</v>
      </c>
      <c r="D811" s="306">
        <f t="shared" ca="1" si="356"/>
        <v>-0.4654247496352002</v>
      </c>
      <c r="E811" s="307">
        <f t="shared" ca="1" si="357"/>
        <v>-6.2114526680004509</v>
      </c>
      <c r="F811" s="304">
        <f t="shared" ca="1" si="358"/>
        <v>6.2288654219193811</v>
      </c>
      <c r="G811" s="306">
        <f t="shared" ca="1" si="359"/>
        <v>14.256329830273248</v>
      </c>
      <c r="H811" s="307">
        <f t="shared" ca="1" si="360"/>
        <v>-111.20736358518951</v>
      </c>
      <c r="I811" s="304">
        <f t="shared" ca="1" si="361"/>
        <v>112.11744135413576</v>
      </c>
      <c r="J811" s="306">
        <f t="shared" ca="1" si="362"/>
        <v>698.44529441865973</v>
      </c>
      <c r="K811" s="307">
        <f t="shared" ca="1" si="363"/>
        <v>1925.6748219793449</v>
      </c>
      <c r="L811" s="304">
        <f t="shared" ca="1" si="348"/>
        <v>2048.4260663496621</v>
      </c>
      <c r="M811" s="306">
        <f t="shared" ca="1" si="364"/>
        <v>-1.443295831919601</v>
      </c>
      <c r="N811" s="304">
        <f t="shared" ca="1" si="365"/>
        <v>-82.694759757816186</v>
      </c>
      <c r="P811" s="310">
        <f t="shared" ca="1" si="366"/>
        <v>23</v>
      </c>
      <c r="Q811" s="304">
        <f t="shared" ca="1" si="367"/>
        <v>0</v>
      </c>
      <c r="R811" s="306">
        <f t="shared" ca="1" si="368"/>
        <v>0</v>
      </c>
      <c r="S811" s="307">
        <f t="shared" ca="1" si="369"/>
        <v>9.137999999999975</v>
      </c>
      <c r="T811" s="304">
        <f t="shared" ca="1" si="349"/>
        <v>89.643779999999765</v>
      </c>
      <c r="U811" s="311">
        <f t="shared" ca="1" si="350"/>
        <v>0</v>
      </c>
      <c r="V811" s="306">
        <f t="shared" ca="1" si="351"/>
        <v>1.0098228913292129</v>
      </c>
      <c r="W811" s="304">
        <f t="shared" ca="1" si="352"/>
        <v>33.558803728235638</v>
      </c>
      <c r="Y811" s="314" t="str">
        <f t="shared" ca="1" si="370"/>
        <v/>
      </c>
      <c r="Z811" s="315" t="str">
        <f t="shared" ca="1" si="371"/>
        <v/>
      </c>
      <c r="AA811" s="316" t="str">
        <f t="shared" ca="1" si="372"/>
        <v/>
      </c>
      <c r="AC811" s="310" t="e">
        <f t="shared" ca="1" si="373"/>
        <v>#N/A</v>
      </c>
      <c r="AD811" s="323" t="e">
        <f t="shared" ca="1" si="374"/>
        <v>#N/A</v>
      </c>
      <c r="AE811" s="324" t="e">
        <f t="shared" ca="1" si="353"/>
        <v>#N/A</v>
      </c>
      <c r="AG811" s="306">
        <f t="shared" ca="1" si="375"/>
        <v>6.1004435501458785</v>
      </c>
      <c r="AH811" s="304">
        <f t="shared" ca="1" si="376"/>
        <v>-3.6285207865208742</v>
      </c>
    </row>
    <row r="812" spans="1:34" x14ac:dyDescent="0.2">
      <c r="A812" s="347">
        <f t="shared" ca="1" si="354"/>
        <v>0.1</v>
      </c>
      <c r="B812" s="304">
        <f t="shared" ca="1" si="355"/>
        <v>35.800000000000175</v>
      </c>
      <c r="D812" s="306">
        <f t="shared" ca="1" si="356"/>
        <v>-0.46697096034118318</v>
      </c>
      <c r="E812" s="307">
        <f t="shared" ca="1" si="357"/>
        <v>-6.1673647643790748</v>
      </c>
      <c r="F812" s="304">
        <f t="shared" ca="1" si="358"/>
        <v>6.1850181903294779</v>
      </c>
      <c r="G812" s="306">
        <f t="shared" ca="1" si="359"/>
        <v>14.209632734239131</v>
      </c>
      <c r="H812" s="307">
        <f t="shared" ca="1" si="360"/>
        <v>-111.82410006162742</v>
      </c>
      <c r="I812" s="304">
        <f t="shared" ca="1" si="361"/>
        <v>112.72330290155102</v>
      </c>
      <c r="J812" s="306">
        <f t="shared" ca="1" si="362"/>
        <v>699.86859254688534</v>
      </c>
      <c r="K812" s="307">
        <f t="shared" ca="1" si="363"/>
        <v>1914.523248797004</v>
      </c>
      <c r="L812" s="304">
        <f t="shared" ca="1" si="348"/>
        <v>2038.4345260561579</v>
      </c>
      <c r="M812" s="306">
        <f t="shared" ca="1" si="364"/>
        <v>-1.4444024300875831</v>
      </c>
      <c r="N812" s="304">
        <f t="shared" ca="1" si="365"/>
        <v>-82.758163162458459</v>
      </c>
      <c r="P812" s="310">
        <f t="shared" ca="1" si="366"/>
        <v>23</v>
      </c>
      <c r="Q812" s="304">
        <f t="shared" ca="1" si="367"/>
        <v>0</v>
      </c>
      <c r="R812" s="306">
        <f t="shared" ca="1" si="368"/>
        <v>0</v>
      </c>
      <c r="S812" s="307">
        <f t="shared" ca="1" si="369"/>
        <v>9.137999999999975</v>
      </c>
      <c r="T812" s="304">
        <f t="shared" ca="1" si="349"/>
        <v>89.643779999999765</v>
      </c>
      <c r="U812" s="311">
        <f t="shared" ca="1" si="350"/>
        <v>0</v>
      </c>
      <c r="V812" s="306">
        <f t="shared" ca="1" si="351"/>
        <v>1.0109601184885395</v>
      </c>
      <c r="W812" s="304">
        <f t="shared" ca="1" si="352"/>
        <v>33.960676903388588</v>
      </c>
      <c r="Y812" s="314" t="str">
        <f t="shared" ca="1" si="370"/>
        <v/>
      </c>
      <c r="Z812" s="315" t="str">
        <f t="shared" ca="1" si="371"/>
        <v/>
      </c>
      <c r="AA812" s="316" t="str">
        <f t="shared" ca="1" si="372"/>
        <v/>
      </c>
      <c r="AC812" s="310" t="e">
        <f t="shared" ca="1" si="373"/>
        <v>#N/A</v>
      </c>
      <c r="AD812" s="323" t="e">
        <f t="shared" ca="1" si="374"/>
        <v>#N/A</v>
      </c>
      <c r="AE812" s="324" t="e">
        <f t="shared" ca="1" si="353"/>
        <v>#N/A</v>
      </c>
      <c r="AG812" s="306">
        <f t="shared" ca="1" si="375"/>
        <v>6.0579252922627713</v>
      </c>
      <c r="AH812" s="304">
        <f t="shared" ca="1" si="376"/>
        <v>-3.6724451442586705</v>
      </c>
    </row>
    <row r="813" spans="1:34" x14ac:dyDescent="0.2">
      <c r="A813" s="347">
        <f t="shared" ca="1" si="354"/>
        <v>0.1</v>
      </c>
      <c r="B813" s="304">
        <f t="shared" ca="1" si="355"/>
        <v>35.900000000000176</v>
      </c>
      <c r="D813" s="306">
        <f t="shared" ca="1" si="356"/>
        <v>-0.46848353485008154</v>
      </c>
      <c r="E813" s="307">
        <f t="shared" ca="1" si="357"/>
        <v>-6.1232228215815594</v>
      </c>
      <c r="F813" s="304">
        <f t="shared" ca="1" si="358"/>
        <v>6.1411183464547285</v>
      </c>
      <c r="G813" s="306">
        <f t="shared" ca="1" si="359"/>
        <v>14.162784380754122</v>
      </c>
      <c r="H813" s="307">
        <f t="shared" ca="1" si="360"/>
        <v>-112.43642234378558</v>
      </c>
      <c r="I813" s="304">
        <f t="shared" ca="1" si="361"/>
        <v>113.32490251875736</v>
      </c>
      <c r="J813" s="306">
        <f t="shared" ca="1" si="362"/>
        <v>701.28721340263496</v>
      </c>
      <c r="K813" s="307">
        <f t="shared" ca="1" si="363"/>
        <v>1903.3102226767335</v>
      </c>
      <c r="L813" s="304">
        <f t="shared" ca="1" si="348"/>
        <v>2028.3967953602644</v>
      </c>
      <c r="M813" s="306">
        <f t="shared" ca="1" si="364"/>
        <v>-1.445493651519496</v>
      </c>
      <c r="N813" s="304">
        <f t="shared" ca="1" si="365"/>
        <v>-82.820685545021306</v>
      </c>
      <c r="P813" s="310">
        <f t="shared" ca="1" si="366"/>
        <v>23</v>
      </c>
      <c r="Q813" s="304">
        <f t="shared" ca="1" si="367"/>
        <v>0</v>
      </c>
      <c r="R813" s="306">
        <f t="shared" ca="1" si="368"/>
        <v>0</v>
      </c>
      <c r="S813" s="307">
        <f t="shared" ca="1" si="369"/>
        <v>9.137999999999975</v>
      </c>
      <c r="T813" s="304">
        <f t="shared" ca="1" si="349"/>
        <v>89.643779999999765</v>
      </c>
      <c r="U813" s="311">
        <f t="shared" ca="1" si="350"/>
        <v>0</v>
      </c>
      <c r="V813" s="306">
        <f t="shared" ca="1" si="351"/>
        <v>1.012104780138199</v>
      </c>
      <c r="W813" s="304">
        <f t="shared" ca="1" si="352"/>
        <v>34.363001247570075</v>
      </c>
      <c r="Y813" s="314" t="str">
        <f t="shared" ca="1" si="370"/>
        <v/>
      </c>
      <c r="Z813" s="315" t="str">
        <f t="shared" ca="1" si="371"/>
        <v/>
      </c>
      <c r="AA813" s="316" t="str">
        <f t="shared" ca="1" si="372"/>
        <v/>
      </c>
      <c r="AC813" s="310" t="e">
        <f t="shared" ca="1" si="373"/>
        <v>#N/A</v>
      </c>
      <c r="AD813" s="323" t="e">
        <f t="shared" ca="1" si="374"/>
        <v>#N/A</v>
      </c>
      <c r="AE813" s="324" t="e">
        <f t="shared" ca="1" si="353"/>
        <v>#N/A</v>
      </c>
      <c r="AG813" s="306">
        <f t="shared" ca="1" si="375"/>
        <v>6.0153214559381887</v>
      </c>
      <c r="AH813" s="304">
        <f t="shared" ca="1" si="376"/>
        <v>-3.7164233862320728</v>
      </c>
    </row>
    <row r="814" spans="1:34" x14ac:dyDescent="0.2">
      <c r="A814" s="347">
        <f t="shared" ca="1" si="354"/>
        <v>0.1</v>
      </c>
      <c r="B814" s="304">
        <f t="shared" ca="1" si="355"/>
        <v>36.000000000000178</v>
      </c>
      <c r="D814" s="306">
        <f t="shared" ca="1" si="356"/>
        <v>-0.4699625194330832</v>
      </c>
      <c r="E814" s="307">
        <f t="shared" ca="1" si="357"/>
        <v>-6.0790313641621569</v>
      </c>
      <c r="F814" s="304">
        <f t="shared" ca="1" si="358"/>
        <v>6.097170417180342</v>
      </c>
      <c r="G814" s="306">
        <f t="shared" ca="1" si="359"/>
        <v>14.115788128810813</v>
      </c>
      <c r="H814" s="307">
        <f t="shared" ca="1" si="360"/>
        <v>-113.04432548020179</v>
      </c>
      <c r="I814" s="304">
        <f t="shared" ca="1" si="361"/>
        <v>113.92223223660638</v>
      </c>
      <c r="J814" s="306">
        <f t="shared" ca="1" si="362"/>
        <v>702.70114202811317</v>
      </c>
      <c r="K814" s="307">
        <f t="shared" ca="1" si="363"/>
        <v>1892.0361852855342</v>
      </c>
      <c r="L814" s="304">
        <f t="shared" ca="1" si="348"/>
        <v>2018.3136082971473</v>
      </c>
      <c r="M814" s="306">
        <f t="shared" ca="1" si="364"/>
        <v>-1.4465698289858608</v>
      </c>
      <c r="N814" s="304">
        <f t="shared" ca="1" si="365"/>
        <v>-82.88234597185108</v>
      </c>
      <c r="P814" s="310">
        <f t="shared" ca="1" si="366"/>
        <v>23</v>
      </c>
      <c r="Q814" s="304">
        <f t="shared" ca="1" si="367"/>
        <v>0</v>
      </c>
      <c r="R814" s="306">
        <f t="shared" ca="1" si="368"/>
        <v>0</v>
      </c>
      <c r="S814" s="307">
        <f t="shared" ca="1" si="369"/>
        <v>9.137999999999975</v>
      </c>
      <c r="T814" s="304">
        <f t="shared" ca="1" si="349"/>
        <v>89.643779999999765</v>
      </c>
      <c r="U814" s="311">
        <f t="shared" ca="1" si="350"/>
        <v>0</v>
      </c>
      <c r="V814" s="306">
        <f t="shared" ca="1" si="351"/>
        <v>1.0132568521851226</v>
      </c>
      <c r="W814" s="304">
        <f t="shared" ca="1" si="352"/>
        <v>34.765735774239097</v>
      </c>
      <c r="Y814" s="314" t="str">
        <f t="shared" ca="1" si="370"/>
        <v/>
      </c>
      <c r="Z814" s="315" t="str">
        <f t="shared" ca="1" si="371"/>
        <v/>
      </c>
      <c r="AA814" s="316" t="str">
        <f t="shared" ca="1" si="372"/>
        <v/>
      </c>
      <c r="AC814" s="310">
        <f t="shared" ca="1" si="373"/>
        <v>36.000000000000178</v>
      </c>
      <c r="AD814" s="323">
        <f t="shared" ca="1" si="374"/>
        <v>702.70114202811317</v>
      </c>
      <c r="AE814" s="324" t="e">
        <f t="shared" ca="1" si="353"/>
        <v>#N/A</v>
      </c>
      <c r="AG814" s="306">
        <f t="shared" ca="1" si="375"/>
        <v>5.972637478865316</v>
      </c>
      <c r="AH814" s="304">
        <f t="shared" ca="1" si="376"/>
        <v>-3.7604510010472936</v>
      </c>
    </row>
    <row r="815" spans="1:34" x14ac:dyDescent="0.2">
      <c r="A815" s="347">
        <f t="shared" ca="1" si="354"/>
        <v>0.1</v>
      </c>
      <c r="B815" s="304">
        <f t="shared" ca="1" si="355"/>
        <v>36.100000000000179</v>
      </c>
      <c r="D815" s="306">
        <f t="shared" ca="1" si="356"/>
        <v>-0.47140796533726509</v>
      </c>
      <c r="E815" s="307">
        <f t="shared" ca="1" si="357"/>
        <v>-6.0347948905680457</v>
      </c>
      <c r="F815" s="304">
        <f t="shared" ca="1" si="358"/>
        <v>6.0531789037669794</v>
      </c>
      <c r="G815" s="306">
        <f t="shared" ca="1" si="359"/>
        <v>14.068647332277086</v>
      </c>
      <c r="H815" s="307">
        <f t="shared" ca="1" si="360"/>
        <v>-113.6478049692586</v>
      </c>
      <c r="I815" s="304">
        <f t="shared" ca="1" si="361"/>
        <v>114.51528462214389</v>
      </c>
      <c r="J815" s="306">
        <f t="shared" ca="1" si="362"/>
        <v>704.11036380116752</v>
      </c>
      <c r="K815" s="307">
        <f t="shared" ca="1" si="363"/>
        <v>1880.7015787630612</v>
      </c>
      <c r="L815" s="304">
        <f t="shared" ca="1" si="348"/>
        <v>2008.1857067447929</v>
      </c>
      <c r="M815" s="306">
        <f t="shared" ca="1" si="364"/>
        <v>-1.4476312856723563</v>
      </c>
      <c r="N815" s="304">
        <f t="shared" ca="1" si="365"/>
        <v>-82.943162960123217</v>
      </c>
      <c r="P815" s="310">
        <f t="shared" ca="1" si="366"/>
        <v>23</v>
      </c>
      <c r="Q815" s="304">
        <f t="shared" ca="1" si="367"/>
        <v>0</v>
      </c>
      <c r="R815" s="306">
        <f t="shared" ca="1" si="368"/>
        <v>0</v>
      </c>
      <c r="S815" s="307">
        <f t="shared" ca="1" si="369"/>
        <v>9.137999999999975</v>
      </c>
      <c r="T815" s="304">
        <f t="shared" ca="1" si="349"/>
        <v>89.643779999999765</v>
      </c>
      <c r="U815" s="311">
        <f t="shared" ca="1" si="350"/>
        <v>0</v>
      </c>
      <c r="V815" s="306">
        <f t="shared" ca="1" si="351"/>
        <v>1.0144163104696033</v>
      </c>
      <c r="W815" s="304">
        <f t="shared" ca="1" si="352"/>
        <v>35.168839742007066</v>
      </c>
      <c r="Y815" s="314" t="str">
        <f t="shared" ca="1" si="370"/>
        <v/>
      </c>
      <c r="Z815" s="315" t="str">
        <f t="shared" ca="1" si="371"/>
        <v/>
      </c>
      <c r="AA815" s="316" t="str">
        <f t="shared" ca="1" si="372"/>
        <v/>
      </c>
      <c r="AC815" s="310" t="e">
        <f t="shared" ca="1" si="373"/>
        <v>#N/A</v>
      </c>
      <c r="AD815" s="323" t="e">
        <f t="shared" ca="1" si="374"/>
        <v>#N/A</v>
      </c>
      <c r="AE815" s="324" t="e">
        <f t="shared" ca="1" si="353"/>
        <v>#N/A</v>
      </c>
      <c r="AG815" s="306">
        <f t="shared" ca="1" si="375"/>
        <v>5.9298787391354075</v>
      </c>
      <c r="AH815" s="304">
        <f t="shared" ca="1" si="376"/>
        <v>-3.8045235034186029</v>
      </c>
    </row>
    <row r="816" spans="1:34" x14ac:dyDescent="0.2">
      <c r="A816" s="347">
        <f t="shared" ca="1" si="354"/>
        <v>0.1</v>
      </c>
      <c r="B816" s="304">
        <f t="shared" ca="1" si="355"/>
        <v>36.20000000000018</v>
      </c>
      <c r="D816" s="306">
        <f t="shared" ca="1" si="356"/>
        <v>-0.47281992872174461</v>
      </c>
      <c r="E816" s="307">
        <f t="shared" ca="1" si="357"/>
        <v>-5.9905178724136574</v>
      </c>
      <c r="F816" s="304">
        <f t="shared" ca="1" si="358"/>
        <v>6.0091482811380086</v>
      </c>
      <c r="G816" s="306">
        <f t="shared" ca="1" si="359"/>
        <v>14.021365339404912</v>
      </c>
      <c r="H816" s="307">
        <f t="shared" ca="1" si="360"/>
        <v>-114.24685675649997</v>
      </c>
      <c r="I816" s="304">
        <f t="shared" ca="1" si="361"/>
        <v>115.10405277279027</v>
      </c>
      <c r="J816" s="306">
        <f t="shared" ca="1" si="362"/>
        <v>705.51486443475164</v>
      </c>
      <c r="K816" s="307">
        <f t="shared" ca="1" si="363"/>
        <v>1869.3068456767733</v>
      </c>
      <c r="L816" s="304">
        <f t="shared" ca="1" si="348"/>
        <v>1998.0138406008186</v>
      </c>
      <c r="M816" s="306">
        <f t="shared" ca="1" si="364"/>
        <v>-1.4486783355193724</v>
      </c>
      <c r="N816" s="304">
        <f t="shared" ca="1" si="365"/>
        <v>-83.003154497297061</v>
      </c>
      <c r="P816" s="310">
        <f t="shared" ca="1" si="366"/>
        <v>23</v>
      </c>
      <c r="Q816" s="304">
        <f t="shared" ca="1" si="367"/>
        <v>0</v>
      </c>
      <c r="R816" s="306">
        <f t="shared" ca="1" si="368"/>
        <v>0</v>
      </c>
      <c r="S816" s="307">
        <f t="shared" ca="1" si="369"/>
        <v>9.137999999999975</v>
      </c>
      <c r="T816" s="304">
        <f t="shared" ca="1" si="349"/>
        <v>89.643779999999765</v>
      </c>
      <c r="U816" s="311">
        <f t="shared" ca="1" si="350"/>
        <v>0</v>
      </c>
      <c r="V816" s="306">
        <f t="shared" ca="1" si="351"/>
        <v>1.0155831307674277</v>
      </c>
      <c r="W816" s="304">
        <f t="shared" ca="1" si="352"/>
        <v>35.572272661093244</v>
      </c>
      <c r="Y816" s="314" t="str">
        <f t="shared" ca="1" si="370"/>
        <v/>
      </c>
      <c r="Z816" s="315" t="str">
        <f t="shared" ca="1" si="371"/>
        <v/>
      </c>
      <c r="AA816" s="316" t="str">
        <f t="shared" ca="1" si="372"/>
        <v/>
      </c>
      <c r="AC816" s="310" t="e">
        <f t="shared" ca="1" si="373"/>
        <v>#N/A</v>
      </c>
      <c r="AD816" s="323" t="e">
        <f t="shared" ca="1" si="374"/>
        <v>#N/A</v>
      </c>
      <c r="AE816" s="324" t="e">
        <f t="shared" ca="1" si="353"/>
        <v>#N/A</v>
      </c>
      <c r="AG816" s="306">
        <f t="shared" ca="1" si="375"/>
        <v>5.8870505559543833</v>
      </c>
      <c r="AH816" s="304">
        <f t="shared" ca="1" si="376"/>
        <v>-3.8486364348880677</v>
      </c>
    </row>
    <row r="817" spans="1:34" x14ac:dyDescent="0.2">
      <c r="A817" s="347">
        <f t="shared" ca="1" si="354"/>
        <v>0.1</v>
      </c>
      <c r="B817" s="304">
        <f t="shared" ca="1" si="355"/>
        <v>36.300000000000182</v>
      </c>
      <c r="D817" s="306">
        <f t="shared" ca="1" si="356"/>
        <v>-0.4741984705936822</v>
      </c>
      <c r="E817" s="307">
        <f t="shared" ca="1" si="357"/>
        <v>-5.946204753768507</v>
      </c>
      <c r="F817" s="304">
        <f t="shared" ca="1" si="358"/>
        <v>5.9650829971805575</v>
      </c>
      <c r="G817" s="306">
        <f t="shared" ca="1" si="359"/>
        <v>13.973945492345544</v>
      </c>
      <c r="H817" s="307">
        <f t="shared" ca="1" si="360"/>
        <v>-114.84147723187682</v>
      </c>
      <c r="I817" s="304">
        <f t="shared" ca="1" si="361"/>
        <v>115.6885303105832</v>
      </c>
      <c r="J817" s="306">
        <f t="shared" ca="1" si="362"/>
        <v>706.91462997633914</v>
      </c>
      <c r="K817" s="307">
        <f t="shared" ca="1" si="363"/>
        <v>1857.8524289773545</v>
      </c>
      <c r="L817" s="304">
        <f t="shared" ca="1" si="348"/>
        <v>1987.7987679671303</v>
      </c>
      <c r="M817" s="306">
        <f t="shared" ca="1" si="364"/>
        <v>-1.4497112835473283</v>
      </c>
      <c r="N817" s="304">
        <f t="shared" ca="1" si="365"/>
        <v>-83.062338059755291</v>
      </c>
      <c r="P817" s="310">
        <f t="shared" ca="1" si="366"/>
        <v>23</v>
      </c>
      <c r="Q817" s="304">
        <f t="shared" ca="1" si="367"/>
        <v>0</v>
      </c>
      <c r="R817" s="306">
        <f t="shared" ca="1" si="368"/>
        <v>0</v>
      </c>
      <c r="S817" s="307">
        <f t="shared" ca="1" si="369"/>
        <v>9.137999999999975</v>
      </c>
      <c r="T817" s="304">
        <f t="shared" ca="1" si="349"/>
        <v>89.643779999999765</v>
      </c>
      <c r="U817" s="311">
        <f t="shared" ca="1" si="350"/>
        <v>0</v>
      </c>
      <c r="V817" s="306">
        <f t="shared" ca="1" si="351"/>
        <v>1.0167572887920042</v>
      </c>
      <c r="W817" s="304">
        <f t="shared" ca="1" si="352"/>
        <v>35.975994299657337</v>
      </c>
      <c r="Y817" s="314" t="str">
        <f t="shared" ca="1" si="370"/>
        <v/>
      </c>
      <c r="Z817" s="315" t="str">
        <f t="shared" ca="1" si="371"/>
        <v/>
      </c>
      <c r="AA817" s="316" t="str">
        <f t="shared" ca="1" si="372"/>
        <v/>
      </c>
      <c r="AC817" s="310" t="e">
        <f t="shared" ca="1" si="373"/>
        <v>#N/A</v>
      </c>
      <c r="AD817" s="323" t="e">
        <f t="shared" ca="1" si="374"/>
        <v>#N/A</v>
      </c>
      <c r="AE817" s="324" t="e">
        <f t="shared" ca="1" si="353"/>
        <v>#N/A</v>
      </c>
      <c r="AG817" s="306">
        <f t="shared" ca="1" si="375"/>
        <v>5.8441581903017639</v>
      </c>
      <c r="AH817" s="304">
        <f t="shared" ca="1" si="376"/>
        <v>-3.8927853645319916</v>
      </c>
    </row>
    <row r="818" spans="1:34" x14ac:dyDescent="0.2">
      <c r="A818" s="347">
        <f t="shared" ca="1" si="354"/>
        <v>0.1</v>
      </c>
      <c r="B818" s="304">
        <f t="shared" ca="1" si="355"/>
        <v>36.400000000000183</v>
      </c>
      <c r="D818" s="306">
        <f t="shared" ca="1" si="356"/>
        <v>-0.47554365674411775</v>
      </c>
      <c r="E818" s="307">
        <f t="shared" ca="1" si="357"/>
        <v>-5.9018599504586788</v>
      </c>
      <c r="F818" s="304">
        <f t="shared" ca="1" si="358"/>
        <v>5.9209874720605242</v>
      </c>
      <c r="G818" s="306">
        <f t="shared" ca="1" si="359"/>
        <v>13.926391126671133</v>
      </c>
      <c r="H818" s="307">
        <f t="shared" ca="1" si="360"/>
        <v>-115.43166322692269</v>
      </c>
      <c r="I818" s="304">
        <f t="shared" ca="1" si="361"/>
        <v>116.26871137647791</v>
      </c>
      <c r="J818" s="306">
        <f t="shared" ca="1" si="362"/>
        <v>708.30964680728994</v>
      </c>
      <c r="K818" s="307">
        <f t="shared" ca="1" si="363"/>
        <v>1846.3387719544146</v>
      </c>
      <c r="L818" s="304">
        <f t="shared" ca="1" si="348"/>
        <v>1977.5412553427054</v>
      </c>
      <c r="M818" s="306">
        <f t="shared" ca="1" si="364"/>
        <v>-1.4507304261684384</v>
      </c>
      <c r="N818" s="304">
        <f t="shared" ca="1" si="365"/>
        <v>-83.120730630666799</v>
      </c>
      <c r="P818" s="310">
        <f t="shared" ca="1" si="366"/>
        <v>23</v>
      </c>
      <c r="Q818" s="304">
        <f t="shared" ca="1" si="367"/>
        <v>0</v>
      </c>
      <c r="R818" s="306">
        <f t="shared" ca="1" si="368"/>
        <v>0</v>
      </c>
      <c r="S818" s="307">
        <f t="shared" ca="1" si="369"/>
        <v>9.137999999999975</v>
      </c>
      <c r="T818" s="304">
        <f t="shared" ca="1" si="349"/>
        <v>89.643779999999765</v>
      </c>
      <c r="U818" s="311">
        <f t="shared" ca="1" si="350"/>
        <v>0</v>
      </c>
      <c r="V818" s="306">
        <f t="shared" ca="1" si="351"/>
        <v>1.0179387601964927</v>
      </c>
      <c r="W818" s="304">
        <f t="shared" ca="1" si="352"/>
        <v>36.379964690008016</v>
      </c>
      <c r="Y818" s="314" t="str">
        <f t="shared" ca="1" si="370"/>
        <v/>
      </c>
      <c r="Z818" s="315" t="str">
        <f t="shared" ca="1" si="371"/>
        <v/>
      </c>
      <c r="AA818" s="316" t="str">
        <f t="shared" ca="1" si="372"/>
        <v/>
      </c>
      <c r="AC818" s="310" t="e">
        <f t="shared" ca="1" si="373"/>
        <v>#N/A</v>
      </c>
      <c r="AD818" s="323" t="e">
        <f t="shared" ca="1" si="374"/>
        <v>#N/A</v>
      </c>
      <c r="AE818" s="324" t="e">
        <f t="shared" ca="1" si="353"/>
        <v>#N/A</v>
      </c>
      <c r="AG818" s="306">
        <f t="shared" ca="1" si="375"/>
        <v>5.8012068455359902</v>
      </c>
      <c r="AH818" s="304">
        <f t="shared" ca="1" si="376"/>
        <v>-3.9369658896539108</v>
      </c>
    </row>
    <row r="819" spans="1:34" x14ac:dyDescent="0.2">
      <c r="A819" s="347">
        <f t="shared" ca="1" si="354"/>
        <v>0.1</v>
      </c>
      <c r="B819" s="304">
        <f t="shared" ca="1" si="355"/>
        <v>36.500000000000185</v>
      </c>
      <c r="D819" s="306">
        <f t="shared" ca="1" si="356"/>
        <v>-0.47685555768364751</v>
      </c>
      <c r="E819" s="307">
        <f t="shared" ca="1" si="357"/>
        <v>-5.8574878493820828</v>
      </c>
      <c r="F819" s="304">
        <f t="shared" ca="1" si="358"/>
        <v>5.876866097551698</v>
      </c>
      <c r="G819" s="306">
        <f t="shared" ca="1" si="359"/>
        <v>13.878705570902769</v>
      </c>
      <c r="H819" s="307">
        <f t="shared" ca="1" si="360"/>
        <v>-116.0174120118609</v>
      </c>
      <c r="I819" s="304">
        <f t="shared" ca="1" si="361"/>
        <v>116.84459062469983</v>
      </c>
      <c r="J819" s="306">
        <f t="shared" ca="1" si="362"/>
        <v>709.69990164216858</v>
      </c>
      <c r="K819" s="307">
        <f t="shared" ca="1" si="363"/>
        <v>1834.7663181924754</v>
      </c>
      <c r="L819" s="304">
        <f t="shared" ca="1" si="348"/>
        <v>1967.2420778248099</v>
      </c>
      <c r="M819" s="306">
        <f t="shared" ca="1" si="364"/>
        <v>-1.4517360514855824</v>
      </c>
      <c r="N819" s="304">
        <f t="shared" ca="1" si="365"/>
        <v>-83.178348717110651</v>
      </c>
      <c r="P819" s="310">
        <f t="shared" ca="1" si="366"/>
        <v>23</v>
      </c>
      <c r="Q819" s="304">
        <f t="shared" ca="1" si="367"/>
        <v>0</v>
      </c>
      <c r="R819" s="306">
        <f t="shared" ca="1" si="368"/>
        <v>0</v>
      </c>
      <c r="S819" s="307">
        <f t="shared" ca="1" si="369"/>
        <v>9.137999999999975</v>
      </c>
      <c r="T819" s="304">
        <f t="shared" ca="1" si="349"/>
        <v>89.643779999999765</v>
      </c>
      <c r="U819" s="311">
        <f t="shared" ca="1" si="350"/>
        <v>0</v>
      </c>
      <c r="V819" s="306">
        <f t="shared" ca="1" si="351"/>
        <v>1.0191275205759251</v>
      </c>
      <c r="W819" s="304">
        <f t="shared" ca="1" si="352"/>
        <v>36.784144134686322</v>
      </c>
      <c r="Y819" s="314" t="str">
        <f t="shared" ca="1" si="370"/>
        <v/>
      </c>
      <c r="Z819" s="315" t="str">
        <f t="shared" ca="1" si="371"/>
        <v/>
      </c>
      <c r="AA819" s="316" t="str">
        <f t="shared" ca="1" si="372"/>
        <v/>
      </c>
      <c r="AC819" s="310" t="e">
        <f t="shared" ca="1" si="373"/>
        <v>#N/A</v>
      </c>
      <c r="AD819" s="323" t="e">
        <f t="shared" ca="1" si="374"/>
        <v>#N/A</v>
      </c>
      <c r="AE819" s="324" t="e">
        <f t="shared" ca="1" si="353"/>
        <v>#N/A</v>
      </c>
      <c r="AG819" s="306">
        <f t="shared" ca="1" si="375"/>
        <v>5.7582016679500239</v>
      </c>
      <c r="AH819" s="304">
        <f t="shared" ca="1" si="376"/>
        <v>-3.9811736364640091</v>
      </c>
    </row>
    <row r="820" spans="1:34" x14ac:dyDescent="0.2">
      <c r="A820" s="347">
        <f t="shared" ca="1" si="354"/>
        <v>0.1</v>
      </c>
      <c r="B820" s="304">
        <f t="shared" ca="1" si="355"/>
        <v>36.600000000000186</v>
      </c>
      <c r="D820" s="306">
        <f t="shared" ca="1" si="356"/>
        <v>-0.47813424857791725</v>
      </c>
      <c r="E820" s="307">
        <f t="shared" ca="1" si="357"/>
        <v>-5.8130928078375899</v>
      </c>
      <c r="F820" s="304">
        <f t="shared" ca="1" si="358"/>
        <v>5.8327232363790653</v>
      </c>
      <c r="G820" s="306">
        <f t="shared" ca="1" si="359"/>
        <v>13.830892146044977</v>
      </c>
      <c r="H820" s="307">
        <f t="shared" ca="1" si="360"/>
        <v>-116.59872129264465</v>
      </c>
      <c r="I820" s="304">
        <f t="shared" ca="1" si="361"/>
        <v>117.41616321714551</v>
      </c>
      <c r="J820" s="306">
        <f t="shared" ca="1" si="362"/>
        <v>711.085381528016</v>
      </c>
      <c r="K820" s="307">
        <f t="shared" ca="1" si="363"/>
        <v>1823.1355115272502</v>
      </c>
      <c r="L820" s="304">
        <f t="shared" ca="1" si="348"/>
        <v>1956.9020193189469</v>
      </c>
      <c r="M820" s="306">
        <f t="shared" ca="1" si="364"/>
        <v>-1.4527284395788866</v>
      </c>
      <c r="N820" s="304">
        <f t="shared" ca="1" si="365"/>
        <v>-83.235208366496025</v>
      </c>
      <c r="P820" s="310">
        <f t="shared" ca="1" si="366"/>
        <v>23</v>
      </c>
      <c r="Q820" s="304">
        <f t="shared" ca="1" si="367"/>
        <v>0</v>
      </c>
      <c r="R820" s="306">
        <f t="shared" ca="1" si="368"/>
        <v>0</v>
      </c>
      <c r="S820" s="307">
        <f t="shared" ca="1" si="369"/>
        <v>9.137999999999975</v>
      </c>
      <c r="T820" s="304">
        <f t="shared" ca="1" si="349"/>
        <v>89.643779999999765</v>
      </c>
      <c r="U820" s="311">
        <f t="shared" ca="1" si="350"/>
        <v>0</v>
      </c>
      <c r="V820" s="306">
        <f t="shared" ca="1" si="351"/>
        <v>1.0203235454693298</v>
      </c>
      <c r="W820" s="304">
        <f t="shared" ca="1" si="352"/>
        <v>37.188493212423005</v>
      </c>
      <c r="Y820" s="314" t="str">
        <f t="shared" ca="1" si="370"/>
        <v/>
      </c>
      <c r="Z820" s="315" t="str">
        <f t="shared" ca="1" si="371"/>
        <v/>
      </c>
      <c r="AA820" s="316" t="str">
        <f t="shared" ca="1" si="372"/>
        <v/>
      </c>
      <c r="AC820" s="310" t="e">
        <f t="shared" ca="1" si="373"/>
        <v>#N/A</v>
      </c>
      <c r="AD820" s="323" t="e">
        <f t="shared" ca="1" si="374"/>
        <v>#N/A</v>
      </c>
      <c r="AE820" s="324" t="e">
        <f t="shared" ca="1" si="353"/>
        <v>#N/A</v>
      </c>
      <c r="AG820" s="306">
        <f t="shared" ca="1" si="375"/>
        <v>5.7151477472808061</v>
      </c>
      <c r="AH820" s="304">
        <f t="shared" ca="1" si="376"/>
        <v>-4.0254042607448479</v>
      </c>
    </row>
    <row r="821" spans="1:34" x14ac:dyDescent="0.2">
      <c r="A821" s="347">
        <f t="shared" ca="1" si="354"/>
        <v>0.1</v>
      </c>
      <c r="B821" s="304">
        <f t="shared" ca="1" si="355"/>
        <v>36.700000000000188</v>
      </c>
      <c r="D821" s="306">
        <f t="shared" ca="1" si="356"/>
        <v>-0.47937980918294765</v>
      </c>
      <c r="E821" s="307">
        <f t="shared" ca="1" si="357"/>
        <v>-5.7686791528681525</v>
      </c>
      <c r="F821" s="304">
        <f t="shared" ca="1" si="358"/>
        <v>5.7885632215764824</v>
      </c>
      <c r="G821" s="306">
        <f t="shared" ca="1" si="359"/>
        <v>13.782954165126682</v>
      </c>
      <c r="H821" s="307">
        <f t="shared" ca="1" si="360"/>
        <v>-117.17558920793147</v>
      </c>
      <c r="I821" s="304">
        <f t="shared" ca="1" si="361"/>
        <v>117.98342481782721</v>
      </c>
      <c r="J821" s="306">
        <f t="shared" ca="1" si="362"/>
        <v>712.46607384357458</v>
      </c>
      <c r="K821" s="307">
        <f t="shared" ca="1" si="363"/>
        <v>1811.4467960022214</v>
      </c>
      <c r="L821" s="304">
        <f t="shared" ca="1" si="348"/>
        <v>1946.5218727578663</v>
      </c>
      <c r="M821" s="306">
        <f t="shared" ca="1" si="364"/>
        <v>-1.4537078627806044</v>
      </c>
      <c r="N821" s="304">
        <f t="shared" ca="1" si="365"/>
        <v>-83.291325182311638</v>
      </c>
      <c r="P821" s="310">
        <f t="shared" ca="1" si="366"/>
        <v>23</v>
      </c>
      <c r="Q821" s="304">
        <f t="shared" ca="1" si="367"/>
        <v>0</v>
      </c>
      <c r="R821" s="306">
        <f t="shared" ca="1" si="368"/>
        <v>0</v>
      </c>
      <c r="S821" s="307">
        <f t="shared" ca="1" si="369"/>
        <v>9.137999999999975</v>
      </c>
      <c r="T821" s="304">
        <f t="shared" ca="1" si="349"/>
        <v>89.643779999999765</v>
      </c>
      <c r="U821" s="311">
        <f t="shared" ca="1" si="350"/>
        <v>0</v>
      </c>
      <c r="V821" s="306">
        <f t="shared" ca="1" si="351"/>
        <v>1.0215268103618471</v>
      </c>
      <c r="W821" s="304">
        <f t="shared" ca="1" si="352"/>
        <v>37.592972783968513</v>
      </c>
      <c r="Y821" s="314" t="str">
        <f t="shared" ca="1" si="370"/>
        <v/>
      </c>
      <c r="Z821" s="315" t="str">
        <f t="shared" ca="1" si="371"/>
        <v/>
      </c>
      <c r="AA821" s="316" t="str">
        <f t="shared" ca="1" si="372"/>
        <v/>
      </c>
      <c r="AC821" s="310" t="e">
        <f t="shared" ca="1" si="373"/>
        <v>#N/A</v>
      </c>
      <c r="AD821" s="323" t="e">
        <f t="shared" ca="1" si="374"/>
        <v>#N/A</v>
      </c>
      <c r="AE821" s="324" t="e">
        <f t="shared" ca="1" si="353"/>
        <v>#N/A</v>
      </c>
      <c r="AG821" s="306">
        <f t="shared" ca="1" si="375"/>
        <v>5.6720501171759645</v>
      </c>
      <c r="AH821" s="304">
        <f t="shared" ca="1" si="376"/>
        <v>-4.0696534485032947</v>
      </c>
    </row>
    <row r="822" spans="1:34" x14ac:dyDescent="0.2">
      <c r="A822" s="347">
        <f t="shared" ca="1" si="354"/>
        <v>0.1</v>
      </c>
      <c r="B822" s="304">
        <f t="shared" ca="1" si="355"/>
        <v>36.800000000000189</v>
      </c>
      <c r="D822" s="306">
        <f t="shared" ca="1" si="356"/>
        <v>-0.480592323780271</v>
      </c>
      <c r="E822" s="307">
        <f t="shared" ca="1" si="357"/>
        <v>-5.7242511806180261</v>
      </c>
      <c r="F822" s="304">
        <f t="shared" ca="1" si="358"/>
        <v>5.7443903558587817</v>
      </c>
      <c r="G822" s="306">
        <f t="shared" ca="1" si="359"/>
        <v>13.734894932748656</v>
      </c>
      <c r="H822" s="307">
        <f t="shared" ca="1" si="360"/>
        <v>-117.74801432599327</v>
      </c>
      <c r="I822" s="304">
        <f t="shared" ca="1" si="361"/>
        <v>118.546371587358</v>
      </c>
      <c r="J822" s="306">
        <f t="shared" ca="1" si="362"/>
        <v>713.84196629846838</v>
      </c>
      <c r="K822" s="307">
        <f t="shared" ca="1" si="363"/>
        <v>1799.7006158255251</v>
      </c>
      <c r="L822" s="304">
        <f t="shared" ca="1" si="348"/>
        <v>1936.102440329963</v>
      </c>
      <c r="M822" s="306">
        <f t="shared" ca="1" si="364"/>
        <v>-1.454674585938841</v>
      </c>
      <c r="N822" s="304">
        <f t="shared" ca="1" si="365"/>
        <v>-83.346714339236158</v>
      </c>
      <c r="P822" s="310">
        <f t="shared" ca="1" si="366"/>
        <v>23</v>
      </c>
      <c r="Q822" s="304">
        <f t="shared" ca="1" si="367"/>
        <v>0</v>
      </c>
      <c r="R822" s="306">
        <f t="shared" ca="1" si="368"/>
        <v>0</v>
      </c>
      <c r="S822" s="307">
        <f t="shared" ca="1" si="369"/>
        <v>9.137999999999975</v>
      </c>
      <c r="T822" s="304">
        <f t="shared" ca="1" si="349"/>
        <v>89.643779999999765</v>
      </c>
      <c r="U822" s="311">
        <f t="shared" ca="1" si="350"/>
        <v>0</v>
      </c>
      <c r="V822" s="306">
        <f t="shared" ca="1" si="351"/>
        <v>1.0227372906868446</v>
      </c>
      <c r="W822" s="304">
        <f t="shared" ca="1" si="352"/>
        <v>37.997543997795177</v>
      </c>
      <c r="Y822" s="314" t="str">
        <f t="shared" ca="1" si="370"/>
        <v/>
      </c>
      <c r="Z822" s="315" t="str">
        <f t="shared" ca="1" si="371"/>
        <v/>
      </c>
      <c r="AA822" s="316" t="str">
        <f t="shared" ca="1" si="372"/>
        <v/>
      </c>
      <c r="AC822" s="310" t="e">
        <f t="shared" ca="1" si="373"/>
        <v>#N/A</v>
      </c>
      <c r="AD822" s="323" t="e">
        <f t="shared" ca="1" si="374"/>
        <v>#N/A</v>
      </c>
      <c r="AE822" s="324" t="e">
        <f t="shared" ca="1" si="353"/>
        <v>#N/A</v>
      </c>
      <c r="AG822" s="306">
        <f t="shared" ca="1" si="375"/>
        <v>5.628913755620963</v>
      </c>
      <c r="AH822" s="304">
        <f t="shared" ca="1" si="376"/>
        <v>-4.1139169166085159</v>
      </c>
    </row>
    <row r="823" spans="1:34" x14ac:dyDescent="0.2">
      <c r="A823" s="347">
        <f t="shared" ca="1" si="354"/>
        <v>0.1</v>
      </c>
      <c r="B823" s="304">
        <f t="shared" ca="1" si="355"/>
        <v>36.90000000000019</v>
      </c>
      <c r="D823" s="306">
        <f t="shared" ca="1" si="356"/>
        <v>-0.48177188111189623</v>
      </c>
      <c r="E823" s="307">
        <f t="shared" ca="1" si="357"/>
        <v>-5.6798131557041502</v>
      </c>
      <c r="F823" s="304">
        <f t="shared" ca="1" si="358"/>
        <v>5.7002089110084402</v>
      </c>
      <c r="G823" s="306">
        <f t="shared" ca="1" si="359"/>
        <v>13.686717744637466</v>
      </c>
      <c r="H823" s="307">
        <f t="shared" ca="1" si="360"/>
        <v>-118.31599564156369</v>
      </c>
      <c r="I823" s="304">
        <f t="shared" ca="1" si="361"/>
        <v>119.1050001774732</v>
      </c>
      <c r="J823" s="306">
        <f t="shared" ca="1" si="362"/>
        <v>715.21304693233765</v>
      </c>
      <c r="K823" s="307">
        <f t="shared" ca="1" si="363"/>
        <v>1787.8974153271472</v>
      </c>
      <c r="L823" s="304">
        <f t="shared" ca="1" si="348"/>
        <v>1925.6445337174075</v>
      </c>
      <c r="M823" s="306">
        <f t="shared" ca="1" si="364"/>
        <v>-1.4556288666706483</v>
      </c>
      <c r="N823" s="304">
        <f t="shared" ca="1" si="365"/>
        <v>-83.401390597639363</v>
      </c>
      <c r="P823" s="310">
        <f t="shared" ca="1" si="366"/>
        <v>23</v>
      </c>
      <c r="Q823" s="304">
        <f t="shared" ca="1" si="367"/>
        <v>0</v>
      </c>
      <c r="R823" s="306">
        <f t="shared" ca="1" si="368"/>
        <v>0</v>
      </c>
      <c r="S823" s="307">
        <f t="shared" ca="1" si="369"/>
        <v>9.137999999999975</v>
      </c>
      <c r="T823" s="304">
        <f t="shared" ca="1" si="349"/>
        <v>89.643779999999765</v>
      </c>
      <c r="U823" s="311">
        <f t="shared" ca="1" si="350"/>
        <v>0</v>
      </c>
      <c r="V823" s="306">
        <f t="shared" ca="1" si="351"/>
        <v>1.0239549618280255</v>
      </c>
      <c r="W823" s="304">
        <f t="shared" ca="1" si="352"/>
        <v>38.402168295670222</v>
      </c>
      <c r="Y823" s="314" t="str">
        <f t="shared" ca="1" si="370"/>
        <v/>
      </c>
      <c r="Z823" s="315" t="str">
        <f t="shared" ca="1" si="371"/>
        <v/>
      </c>
      <c r="AA823" s="316" t="str">
        <f t="shared" ca="1" si="372"/>
        <v/>
      </c>
      <c r="AC823" s="310" t="e">
        <f t="shared" ca="1" si="373"/>
        <v>#N/A</v>
      </c>
      <c r="AD823" s="323" t="e">
        <f t="shared" ca="1" si="374"/>
        <v>#N/A</v>
      </c>
      <c r="AE823" s="324" t="e">
        <f t="shared" ca="1" si="353"/>
        <v>#N/A</v>
      </c>
      <c r="AG823" s="306">
        <f t="shared" ca="1" si="375"/>
        <v>5.5857435853296726</v>
      </c>
      <c r="AH823" s="304">
        <f t="shared" ca="1" si="376"/>
        <v>-4.1581904134159862</v>
      </c>
    </row>
    <row r="824" spans="1:34" x14ac:dyDescent="0.2">
      <c r="A824" s="347">
        <f t="shared" ca="1" si="354"/>
        <v>0.1</v>
      </c>
      <c r="B824" s="304">
        <f t="shared" ca="1" si="355"/>
        <v>37.000000000000192</v>
      </c>
      <c r="D824" s="306">
        <f t="shared" ca="1" si="356"/>
        <v>-0.48291857431508894</v>
      </c>
      <c r="E824" s="307">
        <f t="shared" ca="1" si="357"/>
        <v>-5.6353693106018214</v>
      </c>
      <c r="F824" s="304">
        <f t="shared" ca="1" si="358"/>
        <v>5.6560231272769173</v>
      </c>
      <c r="G824" s="306">
        <f t="shared" ca="1" si="359"/>
        <v>13.638425887205956</v>
      </c>
      <c r="H824" s="307">
        <f t="shared" ca="1" si="360"/>
        <v>-118.87953257262387</v>
      </c>
      <c r="I824" s="304">
        <f t="shared" ca="1" si="361"/>
        <v>119.65930772558544</v>
      </c>
      <c r="J824" s="306">
        <f t="shared" ca="1" si="362"/>
        <v>716.57930411392977</v>
      </c>
      <c r="K824" s="307">
        <f t="shared" ca="1" si="363"/>
        <v>1776.0376389164378</v>
      </c>
      <c r="L824" s="304">
        <f t="shared" ca="1" si="348"/>
        <v>1915.1489743443665</v>
      </c>
      <c r="M824" s="306">
        <f t="shared" ca="1" si="364"/>
        <v>-1.4565709556049795</v>
      </c>
      <c r="N824" s="304">
        <f t="shared" ca="1" si="365"/>
        <v>-83.455368317502533</v>
      </c>
      <c r="P824" s="310">
        <f t="shared" ca="1" si="366"/>
        <v>23</v>
      </c>
      <c r="Q824" s="304">
        <f t="shared" ca="1" si="367"/>
        <v>0</v>
      </c>
      <c r="R824" s="306">
        <f t="shared" ca="1" si="368"/>
        <v>0</v>
      </c>
      <c r="S824" s="307">
        <f t="shared" ca="1" si="369"/>
        <v>9.137999999999975</v>
      </c>
      <c r="T824" s="304">
        <f t="shared" ca="1" si="349"/>
        <v>89.643779999999765</v>
      </c>
      <c r="U824" s="311">
        <f t="shared" ca="1" si="350"/>
        <v>0</v>
      </c>
      <c r="V824" s="306">
        <f t="shared" ca="1" si="351"/>
        <v>1.0251797991215363</v>
      </c>
      <c r="W824" s="304">
        <f t="shared" ca="1" si="352"/>
        <v>38.806807418099325</v>
      </c>
      <c r="Y824" s="314" t="str">
        <f t="shared" ca="1" si="370"/>
        <v/>
      </c>
      <c r="Z824" s="315" t="str">
        <f t="shared" ca="1" si="371"/>
        <v/>
      </c>
      <c r="AA824" s="316" t="str">
        <f t="shared" ca="1" si="372"/>
        <v/>
      </c>
      <c r="AC824" s="310">
        <f t="shared" ca="1" si="373"/>
        <v>37.000000000000192</v>
      </c>
      <c r="AD824" s="323">
        <f t="shared" ca="1" si="374"/>
        <v>716.57930411392977</v>
      </c>
      <c r="AE824" s="324" t="e">
        <f t="shared" ca="1" si="353"/>
        <v>#N/A</v>
      </c>
      <c r="AG824" s="306">
        <f t="shared" ca="1" si="375"/>
        <v>5.5425444741011747</v>
      </c>
      <c r="AH824" s="304">
        <f t="shared" ca="1" si="376"/>
        <v>-4.202469719377361</v>
      </c>
    </row>
    <row r="825" spans="1:34" x14ac:dyDescent="0.2">
      <c r="A825" s="347">
        <f t="shared" ca="1" si="354"/>
        <v>0.1</v>
      </c>
      <c r="B825" s="304">
        <f t="shared" ca="1" si="355"/>
        <v>37.100000000000193</v>
      </c>
      <c r="D825" s="306">
        <f t="shared" ca="1" si="356"/>
        <v>-0.48403250085697952</v>
      </c>
      <c r="E825" s="307">
        <f t="shared" ca="1" si="357"/>
        <v>-5.5909238450446921</v>
      </c>
      <c r="F825" s="304">
        <f t="shared" ca="1" si="358"/>
        <v>5.611837212800741</v>
      </c>
      <c r="G825" s="306">
        <f t="shared" ca="1" si="359"/>
        <v>13.590022637120258</v>
      </c>
      <c r="H825" s="307">
        <f t="shared" ca="1" si="360"/>
        <v>-119.43862495712834</v>
      </c>
      <c r="I825" s="304">
        <f t="shared" ca="1" si="361"/>
        <v>120.20929184936996</v>
      </c>
      <c r="J825" s="306">
        <f t="shared" ca="1" si="362"/>
        <v>717.9407265401461</v>
      </c>
      <c r="K825" s="307">
        <f t="shared" ca="1" si="363"/>
        <v>1764.1217310399502</v>
      </c>
      <c r="L825" s="304">
        <f t="shared" ca="1" si="348"/>
        <v>1904.6165936356806</v>
      </c>
      <c r="M825" s="306">
        <f t="shared" ca="1" si="364"/>
        <v>-1.4575010966159758</v>
      </c>
      <c r="N825" s="304">
        <f t="shared" ca="1" si="365"/>
        <v>-83.508661471784649</v>
      </c>
      <c r="P825" s="310">
        <f t="shared" ca="1" si="366"/>
        <v>23</v>
      </c>
      <c r="Q825" s="304">
        <f t="shared" ca="1" si="367"/>
        <v>0</v>
      </c>
      <c r="R825" s="306">
        <f t="shared" ca="1" si="368"/>
        <v>0</v>
      </c>
      <c r="S825" s="307">
        <f t="shared" ca="1" si="369"/>
        <v>9.137999999999975</v>
      </c>
      <c r="T825" s="304">
        <f t="shared" ca="1" si="349"/>
        <v>89.643779999999765</v>
      </c>
      <c r="U825" s="311">
        <f t="shared" ca="1" si="350"/>
        <v>0</v>
      </c>
      <c r="V825" s="306">
        <f t="shared" ca="1" si="351"/>
        <v>1.026411777858065</v>
      </c>
      <c r="W825" s="304">
        <f t="shared" ca="1" si="352"/>
        <v>39.211423409639536</v>
      </c>
      <c r="Y825" s="314" t="str">
        <f t="shared" ca="1" si="370"/>
        <v/>
      </c>
      <c r="Z825" s="315" t="str">
        <f t="shared" ca="1" si="371"/>
        <v/>
      </c>
      <c r="AA825" s="316" t="str">
        <f t="shared" ca="1" si="372"/>
        <v/>
      </c>
      <c r="AC825" s="310" t="e">
        <f t="shared" ca="1" si="373"/>
        <v>#N/A</v>
      </c>
      <c r="AD825" s="323" t="e">
        <f t="shared" ca="1" si="374"/>
        <v>#N/A</v>
      </c>
      <c r="AE825" s="324" t="e">
        <f t="shared" ca="1" si="353"/>
        <v>#N/A</v>
      </c>
      <c r="AG825" s="306">
        <f t="shared" ca="1" si="375"/>
        <v>5.4993212351454268</v>
      </c>
      <c r="AH825" s="304">
        <f t="shared" ca="1" si="376"/>
        <v>-4.2467506476361816</v>
      </c>
    </row>
    <row r="826" spans="1:34" x14ac:dyDescent="0.2">
      <c r="A826" s="347">
        <f t="shared" ca="1" si="354"/>
        <v>0.1</v>
      </c>
      <c r="B826" s="304">
        <f t="shared" ca="1" si="355"/>
        <v>37.200000000000195</v>
      </c>
      <c r="D826" s="306">
        <f t="shared" ca="1" si="356"/>
        <v>-0.48511376246898968</v>
      </c>
      <c r="E826" s="307">
        <f t="shared" ca="1" si="357"/>
        <v>-5.5464809254392158</v>
      </c>
      <c r="F826" s="304">
        <f t="shared" ca="1" si="358"/>
        <v>5.5676553430324578</v>
      </c>
      <c r="G826" s="306">
        <f t="shared" ca="1" si="359"/>
        <v>13.541511260873358</v>
      </c>
      <c r="H826" s="307">
        <f t="shared" ca="1" si="360"/>
        <v>-119.99327304967227</v>
      </c>
      <c r="I826" s="304">
        <f t="shared" ca="1" si="361"/>
        <v>120.7549506413777</v>
      </c>
      <c r="J826" s="306">
        <f t="shared" ca="1" si="362"/>
        <v>719.29730323504577</v>
      </c>
      <c r="K826" s="307">
        <f t="shared" ca="1" si="363"/>
        <v>1752.1501361396101</v>
      </c>
      <c r="L826" s="304">
        <f t="shared" ca="1" si="348"/>
        <v>1894.0482332863817</v>
      </c>
      <c r="M826" s="306">
        <f t="shared" ca="1" si="364"/>
        <v>-1.4584195270470239</v>
      </c>
      <c r="N826" s="304">
        <f t="shared" ca="1" si="365"/>
        <v>-83.561283659260084</v>
      </c>
      <c r="P826" s="310">
        <f t="shared" ca="1" si="366"/>
        <v>23</v>
      </c>
      <c r="Q826" s="304">
        <f t="shared" ca="1" si="367"/>
        <v>0</v>
      </c>
      <c r="R826" s="306">
        <f t="shared" ca="1" si="368"/>
        <v>0</v>
      </c>
      <c r="S826" s="307">
        <f t="shared" ca="1" si="369"/>
        <v>9.137999999999975</v>
      </c>
      <c r="T826" s="304">
        <f t="shared" ca="1" si="349"/>
        <v>89.643779999999765</v>
      </c>
      <c r="U826" s="311">
        <f t="shared" ca="1" si="350"/>
        <v>0</v>
      </c>
      <c r="V826" s="306">
        <f t="shared" ca="1" si="351"/>
        <v>1.0276508732849392</v>
      </c>
      <c r="W826" s="304">
        <f t="shared" ca="1" si="352"/>
        <v>39.615978624081315</v>
      </c>
      <c r="Y826" s="314" t="str">
        <f t="shared" ca="1" si="370"/>
        <v/>
      </c>
      <c r="Z826" s="315" t="str">
        <f t="shared" ca="1" si="371"/>
        <v/>
      </c>
      <c r="AA826" s="316" t="str">
        <f t="shared" ca="1" si="372"/>
        <v/>
      </c>
      <c r="AC826" s="310" t="e">
        <f t="shared" ca="1" si="373"/>
        <v>#N/A</v>
      </c>
      <c r="AD826" s="323" t="e">
        <f t="shared" ca="1" si="374"/>
        <v>#N/A</v>
      </c>
      <c r="AE826" s="324" t="e">
        <f t="shared" ca="1" si="353"/>
        <v>#N/A</v>
      </c>
      <c r="AG826" s="306">
        <f t="shared" ca="1" si="375"/>
        <v>5.4560786273803004</v>
      </c>
      <c r="AH826" s="304">
        <f t="shared" ca="1" si="376"/>
        <v>-4.2910290446092851</v>
      </c>
    </row>
    <row r="827" spans="1:34" x14ac:dyDescent="0.2">
      <c r="A827" s="347">
        <f t="shared" ca="1" si="354"/>
        <v>0.1</v>
      </c>
      <c r="B827" s="304">
        <f t="shared" ca="1" si="355"/>
        <v>37.300000000000196</v>
      </c>
      <c r="D827" s="306">
        <f t="shared" ca="1" si="356"/>
        <v>-0.4861624650810995</v>
      </c>
      <c r="E827" s="307">
        <f t="shared" ca="1" si="357"/>
        <v>-5.502044684293554</v>
      </c>
      <c r="F827" s="304">
        <f t="shared" ca="1" si="358"/>
        <v>5.5234816601865067</v>
      </c>
      <c r="G827" s="306">
        <f t="shared" ca="1" si="359"/>
        <v>13.492895014365248</v>
      </c>
      <c r="H827" s="307">
        <f t="shared" ca="1" si="360"/>
        <v>-120.54347751810162</v>
      </c>
      <c r="I827" s="304">
        <f t="shared" ca="1" si="361"/>
        <v>121.2962826636734</v>
      </c>
      <c r="J827" s="306">
        <f t="shared" ca="1" si="362"/>
        <v>720.64902354880769</v>
      </c>
      <c r="K827" s="307">
        <f t="shared" ca="1" si="363"/>
        <v>1740.1232986112213</v>
      </c>
      <c r="L827" s="304">
        <f t="shared" ca="1" si="348"/>
        <v>1883.4447455424456</v>
      </c>
      <c r="M827" s="306">
        <f t="shared" ca="1" si="364"/>
        <v>-1.4593264779260096</v>
      </c>
      <c r="N827" s="304">
        <f t="shared" ca="1" si="365"/>
        <v>-83.613248116851636</v>
      </c>
      <c r="P827" s="310">
        <f t="shared" ca="1" si="366"/>
        <v>23</v>
      </c>
      <c r="Q827" s="304">
        <f t="shared" ca="1" si="367"/>
        <v>0</v>
      </c>
      <c r="R827" s="306">
        <f t="shared" ca="1" si="368"/>
        <v>0</v>
      </c>
      <c r="S827" s="307">
        <f t="shared" ca="1" si="369"/>
        <v>9.137999999999975</v>
      </c>
      <c r="T827" s="304">
        <f t="shared" ca="1" si="349"/>
        <v>89.643779999999765</v>
      </c>
      <c r="U827" s="311">
        <f t="shared" ca="1" si="350"/>
        <v>0</v>
      </c>
      <c r="V827" s="306">
        <f t="shared" ca="1" si="351"/>
        <v>1.0288970606082146</v>
      </c>
      <c r="W827" s="304">
        <f t="shared" ca="1" si="352"/>
        <v>40.020435729498722</v>
      </c>
      <c r="Y827" s="314" t="str">
        <f t="shared" ca="1" si="370"/>
        <v/>
      </c>
      <c r="Z827" s="315" t="str">
        <f t="shared" ca="1" si="371"/>
        <v/>
      </c>
      <c r="AA827" s="316" t="str">
        <f t="shared" ca="1" si="372"/>
        <v/>
      </c>
      <c r="AC827" s="310" t="e">
        <f t="shared" ca="1" si="373"/>
        <v>#N/A</v>
      </c>
      <c r="AD827" s="323" t="e">
        <f t="shared" ca="1" si="374"/>
        <v>#N/A</v>
      </c>
      <c r="AE827" s="324" t="e">
        <f t="shared" ca="1" si="353"/>
        <v>#N/A</v>
      </c>
      <c r="AG827" s="306">
        <f t="shared" ca="1" si="375"/>
        <v>5.4128213557022864</v>
      </c>
      <c r="AH827" s="304">
        <f t="shared" ca="1" si="376"/>
        <v>-4.3353007905538874</v>
      </c>
    </row>
    <row r="828" spans="1:34" x14ac:dyDescent="0.2">
      <c r="A828" s="347">
        <f t="shared" ca="1" si="354"/>
        <v>0.1</v>
      </c>
      <c r="B828" s="304">
        <f t="shared" ca="1" si="355"/>
        <v>37.400000000000198</v>
      </c>
      <c r="D828" s="306">
        <f t="shared" ca="1" si="356"/>
        <v>-0.48717871875594232</v>
      </c>
      <c r="E828" s="307">
        <f t="shared" ca="1" si="357"/>
        <v>-5.4576192196610567</v>
      </c>
      <c r="F828" s="304">
        <f t="shared" ca="1" si="358"/>
        <v>5.4793202727001127</v>
      </c>
      <c r="G828" s="306">
        <f t="shared" ca="1" si="359"/>
        <v>13.444177142489654</v>
      </c>
      <c r="H828" s="307">
        <f t="shared" ca="1" si="360"/>
        <v>-121.08923944006773</v>
      </c>
      <c r="I828" s="304">
        <f t="shared" ca="1" si="361"/>
        <v>121.83328694249654</v>
      </c>
      <c r="J828" s="306">
        <f t="shared" ca="1" si="362"/>
        <v>721.99587715665041</v>
      </c>
      <c r="K828" s="307">
        <f t="shared" ca="1" si="363"/>
        <v>1728.0416627633128</v>
      </c>
      <c r="L828" s="304">
        <f t="shared" ca="1" si="348"/>
        <v>1872.8069934931887</v>
      </c>
      <c r="M828" s="306">
        <f t="shared" ca="1" si="364"/>
        <v>-1.4602221741721619</v>
      </c>
      <c r="N828" s="304">
        <f t="shared" ca="1" si="365"/>
        <v>-83.664567731481881</v>
      </c>
      <c r="P828" s="310">
        <f t="shared" ca="1" si="366"/>
        <v>23</v>
      </c>
      <c r="Q828" s="304">
        <f t="shared" ca="1" si="367"/>
        <v>0</v>
      </c>
      <c r="R828" s="306">
        <f t="shared" ca="1" si="368"/>
        <v>0</v>
      </c>
      <c r="S828" s="307">
        <f t="shared" ca="1" si="369"/>
        <v>9.137999999999975</v>
      </c>
      <c r="T828" s="304">
        <f t="shared" ca="1" si="349"/>
        <v>89.643779999999765</v>
      </c>
      <c r="U828" s="311">
        <f t="shared" ca="1" si="350"/>
        <v>0</v>
      </c>
      <c r="V828" s="306">
        <f t="shared" ca="1" si="351"/>
        <v>1.0301503149947622</v>
      </c>
      <c r="W828" s="304">
        <f t="shared" ca="1" si="352"/>
        <v>40.424757713167565</v>
      </c>
      <c r="Y828" s="314" t="str">
        <f t="shared" ca="1" si="370"/>
        <v/>
      </c>
      <c r="Z828" s="315" t="str">
        <f t="shared" ca="1" si="371"/>
        <v/>
      </c>
      <c r="AA828" s="316" t="str">
        <f t="shared" ca="1" si="372"/>
        <v/>
      </c>
      <c r="AC828" s="310" t="e">
        <f t="shared" ca="1" si="373"/>
        <v>#N/A</v>
      </c>
      <c r="AD828" s="323" t="e">
        <f t="shared" ca="1" si="374"/>
        <v>#N/A</v>
      </c>
      <c r="AE828" s="324" t="e">
        <f t="shared" ca="1" si="353"/>
        <v>#N/A</v>
      </c>
      <c r="AG828" s="306">
        <f t="shared" ca="1" si="375"/>
        <v>5.3695540712330727</v>
      </c>
      <c r="AH828" s="304">
        <f t="shared" ca="1" si="376"/>
        <v>-4.379561800120249</v>
      </c>
    </row>
    <row r="829" spans="1:34" x14ac:dyDescent="0.2">
      <c r="A829" s="347">
        <f t="shared" ca="1" si="354"/>
        <v>0.1</v>
      </c>
      <c r="B829" s="304">
        <f t="shared" ca="1" si="355"/>
        <v>37.500000000000199</v>
      </c>
      <c r="D829" s="306">
        <f t="shared" ca="1" si="356"/>
        <v>-0.48816263762274981</v>
      </c>
      <c r="E829" s="307">
        <f t="shared" ca="1" si="357"/>
        <v>-5.4132085945983262</v>
      </c>
      <c r="F829" s="304">
        <f t="shared" ca="1" si="358"/>
        <v>5.4351752547092707</v>
      </c>
      <c r="G829" s="306">
        <f t="shared" ca="1" si="359"/>
        <v>13.395360878727379</v>
      </c>
      <c r="H829" s="307">
        <f t="shared" ca="1" si="360"/>
        <v>-121.63056029952756</v>
      </c>
      <c r="I829" s="304">
        <f t="shared" ca="1" si="361"/>
        <v>122.36596296294304</v>
      </c>
      <c r="J829" s="306">
        <f t="shared" ca="1" si="362"/>
        <v>723.3378540577113</v>
      </c>
      <c r="K829" s="307">
        <f t="shared" ca="1" si="363"/>
        <v>1715.9056727763332</v>
      </c>
      <c r="L829" s="304">
        <f t="shared" ca="1" si="348"/>
        <v>1862.1358513757302</v>
      </c>
      <c r="M829" s="306">
        <f t="shared" ca="1" si="364"/>
        <v>-1.461106834794871</v>
      </c>
      <c r="N829" s="304">
        <f t="shared" ca="1" si="365"/>
        <v>-83.715255051464524</v>
      </c>
      <c r="P829" s="310">
        <f t="shared" ca="1" si="366"/>
        <v>23</v>
      </c>
      <c r="Q829" s="304">
        <f t="shared" ca="1" si="367"/>
        <v>0</v>
      </c>
      <c r="R829" s="306">
        <f t="shared" ca="1" si="368"/>
        <v>0</v>
      </c>
      <c r="S829" s="307">
        <f t="shared" ca="1" si="369"/>
        <v>9.137999999999975</v>
      </c>
      <c r="T829" s="304">
        <f t="shared" ca="1" si="349"/>
        <v>89.643779999999765</v>
      </c>
      <c r="U829" s="311">
        <f t="shared" ca="1" si="350"/>
        <v>0</v>
      </c>
      <c r="V829" s="306">
        <f t="shared" ca="1" si="351"/>
        <v>1.0314106115743433</v>
      </c>
      <c r="W829" s="304">
        <f t="shared" ca="1" si="352"/>
        <v>40.828907886350606</v>
      </c>
      <c r="Y829" s="314" t="str">
        <f t="shared" ca="1" si="370"/>
        <v/>
      </c>
      <c r="Z829" s="315" t="str">
        <f t="shared" ca="1" si="371"/>
        <v/>
      </c>
      <c r="AA829" s="316" t="str">
        <f t="shared" ca="1" si="372"/>
        <v/>
      </c>
      <c r="AC829" s="310" t="e">
        <f t="shared" ca="1" si="373"/>
        <v>#N/A</v>
      </c>
      <c r="AD829" s="323" t="e">
        <f t="shared" ca="1" si="374"/>
        <v>#N/A</v>
      </c>
      <c r="AE829" s="324" t="e">
        <f t="shared" ca="1" si="353"/>
        <v>#N/A</v>
      </c>
      <c r="AG829" s="306">
        <f t="shared" ca="1" si="375"/>
        <v>5.3262813715440833</v>
      </c>
      <c r="AH829" s="304">
        <f t="shared" ca="1" si="376"/>
        <v>-4.4238080228898751</v>
      </c>
    </row>
    <row r="830" spans="1:34" x14ac:dyDescent="0.2">
      <c r="A830" s="347">
        <f t="shared" ca="1" si="354"/>
        <v>0.1</v>
      </c>
      <c r="B830" s="304">
        <f t="shared" ca="1" si="355"/>
        <v>37.6000000000002</v>
      </c>
      <c r="D830" s="306">
        <f t="shared" ca="1" si="356"/>
        <v>-0.48911433981114105</v>
      </c>
      <c r="E830" s="307">
        <f t="shared" ca="1" si="357"/>
        <v>-5.3688168366379596</v>
      </c>
      <c r="F830" s="304">
        <f t="shared" ca="1" si="358"/>
        <v>5.3910506455398952</v>
      </c>
      <c r="G830" s="306">
        <f t="shared" ca="1" si="359"/>
        <v>13.346449444746264</v>
      </c>
      <c r="H830" s="307">
        <f t="shared" ca="1" si="360"/>
        <v>-122.16744198319135</v>
      </c>
      <c r="I830" s="304">
        <f t="shared" ca="1" si="361"/>
        <v>122.89431066366576</v>
      </c>
      <c r="J830" s="306">
        <f t="shared" ca="1" si="362"/>
        <v>724.674944573885</v>
      </c>
      <c r="K830" s="307">
        <f t="shared" ca="1" si="363"/>
        <v>1703.7157726621972</v>
      </c>
      <c r="L830" s="304">
        <f t="shared" ca="1" si="348"/>
        <v>1851.4322048919616</v>
      </c>
      <c r="M830" s="306">
        <f t="shared" ca="1" si="364"/>
        <v>-1.4619806730848346</v>
      </c>
      <c r="N830" s="304">
        <f t="shared" ca="1" si="365"/>
        <v>-83.765322297456365</v>
      </c>
      <c r="P830" s="310">
        <f t="shared" ca="1" si="366"/>
        <v>23</v>
      </c>
      <c r="Q830" s="304">
        <f t="shared" ca="1" si="367"/>
        <v>0</v>
      </c>
      <c r="R830" s="306">
        <f t="shared" ca="1" si="368"/>
        <v>0</v>
      </c>
      <c r="S830" s="307">
        <f t="shared" ca="1" si="369"/>
        <v>9.137999999999975</v>
      </c>
      <c r="T830" s="304">
        <f t="shared" ca="1" si="349"/>
        <v>89.643779999999765</v>
      </c>
      <c r="U830" s="311">
        <f t="shared" ca="1" si="350"/>
        <v>0</v>
      </c>
      <c r="V830" s="306">
        <f t="shared" ca="1" si="351"/>
        <v>1.0326779254416867</v>
      </c>
      <c r="W830" s="304">
        <f t="shared" ca="1" si="352"/>
        <v>41.232849888950064</v>
      </c>
      <c r="Y830" s="314" t="str">
        <f t="shared" ca="1" si="370"/>
        <v/>
      </c>
      <c r="Z830" s="315" t="str">
        <f t="shared" ca="1" si="371"/>
        <v/>
      </c>
      <c r="AA830" s="316" t="str">
        <f t="shared" ca="1" si="372"/>
        <v/>
      </c>
      <c r="AC830" s="310" t="e">
        <f t="shared" ca="1" si="373"/>
        <v>#N/A</v>
      </c>
      <c r="AD830" s="323" t="e">
        <f t="shared" ca="1" si="374"/>
        <v>#N/A</v>
      </c>
      <c r="AE830" s="324" t="e">
        <f t="shared" ca="1" si="353"/>
        <v>#N/A</v>
      </c>
      <c r="AG830" s="306">
        <f t="shared" ca="1" si="375"/>
        <v>5.2830078008608794</v>
      </c>
      <c r="AH830" s="304">
        <f t="shared" ca="1" si="376"/>
        <v>-4.4680354438991809</v>
      </c>
    </row>
    <row r="831" spans="1:34" x14ac:dyDescent="0.2">
      <c r="A831" s="347">
        <f t="shared" ca="1" si="354"/>
        <v>0.1</v>
      </c>
      <c r="B831" s="304">
        <f t="shared" ca="1" si="355"/>
        <v>37.700000000000202</v>
      </c>
      <c r="D831" s="306">
        <f t="shared" ca="1" si="356"/>
        <v>-0.49003394738477812</v>
      </c>
      <c r="E831" s="307">
        <f t="shared" ca="1" si="357"/>
        <v>-5.3244479372759344</v>
      </c>
      <c r="F831" s="304">
        <f t="shared" ca="1" si="358"/>
        <v>5.3469504492141553</v>
      </c>
      <c r="G831" s="306">
        <f t="shared" ca="1" si="359"/>
        <v>13.297446050007787</v>
      </c>
      <c r="H831" s="307">
        <f t="shared" ca="1" si="360"/>
        <v>-122.69988677691894</v>
      </c>
      <c r="I831" s="304">
        <f t="shared" ca="1" si="361"/>
        <v>123.41833043159187</v>
      </c>
      <c r="J831" s="306">
        <f t="shared" ca="1" si="362"/>
        <v>726.00713934862267</v>
      </c>
      <c r="K831" s="307">
        <f t="shared" ca="1" si="363"/>
        <v>1691.4724062241917</v>
      </c>
      <c r="L831" s="304">
        <f t="shared" ca="1" si="348"/>
        <v>1840.6969515384728</v>
      </c>
      <c r="M831" s="306">
        <f t="shared" ca="1" si="364"/>
        <v>-1.4628438967978776</v>
      </c>
      <c r="N831" s="304">
        <f t="shared" ca="1" si="365"/>
        <v>-83.814781372989344</v>
      </c>
      <c r="P831" s="310">
        <f t="shared" ca="1" si="366"/>
        <v>23</v>
      </c>
      <c r="Q831" s="304">
        <f t="shared" ca="1" si="367"/>
        <v>0</v>
      </c>
      <c r="R831" s="306">
        <f t="shared" ca="1" si="368"/>
        <v>0</v>
      </c>
      <c r="S831" s="307">
        <f t="shared" ca="1" si="369"/>
        <v>9.137999999999975</v>
      </c>
      <c r="T831" s="304">
        <f t="shared" ca="1" si="349"/>
        <v>89.643779999999765</v>
      </c>
      <c r="U831" s="311">
        <f t="shared" ca="1" si="350"/>
        <v>0</v>
      </c>
      <c r="V831" s="306">
        <f t="shared" ca="1" si="351"/>
        <v>1.0339522316585503</v>
      </c>
      <c r="W831" s="304">
        <f t="shared" ca="1" si="352"/>
        <v>41.636547694026213</v>
      </c>
      <c r="Y831" s="314" t="str">
        <f t="shared" ca="1" si="370"/>
        <v/>
      </c>
      <c r="Z831" s="315" t="str">
        <f t="shared" ca="1" si="371"/>
        <v/>
      </c>
      <c r="AA831" s="316" t="str">
        <f t="shared" ca="1" si="372"/>
        <v/>
      </c>
      <c r="AC831" s="310" t="e">
        <f t="shared" ca="1" si="373"/>
        <v>#N/A</v>
      </c>
      <c r="AD831" s="323" t="e">
        <f t="shared" ca="1" si="374"/>
        <v>#N/A</v>
      </c>
      <c r="AE831" s="324" t="e">
        <f t="shared" ca="1" si="353"/>
        <v>#N/A</v>
      </c>
      <c r="AG831" s="306">
        <f t="shared" ca="1" si="375"/>
        <v>5.2397378502492558</v>
      </c>
      <c r="AH831" s="304">
        <f t="shared" ca="1" si="376"/>
        <v>-4.5122400841486296</v>
      </c>
    </row>
    <row r="832" spans="1:34" x14ac:dyDescent="0.2">
      <c r="A832" s="347">
        <f t="shared" ca="1" si="354"/>
        <v>0.1</v>
      </c>
      <c r="B832" s="304">
        <f t="shared" ca="1" si="355"/>
        <v>37.800000000000203</v>
      </c>
      <c r="D832" s="306">
        <f t="shared" ca="1" si="356"/>
        <v>-0.49092158627488075</v>
      </c>
      <c r="E832" s="307">
        <f t="shared" ca="1" si="357"/>
        <v>-5.2801058514737829</v>
      </c>
      <c r="F832" s="304">
        <f t="shared" ca="1" si="358"/>
        <v>5.3028786339721492</v>
      </c>
      <c r="G832" s="306">
        <f t="shared" ca="1" si="359"/>
        <v>13.248353891380299</v>
      </c>
      <c r="H832" s="307">
        <f t="shared" ca="1" si="360"/>
        <v>-123.22789736206633</v>
      </c>
      <c r="I832" s="304">
        <f t="shared" ca="1" si="361"/>
        <v>123.93802309665588</v>
      </c>
      <c r="J832" s="306">
        <f t="shared" ca="1" si="362"/>
        <v>727.33442934569212</v>
      </c>
      <c r="K832" s="307">
        <f t="shared" ca="1" si="363"/>
        <v>1679.1760170172424</v>
      </c>
      <c r="L832" s="304">
        <f t="shared" ca="1" si="348"/>
        <v>1829.9310009499031</v>
      </c>
      <c r="M832" s="306">
        <f t="shared" ca="1" si="364"/>
        <v>-1.4636967083317665</v>
      </c>
      <c r="N832" s="304">
        <f t="shared" ca="1" si="365"/>
        <v>-83.863643874601252</v>
      </c>
      <c r="P832" s="310">
        <f t="shared" ca="1" si="366"/>
        <v>23</v>
      </c>
      <c r="Q832" s="304">
        <f t="shared" ca="1" si="367"/>
        <v>0</v>
      </c>
      <c r="R832" s="306">
        <f t="shared" ca="1" si="368"/>
        <v>0</v>
      </c>
      <c r="S832" s="307">
        <f t="shared" ca="1" si="369"/>
        <v>9.137999999999975</v>
      </c>
      <c r="T832" s="304">
        <f t="shared" ca="1" si="349"/>
        <v>89.643779999999765</v>
      </c>
      <c r="U832" s="311">
        <f t="shared" ca="1" si="350"/>
        <v>0</v>
      </c>
      <c r="V832" s="306">
        <f t="shared" ca="1" si="351"/>
        <v>1.0352335052557837</v>
      </c>
      <c r="W832" s="304">
        <f t="shared" ca="1" si="352"/>
        <v>42.039965612182677</v>
      </c>
      <c r="Y832" s="314" t="str">
        <f t="shared" ca="1" si="370"/>
        <v/>
      </c>
      <c r="Z832" s="315" t="str">
        <f t="shared" ca="1" si="371"/>
        <v/>
      </c>
      <c r="AA832" s="316" t="str">
        <f t="shared" ca="1" si="372"/>
        <v/>
      </c>
      <c r="AC832" s="310" t="e">
        <f t="shared" ca="1" si="373"/>
        <v>#N/A</v>
      </c>
      <c r="AD832" s="323" t="e">
        <f t="shared" ca="1" si="374"/>
        <v>#N/A</v>
      </c>
      <c r="AE832" s="324" t="e">
        <f t="shared" ca="1" si="353"/>
        <v>#N/A</v>
      </c>
      <c r="AG832" s="306">
        <f t="shared" ca="1" si="375"/>
        <v>5.1964759577847897</v>
      </c>
      <c r="AH832" s="304">
        <f t="shared" ca="1" si="376"/>
        <v>-4.556418001097212</v>
      </c>
    </row>
    <row r="833" spans="1:34" x14ac:dyDescent="0.2">
      <c r="A833" s="347">
        <f t="shared" ca="1" si="354"/>
        <v>0.1</v>
      </c>
      <c r="B833" s="304">
        <f t="shared" ca="1" si="355"/>
        <v>37.900000000000205</v>
      </c>
      <c r="D833" s="306">
        <f t="shared" ca="1" si="356"/>
        <v>-0.49177738621363237</v>
      </c>
      <c r="E833" s="307">
        <f t="shared" ca="1" si="357"/>
        <v>-5.2357944971754584</v>
      </c>
      <c r="F833" s="304">
        <f t="shared" ca="1" si="358"/>
        <v>5.2588391318088368</v>
      </c>
      <c r="G833" s="306">
        <f t="shared" ca="1" si="359"/>
        <v>13.199176152758936</v>
      </c>
      <c r="H833" s="307">
        <f t="shared" ca="1" si="360"/>
        <v>-123.75147681178387</v>
      </c>
      <c r="I833" s="304">
        <f t="shared" ca="1" si="361"/>
        <v>124.45338992654656</v>
      </c>
      <c r="J833" s="306">
        <f t="shared" ca="1" si="362"/>
        <v>728.65680584789902</v>
      </c>
      <c r="K833" s="307">
        <f t="shared" ca="1" si="363"/>
        <v>1666.8270483085498</v>
      </c>
      <c r="L833" s="304">
        <f t="shared" ca="1" si="348"/>
        <v>1819.1352752562013</v>
      </c>
      <c r="M833" s="306">
        <f t="shared" ca="1" si="364"/>
        <v>-1.4645393048963289</v>
      </c>
      <c r="N833" s="304">
        <f t="shared" ca="1" si="365"/>
        <v>-83.911921101582905</v>
      </c>
      <c r="P833" s="310">
        <f t="shared" ca="1" si="366"/>
        <v>23</v>
      </c>
      <c r="Q833" s="304">
        <f t="shared" ca="1" si="367"/>
        <v>0</v>
      </c>
      <c r="R833" s="306">
        <f t="shared" ca="1" si="368"/>
        <v>0</v>
      </c>
      <c r="S833" s="307">
        <f t="shared" ca="1" si="369"/>
        <v>9.137999999999975</v>
      </c>
      <c r="T833" s="304">
        <f t="shared" ca="1" si="349"/>
        <v>89.643779999999765</v>
      </c>
      <c r="U833" s="311">
        <f t="shared" ca="1" si="350"/>
        <v>0</v>
      </c>
      <c r="V833" s="306">
        <f t="shared" ca="1" si="351"/>
        <v>1.0365217212353781</v>
      </c>
      <c r="W833" s="304">
        <f t="shared" ca="1" si="352"/>
        <v>42.443068295817469</v>
      </c>
      <c r="Y833" s="314" t="str">
        <f t="shared" ca="1" si="370"/>
        <v/>
      </c>
      <c r="Z833" s="315" t="str">
        <f t="shared" ca="1" si="371"/>
        <v/>
      </c>
      <c r="AA833" s="316" t="str">
        <f t="shared" ca="1" si="372"/>
        <v/>
      </c>
      <c r="AC833" s="310" t="e">
        <f t="shared" ca="1" si="373"/>
        <v>#N/A</v>
      </c>
      <c r="AD833" s="323" t="e">
        <f t="shared" ca="1" si="374"/>
        <v>#N/A</v>
      </c>
      <c r="AE833" s="324" t="e">
        <f t="shared" ca="1" si="353"/>
        <v>#N/A</v>
      </c>
      <c r="AG833" s="306">
        <f t="shared" ca="1" si="375"/>
        <v>5.153226508707367</v>
      </c>
      <c r="AH833" s="304">
        <f t="shared" ca="1" si="376"/>
        <v>-4.6005652891423496</v>
      </c>
    </row>
    <row r="834" spans="1:34" x14ac:dyDescent="0.2">
      <c r="A834" s="347">
        <f t="shared" ca="1" si="354"/>
        <v>0.1</v>
      </c>
      <c r="B834" s="304">
        <f t="shared" ca="1" si="355"/>
        <v>38.000000000000206</v>
      </c>
      <c r="D834" s="306">
        <f t="shared" ca="1" si="356"/>
        <v>-0.49260148066745768</v>
      </c>
      <c r="E834" s="307">
        <f t="shared" ca="1" si="357"/>
        <v>-5.1915177548390234</v>
      </c>
      <c r="F834" s="304">
        <f t="shared" ca="1" si="358"/>
        <v>5.2148358380264082</v>
      </c>
      <c r="G834" s="306">
        <f t="shared" ca="1" si="359"/>
        <v>13.149916004692191</v>
      </c>
      <c r="H834" s="307">
        <f t="shared" ca="1" si="360"/>
        <v>-124.27062858726778</v>
      </c>
      <c r="I834" s="304">
        <f t="shared" ca="1" si="361"/>
        <v>124.9644326214668</v>
      </c>
      <c r="J834" s="306">
        <f t="shared" ca="1" si="362"/>
        <v>729.97426045577163</v>
      </c>
      <c r="K834" s="307">
        <f t="shared" ca="1" si="363"/>
        <v>1654.4259430385973</v>
      </c>
      <c r="L834" s="304">
        <f t="shared" ca="1" si="348"/>
        <v>1808.3107094542968</v>
      </c>
      <c r="M834" s="306">
        <f t="shared" ca="1" si="364"/>
        <v>-1.4653718786771672</v>
      </c>
      <c r="N834" s="304">
        <f t="shared" ca="1" si="365"/>
        <v>-83.959624065358199</v>
      </c>
      <c r="P834" s="310">
        <f t="shared" ca="1" si="366"/>
        <v>23</v>
      </c>
      <c r="Q834" s="304">
        <f t="shared" ca="1" si="367"/>
        <v>0</v>
      </c>
      <c r="R834" s="306">
        <f t="shared" ca="1" si="368"/>
        <v>0</v>
      </c>
      <c r="S834" s="307">
        <f t="shared" ca="1" si="369"/>
        <v>9.137999999999975</v>
      </c>
      <c r="T834" s="304">
        <f t="shared" ca="1" si="349"/>
        <v>89.643779999999765</v>
      </c>
      <c r="U834" s="311">
        <f t="shared" ca="1" si="350"/>
        <v>0</v>
      </c>
      <c r="V834" s="306">
        <f t="shared" ca="1" si="351"/>
        <v>1.0378168545725119</v>
      </c>
      <c r="W834" s="304">
        <f t="shared" ca="1" si="352"/>
        <v>42.845820743240168</v>
      </c>
      <c r="Y834" s="314" t="str">
        <f t="shared" ca="1" si="370"/>
        <v/>
      </c>
      <c r="Z834" s="315" t="str">
        <f t="shared" ca="1" si="371"/>
        <v/>
      </c>
      <c r="AA834" s="316" t="str">
        <f t="shared" ca="1" si="372"/>
        <v/>
      </c>
      <c r="AC834" s="310">
        <f t="shared" ca="1" si="373"/>
        <v>38.000000000000206</v>
      </c>
      <c r="AD834" s="323">
        <f t="shared" ca="1" si="374"/>
        <v>729.97426045577163</v>
      </c>
      <c r="AE834" s="324" t="e">
        <f t="shared" ca="1" si="353"/>
        <v>#N/A</v>
      </c>
      <c r="AG834" s="306">
        <f t="shared" ca="1" si="375"/>
        <v>5.1099938355623156</v>
      </c>
      <c r="AH834" s="304">
        <f t="shared" ca="1" si="376"/>
        <v>-4.6446780800850931</v>
      </c>
    </row>
    <row r="835" spans="1:34" x14ac:dyDescent="0.2">
      <c r="A835" s="347">
        <f t="shared" ca="1" si="354"/>
        <v>0.1</v>
      </c>
      <c r="B835" s="304">
        <f t="shared" ca="1" si="355"/>
        <v>38.100000000000207</v>
      </c>
      <c r="D835" s="306">
        <f t="shared" ca="1" si="356"/>
        <v>-0.49339400677022127</v>
      </c>
      <c r="E835" s="307">
        <f t="shared" ca="1" si="357"/>
        <v>-5.1472794669830844</v>
      </c>
      <c r="F835" s="304">
        <f t="shared" ca="1" si="358"/>
        <v>5.1708726108020144</v>
      </c>
      <c r="G835" s="306">
        <f t="shared" ca="1" si="359"/>
        <v>13.100576604015169</v>
      </c>
      <c r="H835" s="307">
        <f t="shared" ca="1" si="360"/>
        <v>-124.78535653396609</v>
      </c>
      <c r="I835" s="304">
        <f t="shared" ca="1" si="361"/>
        <v>125.47115330890485</v>
      </c>
      <c r="J835" s="306">
        <f t="shared" ca="1" si="362"/>
        <v>731.28678508620703</v>
      </c>
      <c r="K835" s="307">
        <f t="shared" ca="1" si="363"/>
        <v>1641.9731437825355</v>
      </c>
      <c r="L835" s="304">
        <f t="shared" ca="1" si="348"/>
        <v>1797.4582517946901</v>
      </c>
      <c r="M835" s="306">
        <f t="shared" ca="1" si="364"/>
        <v>-1.4661946169932489</v>
      </c>
      <c r="N835" s="304">
        <f t="shared" ca="1" si="365"/>
        <v>-84.006763498513379</v>
      </c>
      <c r="P835" s="310">
        <f t="shared" ca="1" si="366"/>
        <v>23</v>
      </c>
      <c r="Q835" s="304">
        <f t="shared" ca="1" si="367"/>
        <v>0</v>
      </c>
      <c r="R835" s="306">
        <f t="shared" ca="1" si="368"/>
        <v>0</v>
      </c>
      <c r="S835" s="307">
        <f t="shared" ca="1" si="369"/>
        <v>9.137999999999975</v>
      </c>
      <c r="T835" s="304">
        <f t="shared" ca="1" si="349"/>
        <v>89.643779999999765</v>
      </c>
      <c r="U835" s="311">
        <f t="shared" ca="1" si="350"/>
        <v>0</v>
      </c>
      <c r="V835" s="306">
        <f t="shared" ca="1" si="351"/>
        <v>1.0391188802175868</v>
      </c>
      <c r="W835" s="304">
        <f t="shared" ca="1" si="352"/>
        <v>43.248188302654604</v>
      </c>
      <c r="Y835" s="314" t="str">
        <f t="shared" ca="1" si="370"/>
        <v/>
      </c>
      <c r="Z835" s="315" t="str">
        <f t="shared" ca="1" si="371"/>
        <v/>
      </c>
      <c r="AA835" s="316" t="str">
        <f t="shared" ca="1" si="372"/>
        <v/>
      </c>
      <c r="AC835" s="310" t="e">
        <f t="shared" ca="1" si="373"/>
        <v>#N/A</v>
      </c>
      <c r="AD835" s="323" t="e">
        <f t="shared" ca="1" si="374"/>
        <v>#N/A</v>
      </c>
      <c r="AE835" s="324" t="e">
        <f t="shared" ca="1" si="353"/>
        <v>#N/A</v>
      </c>
      <c r="AG835" s="306">
        <f t="shared" ca="1" si="375"/>
        <v>5.0667822183294593</v>
      </c>
      <c r="AH835" s="304">
        <f t="shared" ca="1" si="376"/>
        <v>-4.6887525435806836</v>
      </c>
    </row>
    <row r="836" spans="1:34" x14ac:dyDescent="0.2">
      <c r="A836" s="347">
        <f t="shared" ca="1" si="354"/>
        <v>0.1</v>
      </c>
      <c r="B836" s="304">
        <f t="shared" ca="1" si="355"/>
        <v>38.200000000000209</v>
      </c>
      <c r="D836" s="306">
        <f t="shared" ca="1" si="356"/>
        <v>-0.49415510525631839</v>
      </c>
      <c r="E836" s="307">
        <f t="shared" ca="1" si="357"/>
        <v>-5.1030834377480634</v>
      </c>
      <c r="F836" s="304">
        <f t="shared" ca="1" si="358"/>
        <v>5.1269532707710024</v>
      </c>
      <c r="G836" s="306">
        <f t="shared" ca="1" si="359"/>
        <v>13.051161093489537</v>
      </c>
      <c r="H836" s="307">
        <f t="shared" ca="1" si="360"/>
        <v>-125.2956648777409</v>
      </c>
      <c r="I836" s="304">
        <f t="shared" ca="1" si="361"/>
        <v>125.97355453841639</v>
      </c>
      <c r="J836" s="306">
        <f t="shared" ca="1" si="362"/>
        <v>732.5943719710823</v>
      </c>
      <c r="K836" s="307">
        <f t="shared" ca="1" si="363"/>
        <v>1629.4690927119502</v>
      </c>
      <c r="L836" s="304">
        <f t="shared" ref="L836:L899" ca="1" si="377">SQRT(pos_x^2+pos_z^2)</f>
        <v>1786.5788641835018</v>
      </c>
      <c r="M836" s="306">
        <f t="shared" ca="1" si="364"/>
        <v>-1.4670077024486337</v>
      </c>
      <c r="N836" s="304">
        <f t="shared" ca="1" si="365"/>
        <v>-84.053349863490396</v>
      </c>
      <c r="P836" s="310">
        <f t="shared" ca="1" si="366"/>
        <v>23</v>
      </c>
      <c r="Q836" s="304">
        <f t="shared" ca="1" si="367"/>
        <v>0</v>
      </c>
      <c r="R836" s="306">
        <f t="shared" ca="1" si="368"/>
        <v>0</v>
      </c>
      <c r="S836" s="307">
        <f t="shared" ca="1" si="369"/>
        <v>9.137999999999975</v>
      </c>
      <c r="T836" s="304">
        <f t="shared" ref="T836:T899" ca="1" si="378">m*g</f>
        <v>89.643779999999765</v>
      </c>
      <c r="U836" s="311">
        <f t="shared" ref="U836:U899" ca="1" si="379">IF(pos_xz&lt;L_rampe,Poids*COS(Beta),0)</f>
        <v>0</v>
      </c>
      <c r="V836" s="306">
        <f t="shared" ref="V836:V899" ca="1" si="380">Rho_moyen*(20000-Alt_rampe-pos_z)/(20000+Alt_rampe+pos_z)</f>
        <v>1.0404277730982563</v>
      </c>
      <c r="W836" s="304">
        <f t="shared" ref="W836:W899" ca="1" si="381">1/2*Rho*Sref*Cx*vit_xz^2</f>
        <v>43.650136676007499</v>
      </c>
      <c r="Y836" s="314" t="str">
        <f t="shared" ca="1" si="370"/>
        <v/>
      </c>
      <c r="Z836" s="315" t="str">
        <f t="shared" ca="1" si="371"/>
        <v/>
      </c>
      <c r="AA836" s="316" t="str">
        <f t="shared" ca="1" si="372"/>
        <v/>
      </c>
      <c r="AC836" s="310" t="e">
        <f t="shared" ca="1" si="373"/>
        <v>#N/A</v>
      </c>
      <c r="AD836" s="323" t="e">
        <f t="shared" ca="1" si="374"/>
        <v>#N/A</v>
      </c>
      <c r="AE836" s="324" t="e">
        <f t="shared" ref="AE836:AE899" ca="1" si="382">IF(t&lt;T_para, pos_z, NA())</f>
        <v>#N/A</v>
      </c>
      <c r="AG836" s="306">
        <f t="shared" ca="1" si="375"/>
        <v>5.0235958845415301</v>
      </c>
      <c r="AH836" s="304">
        <f t="shared" ca="1" si="376"/>
        <v>-4.7327848875743843</v>
      </c>
    </row>
    <row r="837" spans="1:34" x14ac:dyDescent="0.2">
      <c r="A837" s="347">
        <f t="shared" ref="A837:A900" ca="1" si="383">IF(B836+0.01&lt;=T_ini+ROUNDUP(Temps_fin_propu,0), 0.01, IF(K836&gt;0, 0.1, 0.0001))</f>
        <v>0.1</v>
      </c>
      <c r="B837" s="304">
        <f t="shared" ref="B837:B900" ca="1" si="384">B836+pas</f>
        <v>38.30000000000021</v>
      </c>
      <c r="D837" s="306">
        <f t="shared" ref="D837:D900" ca="1" si="385">IF(AND(L836&lt;L_rampe,Poussee&lt;Poids*SIN(M836)),0,(-W836+Poussee)/m*COS(M836)-U836/m*SIN(M836))</f>
        <v>-0.49488492039370519</v>
      </c>
      <c r="E837" s="307">
        <f t="shared" ref="E837:E900" ca="1" si="386">IF(AND(L836&lt;L_rampe,Poussee&lt;Poids*SIN(M836)),0,(-W836+Poussee)/m*SIN(M836)+U836/m*COS(M836)-Poids/m)</f>
        <v>-5.0589334324722426</v>
      </c>
      <c r="F837" s="304">
        <f t="shared" ref="F837:F900" ca="1" si="387">SQRT(acc_x^2+acc_z^2)</f>
        <v>5.0830816006255954</v>
      </c>
      <c r="G837" s="306">
        <f t="shared" ref="G837:G900" ca="1" si="388">G836+acc_x*pas</f>
        <v>13.001672601450165</v>
      </c>
      <c r="H837" s="307">
        <f t="shared" ref="H837:H900" ca="1" si="389">H836+acc_z*pas</f>
        <v>-125.80155822098813</v>
      </c>
      <c r="I837" s="304">
        <f t="shared" ref="I837:I900" ca="1" si="390">SQRT(vit_x^2+vit_z^2)</f>
        <v>126.4716392764163</v>
      </c>
      <c r="J837" s="306">
        <f t="shared" ref="J837:J900" ca="1" si="391">J836+0.5*(vit_x+G836)*pas*(K836&gt;=0)</f>
        <v>733.89701365582926</v>
      </c>
      <c r="K837" s="307">
        <f t="shared" ref="K837:K900" ca="1" si="392">K836+0.5*(vit_z+H836)*pas</f>
        <v>1616.9142315570139</v>
      </c>
      <c r="L837" s="304">
        <f t="shared" ca="1" si="377"/>
        <v>1775.6735226005239</v>
      </c>
      <c r="M837" s="306">
        <f t="shared" ref="M837:M900" ca="1" si="393">IF(AND(L836&gt;L_rampe,G837&gt;0),ATAN2(G837,H837),$M$4)</f>
        <v>-1.4678113130785921</v>
      </c>
      <c r="N837" s="304">
        <f t="shared" ref="N837:N900" ca="1" si="394">DEGREES(Beta)</f>
        <v>-84.099393360958857</v>
      </c>
      <c r="P837" s="310">
        <f t="shared" ref="P837:P900" ca="1" si="395">MATCH(t-pas/2-T_ini,CdP_t)</f>
        <v>23</v>
      </c>
      <c r="Q837" s="304">
        <f t="shared" ref="Q837:Q900" ca="1" si="396">(INDEX(CdP,2,i_P+1)-INDEX(CdP,2,i_P+0))/(INDEX(CdP,1,i_P+1)-INDEX(CdP,1,i_P+0))*(t-pas/2-T_ini-INDEX(CdP,1,i_P+0))+INDEX(CdP,2,i_P+0)</f>
        <v>0</v>
      </c>
      <c r="R837" s="306">
        <f t="shared" ref="R837:R900" ca="1" si="397">Poussee/(g*ISP)</f>
        <v>0</v>
      </c>
      <c r="S837" s="307">
        <f t="shared" ref="S837:S900" ca="1" si="398">S836-Débit*pas</f>
        <v>9.137999999999975</v>
      </c>
      <c r="T837" s="304">
        <f t="shared" ca="1" si="378"/>
        <v>89.643779999999765</v>
      </c>
      <c r="U837" s="311">
        <f t="shared" ca="1" si="379"/>
        <v>0</v>
      </c>
      <c r="V837" s="306">
        <f t="shared" ca="1" si="380"/>
        <v>1.0417435081214481</v>
      </c>
      <c r="W837" s="304">
        <f t="shared" ca="1" si="381"/>
        <v>44.051631922702832</v>
      </c>
      <c r="Y837" s="314" t="str">
        <f t="shared" ref="Y837:Y900" ca="1" si="399">IF(AND(pos_z&lt;=0,K836&gt;0),"Impact balistique","") &amp; IF(AND(H838&lt;0,vit_z&gt;=0),"Apogée","") &amp; IF(AND(Poussee=0,Q836&gt;0),"Fin de propulsion","") &amp; IF(AND(L838&gt;L_rampe,pos_xz&lt;=L_rampe),"Sortie de rampe","")</f>
        <v/>
      </c>
      <c r="Z837" s="315" t="str">
        <f t="shared" ref="Z837:Z900" ca="1" si="400">IF(ABS(t-T_para)&lt;pas/2,"Para","")</f>
        <v/>
      </c>
      <c r="AA837" s="316" t="str">
        <f t="shared" ref="AA837:AA900" ca="1" si="401">IF(ABS(t-T_satellite)&lt;pas/2,"Satellite","")</f>
        <v/>
      </c>
      <c r="AC837" s="310" t="e">
        <f t="shared" ref="AC837:AC900" ca="1" si="402">IF(ABS(t-ROUND(t,0))&lt;0.001,t,NA())</f>
        <v>#N/A</v>
      </c>
      <c r="AD837" s="323" t="e">
        <f t="shared" ref="AD837:AD900" ca="1" si="403">IF(ABS(t-ROUND(t,0))&lt;0.001,pos_x,NA())</f>
        <v>#N/A</v>
      </c>
      <c r="AE837" s="324" t="e">
        <f t="shared" ca="1" si="382"/>
        <v>#N/A</v>
      </c>
      <c r="AG837" s="306">
        <f t="shared" ref="AG837:AG900" ca="1" si="404">IF(AND(L836&lt;L_rampe,Poussee&lt;Poids*SIN(M836)),0,(-W836+Poussee)/m-Poids*SIN(M836)/m)</f>
        <v>4.9804390093931525</v>
      </c>
      <c r="AH837" s="304">
        <f t="shared" ref="AH837:AH900" ca="1" si="405">IF(AND(L836&lt;L_rampe,Poussee&lt;Poids*SIN(M836)), g*SIN(M836), (-W836+Poussee)/m)</f>
        <v>-4.7767713587226543</v>
      </c>
    </row>
    <row r="838" spans="1:34" x14ac:dyDescent="0.2">
      <c r="A838" s="347">
        <f t="shared" ca="1" si="383"/>
        <v>0.1</v>
      </c>
      <c r="B838" s="304">
        <f t="shared" ca="1" si="384"/>
        <v>38.400000000000212</v>
      </c>
      <c r="D838" s="306">
        <f t="shared" ca="1" si="385"/>
        <v>-0.49558359991685919</v>
      </c>
      <c r="E838" s="307">
        <f t="shared" ca="1" si="386"/>
        <v>-5.0148331772826014</v>
      </c>
      <c r="F838" s="304">
        <f t="shared" ca="1" si="387"/>
        <v>5.039261344729093</v>
      </c>
      <c r="G838" s="306">
        <f t="shared" ca="1" si="388"/>
        <v>12.95211424145848</v>
      </c>
      <c r="H838" s="307">
        <f t="shared" ca="1" si="389"/>
        <v>-126.30304153871639</v>
      </c>
      <c r="I838" s="304">
        <f t="shared" ca="1" si="390"/>
        <v>126.96541090097929</v>
      </c>
      <c r="J838" s="306">
        <f t="shared" ca="1" si="391"/>
        <v>735.19470299797467</v>
      </c>
      <c r="K838" s="307">
        <f t="shared" ca="1" si="392"/>
        <v>1604.3090015690286</v>
      </c>
      <c r="L838" s="304">
        <f t="shared" ca="1" si="377"/>
        <v>1764.7432175338411</v>
      </c>
      <c r="M838" s="306">
        <f t="shared" ca="1" si="393"/>
        <v>-1.4686056224903539</v>
      </c>
      <c r="N838" s="304">
        <f t="shared" ca="1" si="394"/>
        <v>-84.144903937880329</v>
      </c>
      <c r="P838" s="310">
        <f t="shared" ca="1" si="395"/>
        <v>23</v>
      </c>
      <c r="Q838" s="304">
        <f t="shared" ca="1" si="396"/>
        <v>0</v>
      </c>
      <c r="R838" s="306">
        <f t="shared" ca="1" si="397"/>
        <v>0</v>
      </c>
      <c r="S838" s="307">
        <f t="shared" ca="1" si="398"/>
        <v>9.137999999999975</v>
      </c>
      <c r="T838" s="304">
        <f t="shared" ca="1" si="378"/>
        <v>89.643779999999765</v>
      </c>
      <c r="U838" s="311">
        <f t="shared" ca="1" si="379"/>
        <v>0</v>
      </c>
      <c r="V838" s="306">
        <f t="shared" ca="1" si="380"/>
        <v>1.0430660601753725</v>
      </c>
      <c r="W838" s="304">
        <f t="shared" ca="1" si="381"/>
        <v>44.452640463181908</v>
      </c>
      <c r="Y838" s="314" t="str">
        <f t="shared" ca="1" si="399"/>
        <v/>
      </c>
      <c r="Z838" s="315" t="str">
        <f t="shared" ca="1" si="400"/>
        <v/>
      </c>
      <c r="AA838" s="316" t="str">
        <f t="shared" ca="1" si="401"/>
        <v/>
      </c>
      <c r="AC838" s="310" t="e">
        <f t="shared" ca="1" si="402"/>
        <v>#N/A</v>
      </c>
      <c r="AD838" s="323" t="e">
        <f t="shared" ca="1" si="403"/>
        <v>#N/A</v>
      </c>
      <c r="AE838" s="324" t="e">
        <f t="shared" ca="1" si="382"/>
        <v>#N/A</v>
      </c>
      <c r="AG838" s="306">
        <f t="shared" ca="1" si="404"/>
        <v>4.9373157158415468</v>
      </c>
      <c r="AH838" s="304">
        <f t="shared" ca="1" si="405"/>
        <v>-4.8207082427996228</v>
      </c>
    </row>
    <row r="839" spans="1:34" x14ac:dyDescent="0.2">
      <c r="A839" s="347">
        <f t="shared" ca="1" si="383"/>
        <v>0.1</v>
      </c>
      <c r="B839" s="304">
        <f t="shared" ca="1" si="384"/>
        <v>38.500000000000213</v>
      </c>
      <c r="D839" s="306">
        <f t="shared" ca="1" si="385"/>
        <v>-0.49625129495969278</v>
      </c>
      <c r="E839" s="307">
        <f t="shared" ca="1" si="386"/>
        <v>-4.970786358700459</v>
      </c>
      <c r="F839" s="304">
        <f t="shared" ca="1" si="387"/>
        <v>4.9954962087456076</v>
      </c>
      <c r="G839" s="306">
        <f t="shared" ca="1" si="388"/>
        <v>12.902489111962511</v>
      </c>
      <c r="H839" s="307">
        <f t="shared" ca="1" si="389"/>
        <v>-126.80012017458643</v>
      </c>
      <c r="I839" s="304">
        <f t="shared" ca="1" si="390"/>
        <v>127.45487319664898</v>
      </c>
      <c r="J839" s="306">
        <f t="shared" ca="1" si="391"/>
        <v>736.48743316564571</v>
      </c>
      <c r="K839" s="307">
        <f t="shared" ca="1" si="392"/>
        <v>1591.6538434833635</v>
      </c>
      <c r="L839" s="304">
        <f t="shared" ca="1" si="377"/>
        <v>1753.7889544315999</v>
      </c>
      <c r="M839" s="306">
        <f t="shared" ca="1" si="393"/>
        <v>-1.4693907999987126</v>
      </c>
      <c r="N839" s="304">
        <f t="shared" ca="1" si="394"/>
        <v>-84.189891295277874</v>
      </c>
      <c r="P839" s="310">
        <f t="shared" ca="1" si="395"/>
        <v>23</v>
      </c>
      <c r="Q839" s="304">
        <f t="shared" ca="1" si="396"/>
        <v>0</v>
      </c>
      <c r="R839" s="306">
        <f t="shared" ca="1" si="397"/>
        <v>0</v>
      </c>
      <c r="S839" s="307">
        <f t="shared" ca="1" si="398"/>
        <v>9.137999999999975</v>
      </c>
      <c r="T839" s="304">
        <f t="shared" ca="1" si="378"/>
        <v>89.643779999999765</v>
      </c>
      <c r="U839" s="311">
        <f t="shared" ca="1" si="379"/>
        <v>0</v>
      </c>
      <c r="V839" s="306">
        <f t="shared" ca="1" si="380"/>
        <v>1.0443954041315286</v>
      </c>
      <c r="W839" s="304">
        <f t="shared" ca="1" si="381"/>
        <v>44.85312908236947</v>
      </c>
      <c r="Y839" s="314" t="str">
        <f t="shared" ca="1" si="399"/>
        <v/>
      </c>
      <c r="Z839" s="315" t="str">
        <f t="shared" ca="1" si="400"/>
        <v/>
      </c>
      <c r="AA839" s="316" t="str">
        <f t="shared" ca="1" si="401"/>
        <v/>
      </c>
      <c r="AC839" s="310" t="e">
        <f t="shared" ca="1" si="402"/>
        <v>#N/A</v>
      </c>
      <c r="AD839" s="323" t="e">
        <f t="shared" ca="1" si="403"/>
        <v>#N/A</v>
      </c>
      <c r="AE839" s="324" t="e">
        <f t="shared" ca="1" si="382"/>
        <v>#N/A</v>
      </c>
      <c r="AG839" s="306">
        <f t="shared" ca="1" si="404"/>
        <v>4.8942300747001832</v>
      </c>
      <c r="AH839" s="304">
        <f t="shared" ca="1" si="405"/>
        <v>-4.8645918650888627</v>
      </c>
    </row>
    <row r="840" spans="1:34" x14ac:dyDescent="0.2">
      <c r="A840" s="347">
        <f t="shared" ca="1" si="383"/>
        <v>0.1</v>
      </c>
      <c r="B840" s="304">
        <f t="shared" ca="1" si="384"/>
        <v>38.600000000000215</v>
      </c>
      <c r="D840" s="306">
        <f t="shared" ca="1" si="385"/>
        <v>-0.496888159988433</v>
      </c>
      <c r="E840" s="307">
        <f t="shared" ca="1" si="386"/>
        <v>-4.9267966232618621</v>
      </c>
      <c r="F840" s="304">
        <f t="shared" ca="1" si="387"/>
        <v>4.9517898592853449</v>
      </c>
      <c r="G840" s="306">
        <f t="shared" ca="1" si="388"/>
        <v>12.852800295963668</v>
      </c>
      <c r="H840" s="307">
        <f t="shared" ca="1" si="389"/>
        <v>-127.29279983691261</v>
      </c>
      <c r="I840" s="304">
        <f t="shared" ca="1" si="390"/>
        <v>127.94003034925474</v>
      </c>
      <c r="J840" s="306">
        <f t="shared" ca="1" si="391"/>
        <v>737.77519763604198</v>
      </c>
      <c r="K840" s="307">
        <f t="shared" ca="1" si="392"/>
        <v>1578.9491974827886</v>
      </c>
      <c r="L840" s="304">
        <f t="shared" ca="1" si="377"/>
        <v>1742.8117541715292</v>
      </c>
      <c r="M840" s="306">
        <f t="shared" ca="1" si="393"/>
        <v>-1.4701670107567075</v>
      </c>
      <c r="N840" s="304">
        <f t="shared" ca="1" si="394"/>
        <v>-84.234364895723644</v>
      </c>
      <c r="P840" s="310">
        <f t="shared" ca="1" si="395"/>
        <v>23</v>
      </c>
      <c r="Q840" s="304">
        <f t="shared" ca="1" si="396"/>
        <v>0</v>
      </c>
      <c r="R840" s="306">
        <f t="shared" ca="1" si="397"/>
        <v>0</v>
      </c>
      <c r="S840" s="307">
        <f t="shared" ca="1" si="398"/>
        <v>9.137999999999975</v>
      </c>
      <c r="T840" s="304">
        <f t="shared" ca="1" si="378"/>
        <v>89.643779999999765</v>
      </c>
      <c r="U840" s="311">
        <f t="shared" ca="1" si="379"/>
        <v>0</v>
      </c>
      <c r="V840" s="306">
        <f t="shared" ca="1" si="380"/>
        <v>1.0457315148466968</v>
      </c>
      <c r="W840" s="304">
        <f t="shared" ca="1" si="381"/>
        <v>45.253064932986092</v>
      </c>
      <c r="Y840" s="314" t="str">
        <f t="shared" ca="1" si="399"/>
        <v/>
      </c>
      <c r="Z840" s="315" t="str">
        <f t="shared" ca="1" si="400"/>
        <v/>
      </c>
      <c r="AA840" s="316" t="str">
        <f t="shared" ca="1" si="401"/>
        <v/>
      </c>
      <c r="AC840" s="310" t="e">
        <f t="shared" ca="1" si="402"/>
        <v>#N/A</v>
      </c>
      <c r="AD840" s="323" t="e">
        <f t="shared" ca="1" si="403"/>
        <v>#N/A</v>
      </c>
      <c r="AE840" s="324" t="e">
        <f t="shared" ca="1" si="382"/>
        <v>#N/A</v>
      </c>
      <c r="AG840" s="306">
        <f t="shared" ca="1" si="404"/>
        <v>4.8511861047263078</v>
      </c>
      <c r="AH840" s="304">
        <f t="shared" ca="1" si="405"/>
        <v>-4.9084185907605153</v>
      </c>
    </row>
    <row r="841" spans="1:34" x14ac:dyDescent="0.2">
      <c r="A841" s="347">
        <f t="shared" ca="1" si="383"/>
        <v>0.1</v>
      </c>
      <c r="B841" s="304">
        <f t="shared" ca="1" si="384"/>
        <v>38.700000000000216</v>
      </c>
      <c r="D841" s="306">
        <f t="shared" ca="1" si="385"/>
        <v>-0.49749435273447373</v>
      </c>
      <c r="E841" s="307">
        <f t="shared" ca="1" si="386"/>
        <v>-4.882867577152715</v>
      </c>
      <c r="F841" s="304">
        <f t="shared" ca="1" si="387"/>
        <v>4.908145923565427</v>
      </c>
      <c r="G841" s="306">
        <f t="shared" ca="1" si="388"/>
        <v>12.80305086069022</v>
      </c>
      <c r="H841" s="307">
        <f t="shared" ca="1" si="389"/>
        <v>-127.78108659462788</v>
      </c>
      <c r="I841" s="304">
        <f t="shared" ca="1" si="390"/>
        <v>128.42088694073564</v>
      </c>
      <c r="J841" s="306">
        <f t="shared" ca="1" si="391"/>
        <v>739.05799019387473</v>
      </c>
      <c r="K841" s="307">
        <f t="shared" ca="1" si="392"/>
        <v>1566.1955031612115</v>
      </c>
      <c r="L841" s="304">
        <f t="shared" ca="1" si="377"/>
        <v>1731.8126535488213</v>
      </c>
      <c r="M841" s="306">
        <f t="shared" ca="1" si="393"/>
        <v>-1.4709344158815829</v>
      </c>
      <c r="N841" s="304">
        <f t="shared" ca="1" si="394"/>
        <v>-84.278333970555707</v>
      </c>
      <c r="P841" s="310">
        <f t="shared" ca="1" si="395"/>
        <v>23</v>
      </c>
      <c r="Q841" s="304">
        <f t="shared" ca="1" si="396"/>
        <v>0</v>
      </c>
      <c r="R841" s="306">
        <f t="shared" ca="1" si="397"/>
        <v>0</v>
      </c>
      <c r="S841" s="307">
        <f t="shared" ca="1" si="398"/>
        <v>9.137999999999975</v>
      </c>
      <c r="T841" s="304">
        <f t="shared" ca="1" si="378"/>
        <v>89.643779999999765</v>
      </c>
      <c r="U841" s="311">
        <f t="shared" ca="1" si="379"/>
        <v>0</v>
      </c>
      <c r="V841" s="306">
        <f t="shared" ca="1" si="380"/>
        <v>1.0470743671649221</v>
      </c>
      <c r="W841" s="304">
        <f t="shared" ca="1" si="381"/>
        <v>45.652415538726572</v>
      </c>
      <c r="Y841" s="314" t="str">
        <f t="shared" ca="1" si="399"/>
        <v/>
      </c>
      <c r="Z841" s="315" t="str">
        <f t="shared" ca="1" si="400"/>
        <v/>
      </c>
      <c r="AA841" s="316" t="str">
        <f t="shared" ca="1" si="401"/>
        <v/>
      </c>
      <c r="AC841" s="310" t="e">
        <f t="shared" ca="1" si="402"/>
        <v>#N/A</v>
      </c>
      <c r="AD841" s="323" t="e">
        <f t="shared" ca="1" si="403"/>
        <v>#N/A</v>
      </c>
      <c r="AE841" s="324" t="e">
        <f t="shared" ca="1" si="382"/>
        <v>#N/A</v>
      </c>
      <c r="AG841" s="306">
        <f t="shared" ca="1" si="404"/>
        <v>4.8081877727033726</v>
      </c>
      <c r="AH841" s="304">
        <f t="shared" ca="1" si="405"/>
        <v>-4.9521848252337728</v>
      </c>
    </row>
    <row r="842" spans="1:34" x14ac:dyDescent="0.2">
      <c r="A842" s="347">
        <f t="shared" ca="1" si="383"/>
        <v>0.1</v>
      </c>
      <c r="B842" s="304">
        <f t="shared" ca="1" si="384"/>
        <v>38.800000000000217</v>
      </c>
      <c r="D842" s="306">
        <f t="shared" ca="1" si="385"/>
        <v>-0.49807003412723139</v>
      </c>
      <c r="E842" s="307">
        <f t="shared" ca="1" si="386"/>
        <v>-4.8390027858586562</v>
      </c>
      <c r="F842" s="304">
        <f t="shared" ca="1" si="387"/>
        <v>4.8645679890863214</v>
      </c>
      <c r="G842" s="306">
        <f t="shared" ca="1" si="388"/>
        <v>12.753243857277496</v>
      </c>
      <c r="H842" s="307">
        <f t="shared" ca="1" si="389"/>
        <v>-128.26498687321376</v>
      </c>
      <c r="I842" s="304">
        <f t="shared" ca="1" si="390"/>
        <v>128.89744794397166</v>
      </c>
      <c r="J842" s="306">
        <f t="shared" ca="1" si="391"/>
        <v>740.33580492977308</v>
      </c>
      <c r="K842" s="307">
        <f t="shared" ca="1" si="392"/>
        <v>1553.3931994878194</v>
      </c>
      <c r="L842" s="304">
        <f t="shared" ca="1" si="377"/>
        <v>1720.7927057830118</v>
      </c>
      <c r="M842" s="306">
        <f t="shared" ca="1" si="393"/>
        <v>-1.4716931725762281</v>
      </c>
      <c r="N842" s="304">
        <f t="shared" ca="1" si="394"/>
        <v>-84.321807526836182</v>
      </c>
      <c r="P842" s="310">
        <f t="shared" ca="1" si="395"/>
        <v>23</v>
      </c>
      <c r="Q842" s="304">
        <f t="shared" ca="1" si="396"/>
        <v>0</v>
      </c>
      <c r="R842" s="306">
        <f t="shared" ca="1" si="397"/>
        <v>0</v>
      </c>
      <c r="S842" s="307">
        <f t="shared" ca="1" si="398"/>
        <v>9.137999999999975</v>
      </c>
      <c r="T842" s="304">
        <f t="shared" ca="1" si="378"/>
        <v>89.643779999999765</v>
      </c>
      <c r="U842" s="311">
        <f t="shared" ca="1" si="379"/>
        <v>0</v>
      </c>
      <c r="V842" s="306">
        <f t="shared" ca="1" si="380"/>
        <v>1.0484239359194916</v>
      </c>
      <c r="W842" s="304">
        <f t="shared" ca="1" si="381"/>
        <v>46.051148797305615</v>
      </c>
      <c r="Y842" s="314" t="str">
        <f t="shared" ca="1" si="399"/>
        <v/>
      </c>
      <c r="Z842" s="315" t="str">
        <f t="shared" ca="1" si="400"/>
        <v/>
      </c>
      <c r="AA842" s="316" t="str">
        <f t="shared" ca="1" si="401"/>
        <v/>
      </c>
      <c r="AC842" s="310" t="e">
        <f t="shared" ca="1" si="402"/>
        <v>#N/A</v>
      </c>
      <c r="AD842" s="323" t="e">
        <f t="shared" ca="1" si="403"/>
        <v>#N/A</v>
      </c>
      <c r="AE842" s="324" t="e">
        <f t="shared" ca="1" si="382"/>
        <v>#N/A</v>
      </c>
      <c r="AG842" s="306">
        <f t="shared" ca="1" si="404"/>
        <v>4.7652389935193531</v>
      </c>
      <c r="AH842" s="304">
        <f t="shared" ca="1" si="405"/>
        <v>-4.9958870145246985</v>
      </c>
    </row>
    <row r="843" spans="1:34" x14ac:dyDescent="0.2">
      <c r="A843" s="347">
        <f t="shared" ca="1" si="383"/>
        <v>0.1</v>
      </c>
      <c r="B843" s="304">
        <f t="shared" ca="1" si="384"/>
        <v>38.900000000000219</v>
      </c>
      <c r="D843" s="306">
        <f t="shared" ca="1" si="385"/>
        <v>-0.49861536822700075</v>
      </c>
      <c r="E843" s="307">
        <f t="shared" ca="1" si="386"/>
        <v>-4.7952057738295526</v>
      </c>
      <c r="F843" s="304">
        <f t="shared" ca="1" si="387"/>
        <v>4.8210596033237785</v>
      </c>
      <c r="G843" s="306">
        <f t="shared" ca="1" si="388"/>
        <v>12.703382320454796</v>
      </c>
      <c r="H843" s="307">
        <f t="shared" ca="1" si="389"/>
        <v>-128.7445074505967</v>
      </c>
      <c r="I843" s="304">
        <f t="shared" ca="1" si="390"/>
        <v>129.36971871762105</v>
      </c>
      <c r="J843" s="306">
        <f t="shared" ca="1" si="391"/>
        <v>741.60863623865964</v>
      </c>
      <c r="K843" s="307">
        <f t="shared" ca="1" si="392"/>
        <v>1540.5427247716289</v>
      </c>
      <c r="L843" s="304">
        <f t="shared" ca="1" si="377"/>
        <v>1709.7529810445014</v>
      </c>
      <c r="M843" s="306">
        <f t="shared" ca="1" si="393"/>
        <v>-1.4724434342462811</v>
      </c>
      <c r="N843" s="304">
        <f t="shared" ca="1" si="394"/>
        <v>-84.364794354060649</v>
      </c>
      <c r="P843" s="310">
        <f t="shared" ca="1" si="395"/>
        <v>23</v>
      </c>
      <c r="Q843" s="304">
        <f t="shared" ca="1" si="396"/>
        <v>0</v>
      </c>
      <c r="R843" s="306">
        <f t="shared" ca="1" si="397"/>
        <v>0</v>
      </c>
      <c r="S843" s="307">
        <f t="shared" ca="1" si="398"/>
        <v>9.137999999999975</v>
      </c>
      <c r="T843" s="304">
        <f t="shared" ca="1" si="378"/>
        <v>89.643779999999765</v>
      </c>
      <c r="U843" s="311">
        <f t="shared" ca="1" si="379"/>
        <v>0</v>
      </c>
      <c r="V843" s="306">
        <f t="shared" ca="1" si="380"/>
        <v>1.0497801959348958</v>
      </c>
      <c r="W843" s="304">
        <f t="shared" ca="1" si="381"/>
        <v>46.449232983369825</v>
      </c>
      <c r="Y843" s="314" t="str">
        <f t="shared" ca="1" si="399"/>
        <v/>
      </c>
      <c r="Z843" s="315" t="str">
        <f t="shared" ca="1" si="400"/>
        <v/>
      </c>
      <c r="AA843" s="316" t="str">
        <f t="shared" ca="1" si="401"/>
        <v/>
      </c>
      <c r="AC843" s="310" t="e">
        <f t="shared" ca="1" si="402"/>
        <v>#N/A</v>
      </c>
      <c r="AD843" s="323" t="e">
        <f t="shared" ca="1" si="403"/>
        <v>#N/A</v>
      </c>
      <c r="AE843" s="324" t="e">
        <f t="shared" ca="1" si="382"/>
        <v>#N/A</v>
      </c>
      <c r="AG843" s="306">
        <f t="shared" ca="1" si="404"/>
        <v>4.7223436302416664</v>
      </c>
      <c r="AH843" s="304">
        <f t="shared" ca="1" si="405"/>
        <v>-5.0395216455795291</v>
      </c>
    </row>
    <row r="844" spans="1:34" x14ac:dyDescent="0.2">
      <c r="A844" s="347">
        <f t="shared" ca="1" si="383"/>
        <v>0.1</v>
      </c>
      <c r="B844" s="304">
        <f t="shared" ca="1" si="384"/>
        <v>39.00000000000022</v>
      </c>
      <c r="D844" s="306">
        <f t="shared" ca="1" si="385"/>
        <v>-0.49913052215783549</v>
      </c>
      <c r="E844" s="307">
        <f t="shared" ca="1" si="386"/>
        <v>-4.7514800241587141</v>
      </c>
      <c r="F844" s="304">
        <f t="shared" ca="1" si="387"/>
        <v>4.7776242734364169</v>
      </c>
      <c r="G844" s="306">
        <f t="shared" ca="1" si="388"/>
        <v>12.653469268239013</v>
      </c>
      <c r="H844" s="307">
        <f t="shared" ca="1" si="389"/>
        <v>-129.21965545301256</v>
      </c>
      <c r="I844" s="304">
        <f t="shared" ca="1" si="390"/>
        <v>129.83770500096475</v>
      </c>
      <c r="J844" s="306">
        <f t="shared" ca="1" si="391"/>
        <v>742.87647881809437</v>
      </c>
      <c r="K844" s="307">
        <f t="shared" ca="1" si="392"/>
        <v>1527.6445166264484</v>
      </c>
      <c r="L844" s="304">
        <f t="shared" ca="1" si="377"/>
        <v>1698.6945670013858</v>
      </c>
      <c r="M844" s="306">
        <f t="shared" ca="1" si="393"/>
        <v>-1.4731853506130774</v>
      </c>
      <c r="N844" s="304">
        <f t="shared" ca="1" si="394"/>
        <v>-84.407303030629762</v>
      </c>
      <c r="P844" s="310">
        <f t="shared" ca="1" si="395"/>
        <v>23</v>
      </c>
      <c r="Q844" s="304">
        <f t="shared" ca="1" si="396"/>
        <v>0</v>
      </c>
      <c r="R844" s="306">
        <f t="shared" ca="1" si="397"/>
        <v>0</v>
      </c>
      <c r="S844" s="307">
        <f t="shared" ca="1" si="398"/>
        <v>9.137999999999975</v>
      </c>
      <c r="T844" s="304">
        <f t="shared" ca="1" si="378"/>
        <v>89.643779999999765</v>
      </c>
      <c r="U844" s="311">
        <f t="shared" ca="1" si="379"/>
        <v>0</v>
      </c>
      <c r="V844" s="306">
        <f t="shared" ca="1" si="380"/>
        <v>1.0511431220287859</v>
      </c>
      <c r="W844" s="304">
        <f t="shared" ca="1" si="381"/>
        <v>46.846636751277899</v>
      </c>
      <c r="Y844" s="314" t="str">
        <f t="shared" ca="1" si="399"/>
        <v/>
      </c>
      <c r="Z844" s="315" t="str">
        <f t="shared" ca="1" si="400"/>
        <v/>
      </c>
      <c r="AA844" s="316" t="str">
        <f t="shared" ca="1" si="401"/>
        <v/>
      </c>
      <c r="AC844" s="310">
        <f t="shared" ca="1" si="402"/>
        <v>39.00000000000022</v>
      </c>
      <c r="AD844" s="323">
        <f t="shared" ca="1" si="403"/>
        <v>742.87647881809437</v>
      </c>
      <c r="AE844" s="324" t="e">
        <f t="shared" ca="1" si="382"/>
        <v>#N/A</v>
      </c>
      <c r="AG844" s="306">
        <f t="shared" ca="1" si="404"/>
        <v>4.6795054941896987</v>
      </c>
      <c r="AH844" s="304">
        <f t="shared" ca="1" si="405"/>
        <v>-5.0830852465933409</v>
      </c>
    </row>
    <row r="845" spans="1:34" x14ac:dyDescent="0.2">
      <c r="A845" s="347">
        <f t="shared" ca="1" si="383"/>
        <v>0.1</v>
      </c>
      <c r="B845" s="304">
        <f t="shared" ca="1" si="384"/>
        <v>39.100000000000222</v>
      </c>
      <c r="D845" s="306">
        <f t="shared" ca="1" si="385"/>
        <v>-0.49961566604046748</v>
      </c>
      <c r="E845" s="307">
        <f t="shared" ca="1" si="386"/>
        <v>-4.7078289782766127</v>
      </c>
      <c r="F845" s="304">
        <f t="shared" ca="1" si="387"/>
        <v>4.7342654659887922</v>
      </c>
      <c r="G845" s="306">
        <f t="shared" ca="1" si="388"/>
        <v>12.603507701634966</v>
      </c>
      <c r="H845" s="307">
        <f t="shared" ca="1" si="389"/>
        <v>-129.69043835084022</v>
      </c>
      <c r="I845" s="304">
        <f t="shared" ca="1" si="390"/>
        <v>130.30141290875653</v>
      </c>
      <c r="J845" s="306">
        <f t="shared" ca="1" si="391"/>
        <v>744.13932766658809</v>
      </c>
      <c r="K845" s="307">
        <f t="shared" ca="1" si="392"/>
        <v>1514.6990119362558</v>
      </c>
      <c r="L845" s="304">
        <f t="shared" ca="1" si="377"/>
        <v>1687.6185693872746</v>
      </c>
      <c r="M845" s="306">
        <f t="shared" ca="1" si="393"/>
        <v>-1.4739190678226122</v>
      </c>
      <c r="N845" s="304">
        <f t="shared" ca="1" si="394"/>
        <v>-84.449341930092217</v>
      </c>
      <c r="P845" s="310">
        <f t="shared" ca="1" si="395"/>
        <v>23</v>
      </c>
      <c r="Q845" s="304">
        <f t="shared" ca="1" si="396"/>
        <v>0</v>
      </c>
      <c r="R845" s="306">
        <f t="shared" ca="1" si="397"/>
        <v>0</v>
      </c>
      <c r="S845" s="307">
        <f t="shared" ca="1" si="398"/>
        <v>9.137999999999975</v>
      </c>
      <c r="T845" s="304">
        <f t="shared" ca="1" si="378"/>
        <v>89.643779999999765</v>
      </c>
      <c r="U845" s="311">
        <f t="shared" ca="1" si="379"/>
        <v>0</v>
      </c>
      <c r="V845" s="306">
        <f t="shared" ca="1" si="380"/>
        <v>1.0525126890139167</v>
      </c>
      <c r="W845" s="304">
        <f t="shared" ca="1" si="381"/>
        <v>47.243329137748255</v>
      </c>
      <c r="Y845" s="314" t="str">
        <f t="shared" ca="1" si="399"/>
        <v/>
      </c>
      <c r="Z845" s="315" t="str">
        <f t="shared" ca="1" si="400"/>
        <v/>
      </c>
      <c r="AA845" s="316" t="str">
        <f t="shared" ca="1" si="401"/>
        <v/>
      </c>
      <c r="AC845" s="310" t="e">
        <f t="shared" ca="1" si="402"/>
        <v>#N/A</v>
      </c>
      <c r="AD845" s="323" t="e">
        <f t="shared" ca="1" si="403"/>
        <v>#N/A</v>
      </c>
      <c r="AE845" s="324" t="e">
        <f t="shared" ca="1" si="382"/>
        <v>#N/A</v>
      </c>
      <c r="AG845" s="306">
        <f t="shared" ca="1" si="404"/>
        <v>4.6367283450055199</v>
      </c>
      <c r="AH845" s="304">
        <f t="shared" ca="1" si="405"/>
        <v>-5.126574387314295</v>
      </c>
    </row>
    <row r="846" spans="1:34" x14ac:dyDescent="0.2">
      <c r="A846" s="347">
        <f t="shared" ca="1" si="383"/>
        <v>0.1</v>
      </c>
      <c r="B846" s="304">
        <f t="shared" ca="1" si="384"/>
        <v>39.200000000000223</v>
      </c>
      <c r="D846" s="306">
        <f t="shared" ca="1" si="385"/>
        <v>-0.50007097292528113</v>
      </c>
      <c r="E846" s="307">
        <f t="shared" ca="1" si="386"/>
        <v>-4.6642560356592035</v>
      </c>
      <c r="F846" s="304">
        <f t="shared" ca="1" si="387"/>
        <v>4.6909866066900836</v>
      </c>
      <c r="G846" s="306">
        <f t="shared" ca="1" si="388"/>
        <v>12.553500604342437</v>
      </c>
      <c r="H846" s="307">
        <f t="shared" ca="1" si="389"/>
        <v>-130.15686395440613</v>
      </c>
      <c r="I846" s="304">
        <f t="shared" ca="1" si="390"/>
        <v>130.7608489260796</v>
      </c>
      <c r="J846" s="306">
        <f t="shared" ca="1" si="391"/>
        <v>745.39717808188698</v>
      </c>
      <c r="K846" s="307">
        <f t="shared" ca="1" si="392"/>
        <v>1501.7066468209935</v>
      </c>
      <c r="L846" s="304">
        <f t="shared" ca="1" si="377"/>
        <v>1676.5261125907919</v>
      </c>
      <c r="M846" s="306">
        <f t="shared" ca="1" si="393"/>
        <v>-1.4746447285506792</v>
      </c>
      <c r="N846" s="304">
        <f t="shared" ca="1" si="394"/>
        <v>-84.490919227168845</v>
      </c>
      <c r="P846" s="310">
        <f t="shared" ca="1" si="395"/>
        <v>23</v>
      </c>
      <c r="Q846" s="304">
        <f t="shared" ca="1" si="396"/>
        <v>0</v>
      </c>
      <c r="R846" s="306">
        <f t="shared" ca="1" si="397"/>
        <v>0</v>
      </c>
      <c r="S846" s="307">
        <f t="shared" ca="1" si="398"/>
        <v>9.137999999999975</v>
      </c>
      <c r="T846" s="304">
        <f t="shared" ca="1" si="378"/>
        <v>89.643779999999765</v>
      </c>
      <c r="U846" s="311">
        <f t="shared" ca="1" si="379"/>
        <v>0</v>
      </c>
      <c r="V846" s="306">
        <f t="shared" ca="1" si="380"/>
        <v>1.0538888717000801</v>
      </c>
      <c r="W846" s="304">
        <f t="shared" ca="1" si="381"/>
        <v>47.639279564375187</v>
      </c>
      <c r="Y846" s="314" t="str">
        <f t="shared" ca="1" si="399"/>
        <v/>
      </c>
      <c r="Z846" s="315" t="str">
        <f t="shared" ca="1" si="400"/>
        <v/>
      </c>
      <c r="AA846" s="316" t="str">
        <f t="shared" ca="1" si="401"/>
        <v/>
      </c>
      <c r="AC846" s="310" t="e">
        <f t="shared" ca="1" si="402"/>
        <v>#N/A</v>
      </c>
      <c r="AD846" s="323" t="e">
        <f t="shared" ca="1" si="403"/>
        <v>#N/A</v>
      </c>
      <c r="AE846" s="324" t="e">
        <f t="shared" ca="1" si="382"/>
        <v>#N/A</v>
      </c>
      <c r="AG846" s="306">
        <f t="shared" ca="1" si="404"/>
        <v>4.5940158907236155</v>
      </c>
      <c r="AH846" s="304">
        <f t="shared" ca="1" si="405"/>
        <v>-5.1699856793333749</v>
      </c>
    </row>
    <row r="847" spans="1:34" x14ac:dyDescent="0.2">
      <c r="A847" s="347">
        <f t="shared" ca="1" si="383"/>
        <v>0.1</v>
      </c>
      <c r="B847" s="304">
        <f t="shared" ca="1" si="384"/>
        <v>39.300000000000225</v>
      </c>
      <c r="D847" s="306">
        <f t="shared" ca="1" si="385"/>
        <v>-0.500496618725356</v>
      </c>
      <c r="E847" s="307">
        <f t="shared" ca="1" si="386"/>
        <v>-4.6207645535507007</v>
      </c>
      <c r="F847" s="304">
        <f t="shared" ca="1" si="387"/>
        <v>4.647791080148302</v>
      </c>
      <c r="G847" s="306">
        <f t="shared" ca="1" si="388"/>
        <v>12.503450942469902</v>
      </c>
      <c r="H847" s="307">
        <f t="shared" ca="1" si="389"/>
        <v>-130.61894040976119</v>
      </c>
      <c r="I847" s="304">
        <f t="shared" ca="1" si="390"/>
        <v>131.2160199032096</v>
      </c>
      <c r="J847" s="306">
        <f t="shared" ca="1" si="391"/>
        <v>746.65002565922759</v>
      </c>
      <c r="K847" s="307">
        <f t="shared" ca="1" si="392"/>
        <v>1488.6678566027852</v>
      </c>
      <c r="L847" s="304">
        <f t="shared" ca="1" si="377"/>
        <v>1665.4183402674705</v>
      </c>
      <c r="M847" s="306">
        <f t="shared" ca="1" si="393"/>
        <v>-1.4753624721043428</v>
      </c>
      <c r="N847" s="304">
        <f t="shared" ca="1" si="394"/>
        <v>-84.532042903566492</v>
      </c>
      <c r="P847" s="310">
        <f t="shared" ca="1" si="395"/>
        <v>23</v>
      </c>
      <c r="Q847" s="304">
        <f t="shared" ca="1" si="396"/>
        <v>0</v>
      </c>
      <c r="R847" s="306">
        <f t="shared" ca="1" si="397"/>
        <v>0</v>
      </c>
      <c r="S847" s="307">
        <f t="shared" ca="1" si="398"/>
        <v>9.137999999999975</v>
      </c>
      <c r="T847" s="304">
        <f t="shared" ca="1" si="378"/>
        <v>89.643779999999765</v>
      </c>
      <c r="U847" s="311">
        <f t="shared" ca="1" si="379"/>
        <v>0</v>
      </c>
      <c r="V847" s="306">
        <f t="shared" ca="1" si="380"/>
        <v>1.0552716448960264</v>
      </c>
      <c r="W847" s="304">
        <f t="shared" ca="1" si="381"/>
        <v>48.034457840014191</v>
      </c>
      <c r="Y847" s="314" t="str">
        <f t="shared" ca="1" si="399"/>
        <v/>
      </c>
      <c r="Z847" s="315" t="str">
        <f t="shared" ca="1" si="400"/>
        <v/>
      </c>
      <c r="AA847" s="316" t="str">
        <f t="shared" ca="1" si="401"/>
        <v/>
      </c>
      <c r="AC847" s="310" t="e">
        <f t="shared" ca="1" si="402"/>
        <v>#N/A</v>
      </c>
      <c r="AD847" s="323" t="e">
        <f t="shared" ca="1" si="403"/>
        <v>#N/A</v>
      </c>
      <c r="AE847" s="324" t="e">
        <f t="shared" ca="1" si="382"/>
        <v>#N/A</v>
      </c>
      <c r="AG847" s="306">
        <f t="shared" ca="1" si="404"/>
        <v>4.5513717878402575</v>
      </c>
      <c r="AH847" s="304">
        <f t="shared" ca="1" si="405"/>
        <v>-5.2133157763597415</v>
      </c>
    </row>
    <row r="848" spans="1:34" x14ac:dyDescent="0.2">
      <c r="A848" s="347">
        <f t="shared" ca="1" si="383"/>
        <v>0.1</v>
      </c>
      <c r="B848" s="304">
        <f t="shared" ca="1" si="384"/>
        <v>39.400000000000226</v>
      </c>
      <c r="D848" s="306">
        <f t="shared" ca="1" si="385"/>
        <v>-0.50089278214959154</v>
      </c>
      <c r="E848" s="307">
        <f t="shared" ca="1" si="386"/>
        <v>-4.5773578467007701</v>
      </c>
      <c r="F848" s="304">
        <f t="shared" ca="1" si="387"/>
        <v>4.6046822296400292</v>
      </c>
      <c r="G848" s="306">
        <f t="shared" ca="1" si="388"/>
        <v>12.453361664254944</v>
      </c>
      <c r="H848" s="307">
        <f t="shared" ca="1" si="389"/>
        <v>-131.07667619443126</v>
      </c>
      <c r="I848" s="304">
        <f t="shared" ca="1" si="390"/>
        <v>131.66693305048355</v>
      </c>
      <c r="J848" s="306">
        <f t="shared" ca="1" si="391"/>
        <v>747.89786628956381</v>
      </c>
      <c r="K848" s="307">
        <f t="shared" ca="1" si="392"/>
        <v>1475.5830757725755</v>
      </c>
      <c r="L848" s="304">
        <f t="shared" ca="1" si="377"/>
        <v>1654.2964159747603</v>
      </c>
      <c r="M848" s="306">
        <f t="shared" ca="1" si="393"/>
        <v>-1.4760724345198886</v>
      </c>
      <c r="N848" s="304">
        <f t="shared" ca="1" si="394"/>
        <v>-84.572720753590175</v>
      </c>
      <c r="P848" s="310">
        <f t="shared" ca="1" si="395"/>
        <v>23</v>
      </c>
      <c r="Q848" s="304">
        <f t="shared" ca="1" si="396"/>
        <v>0</v>
      </c>
      <c r="R848" s="306">
        <f t="shared" ca="1" si="397"/>
        <v>0</v>
      </c>
      <c r="S848" s="307">
        <f t="shared" ca="1" si="398"/>
        <v>9.137999999999975</v>
      </c>
      <c r="T848" s="304">
        <f t="shared" ca="1" si="378"/>
        <v>89.643779999999765</v>
      </c>
      <c r="U848" s="311">
        <f t="shared" ca="1" si="379"/>
        <v>0</v>
      </c>
      <c r="V848" s="306">
        <f t="shared" ca="1" si="380"/>
        <v>1.0566609834113783</v>
      </c>
      <c r="W848" s="304">
        <f t="shared" ca="1" si="381"/>
        <v>48.428834163036768</v>
      </c>
      <c r="Y848" s="314" t="str">
        <f t="shared" ca="1" si="399"/>
        <v/>
      </c>
      <c r="Z848" s="315" t="str">
        <f t="shared" ca="1" si="400"/>
        <v/>
      </c>
      <c r="AA848" s="316" t="str">
        <f t="shared" ca="1" si="401"/>
        <v/>
      </c>
      <c r="AC848" s="310" t="e">
        <f t="shared" ca="1" si="402"/>
        <v>#N/A</v>
      </c>
      <c r="AD848" s="323" t="e">
        <f t="shared" ca="1" si="403"/>
        <v>#N/A</v>
      </c>
      <c r="AE848" s="324" t="e">
        <f t="shared" ca="1" si="382"/>
        <v>#N/A</v>
      </c>
      <c r="AG848" s="306">
        <f t="shared" ca="1" si="404"/>
        <v>4.5087996413831535</v>
      </c>
      <c r="AH848" s="304">
        <f t="shared" ca="1" si="405"/>
        <v>-5.2565613744817599</v>
      </c>
    </row>
    <row r="849" spans="1:34" x14ac:dyDescent="0.2">
      <c r="A849" s="347">
        <f t="shared" ca="1" si="383"/>
        <v>0.1</v>
      </c>
      <c r="B849" s="304">
        <f t="shared" ca="1" si="384"/>
        <v>39.500000000000227</v>
      </c>
      <c r="D849" s="306">
        <f t="shared" ca="1" si="385"/>
        <v>-0.50125964463593553</v>
      </c>
      <c r="E849" s="307">
        <f t="shared" ca="1" si="386"/>
        <v>-4.534039187116063</v>
      </c>
      <c r="F849" s="304">
        <f t="shared" ca="1" si="387"/>
        <v>4.5616633568956653</v>
      </c>
      <c r="G849" s="306">
        <f t="shared" ca="1" si="388"/>
        <v>12.403235699791351</v>
      </c>
      <c r="H849" s="307">
        <f t="shared" ca="1" si="389"/>
        <v>-131.53008011314287</v>
      </c>
      <c r="I849" s="304">
        <f t="shared" ca="1" si="390"/>
        <v>132.11359593317547</v>
      </c>
      <c r="J849" s="306">
        <f t="shared" ca="1" si="391"/>
        <v>749.14069615776611</v>
      </c>
      <c r="K849" s="307">
        <f t="shared" ca="1" si="392"/>
        <v>1462.4527379571969</v>
      </c>
      <c r="L849" s="304">
        <f t="shared" ca="1" si="377"/>
        <v>1643.1615238308873</v>
      </c>
      <c r="M849" s="306">
        <f t="shared" ca="1" si="393"/>
        <v>-1.476774748657395</v>
      </c>
      <c r="N849" s="304">
        <f t="shared" ca="1" si="394"/>
        <v>-84.612960389561664</v>
      </c>
      <c r="P849" s="310">
        <f t="shared" ca="1" si="395"/>
        <v>23</v>
      </c>
      <c r="Q849" s="304">
        <f t="shared" ca="1" si="396"/>
        <v>0</v>
      </c>
      <c r="R849" s="306">
        <f t="shared" ca="1" si="397"/>
        <v>0</v>
      </c>
      <c r="S849" s="307">
        <f t="shared" ca="1" si="398"/>
        <v>9.137999999999975</v>
      </c>
      <c r="T849" s="304">
        <f t="shared" ca="1" si="378"/>
        <v>89.643779999999765</v>
      </c>
      <c r="U849" s="311">
        <f t="shared" ca="1" si="379"/>
        <v>0</v>
      </c>
      <c r="V849" s="306">
        <f t="shared" ca="1" si="380"/>
        <v>1.0580568620585271</v>
      </c>
      <c r="W849" s="304">
        <f t="shared" ca="1" si="381"/>
        <v>48.822379123455526</v>
      </c>
      <c r="Y849" s="314" t="str">
        <f t="shared" ca="1" si="399"/>
        <v/>
      </c>
      <c r="Z849" s="315" t="str">
        <f t="shared" ca="1" si="400"/>
        <v/>
      </c>
      <c r="AA849" s="316" t="str">
        <f t="shared" ca="1" si="401"/>
        <v/>
      </c>
      <c r="AC849" s="310" t="e">
        <f t="shared" ca="1" si="402"/>
        <v>#N/A</v>
      </c>
      <c r="AD849" s="323" t="e">
        <f t="shared" ca="1" si="403"/>
        <v>#N/A</v>
      </c>
      <c r="AE849" s="324" t="e">
        <f t="shared" ca="1" si="382"/>
        <v>#N/A</v>
      </c>
      <c r="AG849" s="306">
        <f t="shared" ca="1" si="404"/>
        <v>4.466303004981917</v>
      </c>
      <c r="AH849" s="304">
        <f t="shared" ca="1" si="405"/>
        <v>-5.2997192124137555</v>
      </c>
    </row>
    <row r="850" spans="1:34" x14ac:dyDescent="0.2">
      <c r="A850" s="347">
        <f t="shared" ca="1" si="383"/>
        <v>0.1</v>
      </c>
      <c r="B850" s="304">
        <f t="shared" ca="1" si="384"/>
        <v>39.600000000000229</v>
      </c>
      <c r="D850" s="306">
        <f t="shared" ca="1" si="385"/>
        <v>-0.50159739028472694</v>
      </c>
      <c r="E850" s="307">
        <f t="shared" ca="1" si="386"/>
        <v>-4.4908118038260447</v>
      </c>
      <c r="F850" s="304">
        <f t="shared" ca="1" si="387"/>
        <v>4.5187377219001972</v>
      </c>
      <c r="G850" s="306">
        <f t="shared" ca="1" si="388"/>
        <v>12.353075960762878</v>
      </c>
      <c r="H850" s="307">
        <f t="shared" ca="1" si="389"/>
        <v>-131.97916129352546</v>
      </c>
      <c r="I850" s="304">
        <f t="shared" ca="1" si="390"/>
        <v>132.55601646637842</v>
      </c>
      <c r="J850" s="306">
        <f t="shared" ca="1" si="391"/>
        <v>750.37851174079378</v>
      </c>
      <c r="K850" s="307">
        <f t="shared" ca="1" si="392"/>
        <v>1449.2772758868634</v>
      </c>
      <c r="L850" s="304">
        <f t="shared" ca="1" si="377"/>
        <v>1632.01486919831</v>
      </c>
      <c r="M850" s="306">
        <f t="shared" ca="1" si="393"/>
        <v>-1.4774695442920602</v>
      </c>
      <c r="N850" s="304">
        <f t="shared" ca="1" si="394"/>
        <v>-84.652769247052106</v>
      </c>
      <c r="P850" s="310">
        <f t="shared" ca="1" si="395"/>
        <v>23</v>
      </c>
      <c r="Q850" s="304">
        <f t="shared" ca="1" si="396"/>
        <v>0</v>
      </c>
      <c r="R850" s="306">
        <f t="shared" ca="1" si="397"/>
        <v>0</v>
      </c>
      <c r="S850" s="307">
        <f t="shared" ca="1" si="398"/>
        <v>9.137999999999975</v>
      </c>
      <c r="T850" s="304">
        <f t="shared" ca="1" si="378"/>
        <v>89.643779999999765</v>
      </c>
      <c r="U850" s="311">
        <f t="shared" ca="1" si="379"/>
        <v>0</v>
      </c>
      <c r="V850" s="306">
        <f t="shared" ca="1" si="380"/>
        <v>1.0594592556545241</v>
      </c>
      <c r="W850" s="304">
        <f t="shared" ca="1" si="381"/>
        <v>49.215063704920389</v>
      </c>
      <c r="Y850" s="314" t="str">
        <f t="shared" ca="1" si="399"/>
        <v/>
      </c>
      <c r="Z850" s="315" t="str">
        <f t="shared" ca="1" si="400"/>
        <v/>
      </c>
      <c r="AA850" s="316" t="str">
        <f t="shared" ca="1" si="401"/>
        <v/>
      </c>
      <c r="AC850" s="310" t="e">
        <f t="shared" ca="1" si="402"/>
        <v>#N/A</v>
      </c>
      <c r="AD850" s="323" t="e">
        <f t="shared" ca="1" si="403"/>
        <v>#N/A</v>
      </c>
      <c r="AE850" s="324" t="e">
        <f t="shared" ca="1" si="382"/>
        <v>#N/A</v>
      </c>
      <c r="AG850" s="306">
        <f t="shared" ca="1" si="404"/>
        <v>4.4238853809399732</v>
      </c>
      <c r="AH850" s="304">
        <f t="shared" ca="1" si="405"/>
        <v>-5.3427860717285682</v>
      </c>
    </row>
    <row r="851" spans="1:34" x14ac:dyDescent="0.2">
      <c r="A851" s="347">
        <f t="shared" ca="1" si="383"/>
        <v>0.1</v>
      </c>
      <c r="B851" s="304">
        <f t="shared" ca="1" si="384"/>
        <v>39.70000000000023</v>
      </c>
      <c r="D851" s="306">
        <f t="shared" ca="1" si="385"/>
        <v>-0.50190620579217593</v>
      </c>
      <c r="E851" s="307">
        <f t="shared" ca="1" si="386"/>
        <v>-4.4476788826629834</v>
      </c>
      <c r="F851" s="304">
        <f t="shared" ca="1" si="387"/>
        <v>4.4759085427093952</v>
      </c>
      <c r="G851" s="306">
        <f t="shared" ca="1" si="388"/>
        <v>12.302885340183661</v>
      </c>
      <c r="H851" s="307">
        <f t="shared" ca="1" si="389"/>
        <v>-132.42392918179175</v>
      </c>
      <c r="I851" s="304">
        <f t="shared" ca="1" si="390"/>
        <v>132.9942029098934</v>
      </c>
      <c r="J851" s="306">
        <f t="shared" ca="1" si="391"/>
        <v>751.61130980584107</v>
      </c>
      <c r="K851" s="307">
        <f t="shared" ca="1" si="392"/>
        <v>1436.0571213630976</v>
      </c>
      <c r="L851" s="304">
        <f t="shared" ca="1" si="377"/>
        <v>1620.8576793925242</v>
      </c>
      <c r="M851" s="306">
        <f t="shared" ca="1" si="393"/>
        <v>-1.4781569482024139</v>
      </c>
      <c r="N851" s="304">
        <f t="shared" ca="1" si="394"/>
        <v>-84.692154589936152</v>
      </c>
      <c r="P851" s="310">
        <f t="shared" ca="1" si="395"/>
        <v>23</v>
      </c>
      <c r="Q851" s="304">
        <f t="shared" ca="1" si="396"/>
        <v>0</v>
      </c>
      <c r="R851" s="306">
        <f t="shared" ca="1" si="397"/>
        <v>0</v>
      </c>
      <c r="S851" s="307">
        <f t="shared" ca="1" si="398"/>
        <v>9.137999999999975</v>
      </c>
      <c r="T851" s="304">
        <f t="shared" ca="1" si="378"/>
        <v>89.643779999999765</v>
      </c>
      <c r="U851" s="311">
        <f t="shared" ca="1" si="379"/>
        <v>0</v>
      </c>
      <c r="V851" s="306">
        <f t="shared" ca="1" si="380"/>
        <v>1.060868139022954</v>
      </c>
      <c r="W851" s="304">
        <f t="shared" ca="1" si="381"/>
        <v>49.606859286586456</v>
      </c>
      <c r="Y851" s="314" t="str">
        <f t="shared" ca="1" si="399"/>
        <v/>
      </c>
      <c r="Z851" s="315" t="str">
        <f t="shared" ca="1" si="400"/>
        <v/>
      </c>
      <c r="AA851" s="316" t="str">
        <f t="shared" ca="1" si="401"/>
        <v/>
      </c>
      <c r="AC851" s="310" t="e">
        <f t="shared" ca="1" si="402"/>
        <v>#N/A</v>
      </c>
      <c r="AD851" s="323" t="e">
        <f t="shared" ca="1" si="403"/>
        <v>#N/A</v>
      </c>
      <c r="AE851" s="324" t="e">
        <f t="shared" ca="1" si="382"/>
        <v>#N/A</v>
      </c>
      <c r="AG851" s="306">
        <f t="shared" ca="1" si="404"/>
        <v>4.3815502203083385</v>
      </c>
      <c r="AH851" s="304">
        <f t="shared" ca="1" si="405"/>
        <v>-5.3857587770760036</v>
      </c>
    </row>
    <row r="852" spans="1:34" x14ac:dyDescent="0.2">
      <c r="A852" s="347">
        <f t="shared" ca="1" si="383"/>
        <v>0.1</v>
      </c>
      <c r="B852" s="304">
        <f t="shared" ca="1" si="384"/>
        <v>39.800000000000232</v>
      </c>
      <c r="D852" s="306">
        <f t="shared" ca="1" si="385"/>
        <v>-0.50218628038398505</v>
      </c>
      <c r="E852" s="307">
        <f t="shared" ca="1" si="386"/>
        <v>-4.4046435660560714</v>
      </c>
      <c r="F852" s="304">
        <f t="shared" ca="1" si="387"/>
        <v>4.4331789952814953</v>
      </c>
      <c r="G852" s="306">
        <f t="shared" ca="1" si="388"/>
        <v>12.252666712145261</v>
      </c>
      <c r="H852" s="307">
        <f t="shared" ca="1" si="389"/>
        <v>-132.86439353839737</v>
      </c>
      <c r="I852" s="304">
        <f t="shared" ca="1" si="390"/>
        <v>133.42816386312538</v>
      </c>
      <c r="J852" s="306">
        <f t="shared" ca="1" si="391"/>
        <v>752.83908740845754</v>
      </c>
      <c r="K852" s="307">
        <f t="shared" ca="1" si="392"/>
        <v>1422.7927052270882</v>
      </c>
      <c r="L852" s="304">
        <f t="shared" ca="1" si="377"/>
        <v>1609.6912044169885</v>
      </c>
      <c r="M852" s="306">
        <f t="shared" ca="1" si="393"/>
        <v>-1.4788370842555365</v>
      </c>
      <c r="N852" s="304">
        <f t="shared" ca="1" si="394"/>
        <v>-84.73112351527476</v>
      </c>
      <c r="P852" s="310">
        <f t="shared" ca="1" si="395"/>
        <v>23</v>
      </c>
      <c r="Q852" s="304">
        <f t="shared" ca="1" si="396"/>
        <v>0</v>
      </c>
      <c r="R852" s="306">
        <f t="shared" ca="1" si="397"/>
        <v>0</v>
      </c>
      <c r="S852" s="307">
        <f t="shared" ca="1" si="398"/>
        <v>9.137999999999975</v>
      </c>
      <c r="T852" s="304">
        <f t="shared" ca="1" si="378"/>
        <v>89.643779999999765</v>
      </c>
      <c r="U852" s="311">
        <f t="shared" ca="1" si="379"/>
        <v>0</v>
      </c>
      <c r="V852" s="306">
        <f t="shared" ca="1" si="380"/>
        <v>1.0622834869957998</v>
      </c>
      <c r="W852" s="304">
        <f t="shared" ca="1" si="381"/>
        <v>49.997737644854574</v>
      </c>
      <c r="Y852" s="314" t="str">
        <f t="shared" ca="1" si="399"/>
        <v/>
      </c>
      <c r="Z852" s="315" t="str">
        <f t="shared" ca="1" si="400"/>
        <v/>
      </c>
      <c r="AA852" s="316" t="str">
        <f t="shared" ca="1" si="401"/>
        <v/>
      </c>
      <c r="AC852" s="310" t="e">
        <f t="shared" ca="1" si="402"/>
        <v>#N/A</v>
      </c>
      <c r="AD852" s="323" t="e">
        <f t="shared" ca="1" si="403"/>
        <v>#N/A</v>
      </c>
      <c r="AE852" s="324" t="e">
        <f t="shared" ca="1" si="382"/>
        <v>#N/A</v>
      </c>
      <c r="AG852" s="306">
        <f t="shared" ca="1" si="404"/>
        <v>4.3393009229617778</v>
      </c>
      <c r="AH852" s="304">
        <f t="shared" ca="1" si="405"/>
        <v>-5.4286341963872395</v>
      </c>
    </row>
    <row r="853" spans="1:34" x14ac:dyDescent="0.2">
      <c r="A853" s="347">
        <f t="shared" ca="1" si="383"/>
        <v>0.1</v>
      </c>
      <c r="B853" s="304">
        <f t="shared" ca="1" si="384"/>
        <v>39.900000000000233</v>
      </c>
      <c r="D853" s="306">
        <f t="shared" ca="1" si="385"/>
        <v>-0.50243780574913499</v>
      </c>
      <c r="E853" s="307">
        <f t="shared" ca="1" si="386"/>
        <v>-4.361708952839547</v>
      </c>
      <c r="F853" s="304">
        <f t="shared" ca="1" si="387"/>
        <v>4.3905522133242716</v>
      </c>
      <c r="G853" s="306">
        <f t="shared" ca="1" si="388"/>
        <v>12.202422931570348</v>
      </c>
      <c r="H853" s="307">
        <f t="shared" ca="1" si="389"/>
        <v>-133.30056443368133</v>
      </c>
      <c r="I853" s="304">
        <f t="shared" ca="1" si="390"/>
        <v>133.85790825998643</v>
      </c>
      <c r="J853" s="306">
        <f t="shared" ca="1" si="391"/>
        <v>754.06184189064334</v>
      </c>
      <c r="K853" s="307">
        <f t="shared" ca="1" si="392"/>
        <v>1409.4844573284843</v>
      </c>
      <c r="L853" s="304">
        <f t="shared" ca="1" si="377"/>
        <v>1598.5167177249293</v>
      </c>
      <c r="M853" s="306">
        <f t="shared" ca="1" si="393"/>
        <v>-1.4795100734894002</v>
      </c>
      <c r="N853" s="304">
        <f t="shared" ca="1" si="394"/>
        <v>-84.769682958032902</v>
      </c>
      <c r="P853" s="310">
        <f t="shared" ca="1" si="395"/>
        <v>23</v>
      </c>
      <c r="Q853" s="304">
        <f t="shared" ca="1" si="396"/>
        <v>0</v>
      </c>
      <c r="R853" s="306">
        <f t="shared" ca="1" si="397"/>
        <v>0</v>
      </c>
      <c r="S853" s="307">
        <f t="shared" ca="1" si="398"/>
        <v>9.137999999999975</v>
      </c>
      <c r="T853" s="304">
        <f t="shared" ca="1" si="378"/>
        <v>89.643779999999765</v>
      </c>
      <c r="U853" s="311">
        <f t="shared" ca="1" si="379"/>
        <v>0</v>
      </c>
      <c r="V853" s="306">
        <f t="shared" ca="1" si="380"/>
        <v>1.0637052744152962</v>
      </c>
      <c r="W853" s="304">
        <f t="shared" ca="1" si="381"/>
        <v>50.387670954985289</v>
      </c>
      <c r="Y853" s="314" t="str">
        <f t="shared" ca="1" si="399"/>
        <v/>
      </c>
      <c r="Z853" s="315" t="str">
        <f t="shared" ca="1" si="400"/>
        <v/>
      </c>
      <c r="AA853" s="316" t="str">
        <f t="shared" ca="1" si="401"/>
        <v/>
      </c>
      <c r="AC853" s="310" t="e">
        <f t="shared" ca="1" si="402"/>
        <v>#N/A</v>
      </c>
      <c r="AD853" s="323" t="e">
        <f t="shared" ca="1" si="403"/>
        <v>#N/A</v>
      </c>
      <c r="AE853" s="324" t="e">
        <f t="shared" ca="1" si="382"/>
        <v>#N/A</v>
      </c>
      <c r="AG853" s="306">
        <f t="shared" ca="1" si="404"/>
        <v>4.2971408376777811</v>
      </c>
      <c r="AH853" s="304">
        <f t="shared" ca="1" si="405"/>
        <v>-5.4714092410652997</v>
      </c>
    </row>
    <row r="854" spans="1:34" x14ac:dyDescent="0.2">
      <c r="A854" s="347">
        <f t="shared" ca="1" si="383"/>
        <v>0.1</v>
      </c>
      <c r="B854" s="304">
        <f t="shared" ca="1" si="384"/>
        <v>40.000000000000234</v>
      </c>
      <c r="D854" s="306">
        <f t="shared" ca="1" si="385"/>
        <v>-0.5026609759738625</v>
      </c>
      <c r="E854" s="307">
        <f t="shared" ca="1" si="386"/>
        <v>-4.3188780980747357</v>
      </c>
      <c r="F854" s="304">
        <f t="shared" ca="1" si="387"/>
        <v>4.3480312881575083</v>
      </c>
      <c r="G854" s="306">
        <f t="shared" ca="1" si="388"/>
        <v>12.152156833972962</v>
      </c>
      <c r="H854" s="307">
        <f t="shared" ca="1" si="389"/>
        <v>-133.73245224348881</v>
      </c>
      <c r="I854" s="304">
        <f t="shared" ca="1" si="390"/>
        <v>134.28344536380681</v>
      </c>
      <c r="J854" s="306">
        <f t="shared" ca="1" si="391"/>
        <v>755.27957087892048</v>
      </c>
      <c r="K854" s="307">
        <f t="shared" ca="1" si="392"/>
        <v>1396.1328064946258</v>
      </c>
      <c r="L854" s="304">
        <f t="shared" ca="1" si="377"/>
        <v>1587.3355170088039</v>
      </c>
      <c r="M854" s="306">
        <f t="shared" ca="1" si="393"/>
        <v>-1.4801760341924504</v>
      </c>
      <c r="N854" s="304">
        <f t="shared" ca="1" si="394"/>
        <v>-84.807839695639231</v>
      </c>
      <c r="P854" s="310">
        <f t="shared" ca="1" si="395"/>
        <v>23</v>
      </c>
      <c r="Q854" s="304">
        <f t="shared" ca="1" si="396"/>
        <v>0</v>
      </c>
      <c r="R854" s="306">
        <f t="shared" ca="1" si="397"/>
        <v>0</v>
      </c>
      <c r="S854" s="307">
        <f t="shared" ca="1" si="398"/>
        <v>9.137999999999975</v>
      </c>
      <c r="T854" s="304">
        <f t="shared" ca="1" si="378"/>
        <v>89.643779999999765</v>
      </c>
      <c r="U854" s="311">
        <f t="shared" ca="1" si="379"/>
        <v>0</v>
      </c>
      <c r="V854" s="306">
        <f t="shared" ca="1" si="380"/>
        <v>1.0651334761357643</v>
      </c>
      <c r="W854" s="304">
        <f t="shared" ca="1" si="381"/>
        <v>50.776631792586947</v>
      </c>
      <c r="Y854" s="314" t="str">
        <f t="shared" ca="1" si="399"/>
        <v/>
      </c>
      <c r="Z854" s="315" t="str">
        <f t="shared" ca="1" si="400"/>
        <v/>
      </c>
      <c r="AA854" s="316" t="str">
        <f t="shared" ca="1" si="401"/>
        <v/>
      </c>
      <c r="AC854" s="310">
        <f t="shared" ca="1" si="402"/>
        <v>40.000000000000234</v>
      </c>
      <c r="AD854" s="323">
        <f t="shared" ca="1" si="403"/>
        <v>755.27957087892048</v>
      </c>
      <c r="AE854" s="324" t="e">
        <f t="shared" ca="1" si="382"/>
        <v>#N/A</v>
      </c>
      <c r="AG854" s="306">
        <f t="shared" ca="1" si="404"/>
        <v>4.2550732622187404</v>
      </c>
      <c r="AH854" s="304">
        <f t="shared" ca="1" si="405"/>
        <v>-5.5140808661616791</v>
      </c>
    </row>
    <row r="855" spans="1:34" x14ac:dyDescent="0.2">
      <c r="A855" s="347">
        <f t="shared" ca="1" si="383"/>
        <v>0.1</v>
      </c>
      <c r="B855" s="304">
        <f t="shared" ca="1" si="384"/>
        <v>40.100000000000236</v>
      </c>
      <c r="D855" s="306">
        <f t="shared" ca="1" si="385"/>
        <v>-0.50285598747581584</v>
      </c>
      <c r="E855" s="307">
        <f t="shared" ca="1" si="386"/>
        <v>-4.2761540128859474</v>
      </c>
      <c r="F855" s="304">
        <f t="shared" ca="1" si="387"/>
        <v>4.3056192685908572</v>
      </c>
      <c r="G855" s="306">
        <f t="shared" ca="1" si="388"/>
        <v>12.10187123522538</v>
      </c>
      <c r="H855" s="307">
        <f t="shared" ca="1" si="389"/>
        <v>-134.1600676447774</v>
      </c>
      <c r="I855" s="304">
        <f t="shared" ca="1" si="390"/>
        <v>134.70478476225418</v>
      </c>
      <c r="J855" s="306">
        <f t="shared" ca="1" si="391"/>
        <v>756.49227228238044</v>
      </c>
      <c r="K855" s="307">
        <f t="shared" ca="1" si="392"/>
        <v>1382.7381805002126</v>
      </c>
      <c r="L855" s="304">
        <f t="shared" ca="1" si="377"/>
        <v>1576.1489250181905</v>
      </c>
      <c r="M855" s="306">
        <f t="shared" ca="1" si="393"/>
        <v>-1.4808350819805285</v>
      </c>
      <c r="N855" s="304">
        <f t="shared" ca="1" si="394"/>
        <v>-84.845600352393546</v>
      </c>
      <c r="P855" s="310">
        <f t="shared" ca="1" si="395"/>
        <v>23</v>
      </c>
      <c r="Q855" s="304">
        <f t="shared" ca="1" si="396"/>
        <v>0</v>
      </c>
      <c r="R855" s="306">
        <f t="shared" ca="1" si="397"/>
        <v>0</v>
      </c>
      <c r="S855" s="307">
        <f t="shared" ca="1" si="398"/>
        <v>9.137999999999975</v>
      </c>
      <c r="T855" s="304">
        <f t="shared" ca="1" si="378"/>
        <v>89.643779999999765</v>
      </c>
      <c r="U855" s="311">
        <f t="shared" ca="1" si="379"/>
        <v>0</v>
      </c>
      <c r="V855" s="306">
        <f t="shared" ca="1" si="380"/>
        <v>1.0665680670254427</v>
      </c>
      <c r="W855" s="304">
        <f t="shared" ca="1" si="381"/>
        <v>51.164593134979732</v>
      </c>
      <c r="Y855" s="314" t="str">
        <f t="shared" ca="1" si="399"/>
        <v/>
      </c>
      <c r="Z855" s="315" t="str">
        <f t="shared" ca="1" si="400"/>
        <v/>
      </c>
      <c r="AA855" s="316" t="str">
        <f t="shared" ca="1" si="401"/>
        <v/>
      </c>
      <c r="AC855" s="310" t="e">
        <f t="shared" ca="1" si="402"/>
        <v>#N/A</v>
      </c>
      <c r="AD855" s="323" t="e">
        <f t="shared" ca="1" si="403"/>
        <v>#N/A</v>
      </c>
      <c r="AE855" s="324" t="e">
        <f t="shared" ca="1" si="382"/>
        <v>#N/A</v>
      </c>
      <c r="AG855" s="306">
        <f t="shared" ca="1" si="404"/>
        <v>4.2131014434177603</v>
      </c>
      <c r="AH855" s="304">
        <f t="shared" ca="1" si="405"/>
        <v>-5.5566460705391867</v>
      </c>
    </row>
    <row r="856" spans="1:34" x14ac:dyDescent="0.2">
      <c r="A856" s="347">
        <f t="shared" ca="1" si="383"/>
        <v>0.1</v>
      </c>
      <c r="B856" s="304">
        <f t="shared" ca="1" si="384"/>
        <v>40.200000000000237</v>
      </c>
      <c r="D856" s="306">
        <f t="shared" ca="1" si="385"/>
        <v>-0.50302303893843536</v>
      </c>
      <c r="E856" s="307">
        <f t="shared" ca="1" si="386"/>
        <v>-4.2335396643100101</v>
      </c>
      <c r="F856" s="304">
        <f t="shared" ca="1" si="387"/>
        <v>4.2633191608169536</v>
      </c>
      <c r="G856" s="306">
        <f t="shared" ca="1" si="388"/>
        <v>12.051568931331536</v>
      </c>
      <c r="H856" s="307">
        <f t="shared" ca="1" si="389"/>
        <v>-134.58342161120839</v>
      </c>
      <c r="I856" s="304">
        <f t="shared" ca="1" si="390"/>
        <v>135.12193636226098</v>
      </c>
      <c r="J856" s="306">
        <f t="shared" ca="1" si="391"/>
        <v>757.69994429070823</v>
      </c>
      <c r="K856" s="307">
        <f t="shared" ca="1" si="392"/>
        <v>1369.3010060374133</v>
      </c>
      <c r="L856" s="304">
        <f t="shared" ca="1" si="377"/>
        <v>1564.9582904068768</v>
      </c>
      <c r="M856" s="306">
        <f t="shared" ca="1" si="393"/>
        <v>-1.4814873298712417</v>
      </c>
      <c r="N856" s="304">
        <f t="shared" ca="1" si="394"/>
        <v>-84.882971403727723</v>
      </c>
      <c r="P856" s="310">
        <f t="shared" ca="1" si="395"/>
        <v>23</v>
      </c>
      <c r="Q856" s="304">
        <f t="shared" ca="1" si="396"/>
        <v>0</v>
      </c>
      <c r="R856" s="306">
        <f t="shared" ca="1" si="397"/>
        <v>0</v>
      </c>
      <c r="S856" s="307">
        <f t="shared" ca="1" si="398"/>
        <v>9.137999999999975</v>
      </c>
      <c r="T856" s="304">
        <f t="shared" ca="1" si="378"/>
        <v>89.643779999999765</v>
      </c>
      <c r="U856" s="311">
        <f t="shared" ca="1" si="379"/>
        <v>0</v>
      </c>
      <c r="V856" s="306">
        <f t="shared" ca="1" si="380"/>
        <v>1.0680090219682972</v>
      </c>
      <c r="W856" s="304">
        <f t="shared" ca="1" si="381"/>
        <v>51.551528362435114</v>
      </c>
      <c r="Y856" s="314" t="str">
        <f t="shared" ca="1" si="399"/>
        <v/>
      </c>
      <c r="Z856" s="315" t="str">
        <f t="shared" ca="1" si="400"/>
        <v/>
      </c>
      <c r="AA856" s="316" t="str">
        <f t="shared" ca="1" si="401"/>
        <v/>
      </c>
      <c r="AC856" s="310" t="e">
        <f t="shared" ca="1" si="402"/>
        <v>#N/A</v>
      </c>
      <c r="AD856" s="323" t="e">
        <f t="shared" ca="1" si="403"/>
        <v>#N/A</v>
      </c>
      <c r="AE856" s="324" t="e">
        <f t="shared" ca="1" si="382"/>
        <v>#N/A</v>
      </c>
      <c r="AG856" s="306">
        <f t="shared" ca="1" si="404"/>
        <v>4.1712285772683337</v>
      </c>
      <c r="AH856" s="304">
        <f t="shared" ca="1" si="405"/>
        <v>-5.5991018970212156</v>
      </c>
    </row>
    <row r="857" spans="1:34" x14ac:dyDescent="0.2">
      <c r="A857" s="347">
        <f t="shared" ca="1" si="383"/>
        <v>0.1</v>
      </c>
      <c r="B857" s="304">
        <f t="shared" ca="1" si="384"/>
        <v>40.300000000000239</v>
      </c>
      <c r="D857" s="306">
        <f t="shared" ca="1" si="385"/>
        <v>-0.50316233124555831</v>
      </c>
      <c r="E857" s="307">
        <f t="shared" ca="1" si="386"/>
        <v>-4.1910379751595013</v>
      </c>
      <c r="F857" s="304">
        <f t="shared" ca="1" si="387"/>
        <v>4.2211339283199152</v>
      </c>
      <c r="G857" s="306">
        <f t="shared" ca="1" si="388"/>
        <v>12.001252698206979</v>
      </c>
      <c r="H857" s="307">
        <f t="shared" ca="1" si="389"/>
        <v>-135.00252540872435</v>
      </c>
      <c r="I857" s="304">
        <f t="shared" ca="1" si="390"/>
        <v>135.53491038496128</v>
      </c>
      <c r="J857" s="306">
        <f t="shared" ca="1" si="391"/>
        <v>758.90258537218517</v>
      </c>
      <c r="K857" s="307">
        <f t="shared" ca="1" si="392"/>
        <v>1355.8217086864167</v>
      </c>
      <c r="L857" s="304">
        <f t="shared" ca="1" si="377"/>
        <v>1553.7649886099061</v>
      </c>
      <c r="M857" s="306">
        <f t="shared" ca="1" si="393"/>
        <v>-1.4821328883558771</v>
      </c>
      <c r="N857" s="304">
        <f t="shared" ca="1" si="394"/>
        <v>-84.919959180326188</v>
      </c>
      <c r="P857" s="310">
        <f t="shared" ca="1" si="395"/>
        <v>23</v>
      </c>
      <c r="Q857" s="304">
        <f t="shared" ca="1" si="396"/>
        <v>0</v>
      </c>
      <c r="R857" s="306">
        <f t="shared" ca="1" si="397"/>
        <v>0</v>
      </c>
      <c r="S857" s="307">
        <f t="shared" ca="1" si="398"/>
        <v>9.137999999999975</v>
      </c>
      <c r="T857" s="304">
        <f t="shared" ca="1" si="378"/>
        <v>89.643779999999765</v>
      </c>
      <c r="U857" s="311">
        <f t="shared" ca="1" si="379"/>
        <v>0</v>
      </c>
      <c r="V857" s="306">
        <f t="shared" ca="1" si="380"/>
        <v>1.069456315865823</v>
      </c>
      <c r="W857" s="304">
        <f t="shared" ca="1" si="381"/>
        <v>51.937411259293427</v>
      </c>
      <c r="Y857" s="314" t="str">
        <f t="shared" ca="1" si="399"/>
        <v/>
      </c>
      <c r="Z857" s="315" t="str">
        <f t="shared" ca="1" si="400"/>
        <v/>
      </c>
      <c r="AA857" s="316" t="str">
        <f t="shared" ca="1" si="401"/>
        <v/>
      </c>
      <c r="AC857" s="310" t="e">
        <f t="shared" ca="1" si="402"/>
        <v>#N/A</v>
      </c>
      <c r="AD857" s="323" t="e">
        <f t="shared" ca="1" si="403"/>
        <v>#N/A</v>
      </c>
      <c r="AE857" s="324" t="e">
        <f t="shared" ca="1" si="382"/>
        <v>#N/A</v>
      </c>
      <c r="AG857" s="306">
        <f t="shared" ca="1" si="404"/>
        <v>4.1294578090183647</v>
      </c>
      <c r="AH857" s="304">
        <f t="shared" ca="1" si="405"/>
        <v>-5.6414454325273864</v>
      </c>
    </row>
    <row r="858" spans="1:34" x14ac:dyDescent="0.2">
      <c r="A858" s="347">
        <f t="shared" ca="1" si="383"/>
        <v>0.1</v>
      </c>
      <c r="B858" s="304">
        <f t="shared" ca="1" si="384"/>
        <v>40.40000000000024</v>
      </c>
      <c r="D858" s="306">
        <f t="shared" ca="1" si="385"/>
        <v>-0.50327406741626657</v>
      </c>
      <c r="E858" s="307">
        <f t="shared" ca="1" si="386"/>
        <v>-4.1486518238993941</v>
      </c>
      <c r="F858" s="304">
        <f t="shared" ca="1" si="387"/>
        <v>4.1790664917990332</v>
      </c>
      <c r="G858" s="306">
        <f t="shared" ca="1" si="388"/>
        <v>11.950925291465353</v>
      </c>
      <c r="H858" s="307">
        <f t="shared" ca="1" si="389"/>
        <v>-135.4173905911143</v>
      </c>
      <c r="I858" s="304">
        <f t="shared" ca="1" si="390"/>
        <v>135.94371736063641</v>
      </c>
      <c r="J858" s="306">
        <f t="shared" ca="1" si="391"/>
        <v>760.10019427166878</v>
      </c>
      <c r="K858" s="307">
        <f t="shared" ca="1" si="392"/>
        <v>1342.3007128864249</v>
      </c>
      <c r="L858" s="304">
        <f t="shared" ca="1" si="377"/>
        <v>1542.5704227513354</v>
      </c>
      <c r="M858" s="306">
        <f t="shared" ca="1" si="393"/>
        <v>-1.482771865468955</v>
      </c>
      <c r="N858" s="304">
        <f t="shared" ca="1" si="394"/>
        <v>-84.956569872111004</v>
      </c>
      <c r="P858" s="310">
        <f t="shared" ca="1" si="395"/>
        <v>23</v>
      </c>
      <c r="Q858" s="304">
        <f t="shared" ca="1" si="396"/>
        <v>0</v>
      </c>
      <c r="R858" s="306">
        <f t="shared" ca="1" si="397"/>
        <v>0</v>
      </c>
      <c r="S858" s="307">
        <f t="shared" ca="1" si="398"/>
        <v>9.137999999999975</v>
      </c>
      <c r="T858" s="304">
        <f t="shared" ca="1" si="378"/>
        <v>89.643779999999765</v>
      </c>
      <c r="U858" s="311">
        <f t="shared" ca="1" si="379"/>
        <v>0</v>
      </c>
      <c r="V858" s="306">
        <f t="shared" ca="1" si="380"/>
        <v>1.0709099236388291</v>
      </c>
      <c r="W858" s="304">
        <f t="shared" ca="1" si="381"/>
        <v>52.322216014959189</v>
      </c>
      <c r="Y858" s="314" t="str">
        <f t="shared" ca="1" si="399"/>
        <v/>
      </c>
      <c r="Z858" s="315" t="str">
        <f t="shared" ca="1" si="400"/>
        <v/>
      </c>
      <c r="AA858" s="316" t="str">
        <f t="shared" ca="1" si="401"/>
        <v/>
      </c>
      <c r="AC858" s="310" t="e">
        <f t="shared" ca="1" si="402"/>
        <v>#N/A</v>
      </c>
      <c r="AD858" s="323" t="e">
        <f t="shared" ca="1" si="403"/>
        <v>#N/A</v>
      </c>
      <c r="AE858" s="324" t="e">
        <f t="shared" ca="1" si="382"/>
        <v>#N/A</v>
      </c>
      <c r="AG858" s="306">
        <f t="shared" ca="1" si="404"/>
        <v>4.0877922332686829</v>
      </c>
      <c r="AH858" s="304">
        <f t="shared" ca="1" si="405"/>
        <v>-5.683673808195838</v>
      </c>
    </row>
    <row r="859" spans="1:34" x14ac:dyDescent="0.2">
      <c r="A859" s="347">
        <f t="shared" ca="1" si="383"/>
        <v>0.1</v>
      </c>
      <c r="B859" s="304">
        <f t="shared" ca="1" si="384"/>
        <v>40.500000000000242</v>
      </c>
      <c r="D859" s="306">
        <f t="shared" ca="1" si="385"/>
        <v>-0.50335845253998868</v>
      </c>
      <c r="E859" s="307">
        <f t="shared" ca="1" si="386"/>
        <v>-4.1063840445371333</v>
      </c>
      <c r="F859" s="304">
        <f t="shared" ca="1" si="387"/>
        <v>4.1371197291077513</v>
      </c>
      <c r="G859" s="306">
        <f t="shared" ca="1" si="388"/>
        <v>11.900589446211354</v>
      </c>
      <c r="H859" s="307">
        <f t="shared" ca="1" si="389"/>
        <v>-135.82802899556802</v>
      </c>
      <c r="I859" s="304">
        <f t="shared" ca="1" si="390"/>
        <v>136.34836812367115</v>
      </c>
      <c r="J859" s="306">
        <f t="shared" ca="1" si="391"/>
        <v>761.29277000855257</v>
      </c>
      <c r="K859" s="307">
        <f t="shared" ca="1" si="392"/>
        <v>1328.7384419070909</v>
      </c>
      <c r="L859" s="304">
        <f t="shared" ca="1" si="377"/>
        <v>1531.3760245834392</v>
      </c>
      <c r="M859" s="306">
        <f t="shared" ca="1" si="393"/>
        <v>-1.4834043668555086</v>
      </c>
      <c r="N859" s="304">
        <f t="shared" ca="1" si="394"/>
        <v>-84.9928095320967</v>
      </c>
      <c r="P859" s="310">
        <f t="shared" ca="1" si="395"/>
        <v>23</v>
      </c>
      <c r="Q859" s="304">
        <f t="shared" ca="1" si="396"/>
        <v>0</v>
      </c>
      <c r="R859" s="306">
        <f t="shared" ca="1" si="397"/>
        <v>0</v>
      </c>
      <c r="S859" s="307">
        <f t="shared" ca="1" si="398"/>
        <v>9.137999999999975</v>
      </c>
      <c r="T859" s="304">
        <f t="shared" ca="1" si="378"/>
        <v>89.643779999999765</v>
      </c>
      <c r="U859" s="311">
        <f t="shared" ca="1" si="379"/>
        <v>0</v>
      </c>
      <c r="V859" s="306">
        <f t="shared" ca="1" si="380"/>
        <v>1.0723698202292131</v>
      </c>
      <c r="W859" s="304">
        <f t="shared" ca="1" si="381"/>
        <v>52.705917224776364</v>
      </c>
      <c r="Y859" s="314" t="str">
        <f t="shared" ca="1" si="399"/>
        <v/>
      </c>
      <c r="Z859" s="315" t="str">
        <f t="shared" ca="1" si="400"/>
        <v/>
      </c>
      <c r="AA859" s="316" t="str">
        <f t="shared" ca="1" si="401"/>
        <v/>
      </c>
      <c r="AC859" s="310" t="e">
        <f t="shared" ca="1" si="402"/>
        <v>#N/A</v>
      </c>
      <c r="AD859" s="323" t="e">
        <f t="shared" ca="1" si="403"/>
        <v>#N/A</v>
      </c>
      <c r="AE859" s="324" t="e">
        <f t="shared" ca="1" si="382"/>
        <v>#N/A</v>
      </c>
      <c r="AG859" s="306">
        <f t="shared" ca="1" si="404"/>
        <v>4.0462348940764379</v>
      </c>
      <c r="AH859" s="304">
        <f t="shared" ca="1" si="405"/>
        <v>-5.725784199492157</v>
      </c>
    </row>
    <row r="860" spans="1:34" x14ac:dyDescent="0.2">
      <c r="A860" s="347">
        <f t="shared" ca="1" si="383"/>
        <v>0.1</v>
      </c>
      <c r="B860" s="304">
        <f t="shared" ca="1" si="384"/>
        <v>40.600000000000243</v>
      </c>
      <c r="D860" s="306">
        <f t="shared" ca="1" si="385"/>
        <v>-0.50341569371188422</v>
      </c>
      <c r="E860" s="307">
        <f t="shared" ca="1" si="386"/>
        <v>-4.0642374265259278</v>
      </c>
      <c r="F860" s="304">
        <f t="shared" ca="1" si="387"/>
        <v>4.0952964752078103</v>
      </c>
      <c r="G860" s="306">
        <f t="shared" ca="1" si="388"/>
        <v>11.850247876840166</v>
      </c>
      <c r="H860" s="307">
        <f t="shared" ca="1" si="389"/>
        <v>-136.23445273822063</v>
      </c>
      <c r="I860" s="304">
        <f t="shared" ca="1" si="390"/>
        <v>136.74887380751997</v>
      </c>
      <c r="J860" s="306">
        <f t="shared" ca="1" si="391"/>
        <v>762.48031187470519</v>
      </c>
      <c r="K860" s="307">
        <f t="shared" ca="1" si="392"/>
        <v>1315.1353178204015</v>
      </c>
      <c r="L860" s="304">
        <f t="shared" ca="1" si="377"/>
        <v>1520.1832554580767</v>
      </c>
      <c r="M860" s="306">
        <f t="shared" ca="1" si="393"/>
        <v>-1.4840304958361787</v>
      </c>
      <c r="N860" s="304">
        <f t="shared" ca="1" si="394"/>
        <v>-85.02868408011993</v>
      </c>
      <c r="P860" s="310">
        <f t="shared" ca="1" si="395"/>
        <v>23</v>
      </c>
      <c r="Q860" s="304">
        <f t="shared" ca="1" si="396"/>
        <v>0</v>
      </c>
      <c r="R860" s="306">
        <f t="shared" ca="1" si="397"/>
        <v>0</v>
      </c>
      <c r="S860" s="307">
        <f t="shared" ca="1" si="398"/>
        <v>9.137999999999975</v>
      </c>
      <c r="T860" s="304">
        <f t="shared" ca="1" si="378"/>
        <v>89.643779999999765</v>
      </c>
      <c r="U860" s="311">
        <f t="shared" ca="1" si="379"/>
        <v>0</v>
      </c>
      <c r="V860" s="306">
        <f t="shared" ca="1" si="380"/>
        <v>1.0738359806017195</v>
      </c>
      <c r="W860" s="304">
        <f t="shared" ca="1" si="381"/>
        <v>53.088489890784174</v>
      </c>
      <c r="Y860" s="314" t="str">
        <f t="shared" ca="1" si="399"/>
        <v/>
      </c>
      <c r="Z860" s="315" t="str">
        <f t="shared" ca="1" si="400"/>
        <v/>
      </c>
      <c r="AA860" s="316" t="str">
        <f t="shared" ca="1" si="401"/>
        <v/>
      </c>
      <c r="AC860" s="310" t="e">
        <f t="shared" ca="1" si="402"/>
        <v>#N/A</v>
      </c>
      <c r="AD860" s="323" t="e">
        <f t="shared" ca="1" si="403"/>
        <v>#N/A</v>
      </c>
      <c r="AE860" s="324" t="e">
        <f t="shared" ca="1" si="382"/>
        <v>#N/A</v>
      </c>
      <c r="AG860" s="306">
        <f t="shared" ca="1" si="404"/>
        <v>4.0047887850635293</v>
      </c>
      <c r="AH860" s="304">
        <f t="shared" ca="1" si="405"/>
        <v>-5.767773826305155</v>
      </c>
    </row>
    <row r="861" spans="1:34" x14ac:dyDescent="0.2">
      <c r="A861" s="347">
        <f t="shared" ca="1" si="383"/>
        <v>0.1</v>
      </c>
      <c r="B861" s="304">
        <f t="shared" ca="1" si="384"/>
        <v>40.700000000000244</v>
      </c>
      <c r="D861" s="306">
        <f t="shared" ca="1" si="385"/>
        <v>-0.50344599996851058</v>
      </c>
      <c r="E861" s="307">
        <f t="shared" ca="1" si="386"/>
        <v>-4.0222147146811613</v>
      </c>
      <c r="F861" s="304">
        <f t="shared" ca="1" si="387"/>
        <v>4.0535995221385583</v>
      </c>
      <c r="G861" s="306">
        <f t="shared" ca="1" si="388"/>
        <v>11.799903276843315</v>
      </c>
      <c r="H861" s="307">
        <f t="shared" ca="1" si="389"/>
        <v>-136.63667420968875</v>
      </c>
      <c r="I861" s="304">
        <f t="shared" ca="1" si="390"/>
        <v>137.14524583968443</v>
      </c>
      <c r="J861" s="306">
        <f t="shared" ca="1" si="391"/>
        <v>763.66281943238937</v>
      </c>
      <c r="K861" s="307">
        <f t="shared" ca="1" si="392"/>
        <v>1301.4917614730061</v>
      </c>
      <c r="L861" s="304">
        <f t="shared" ca="1" si="377"/>
        <v>1508.9936073309041</v>
      </c>
      <c r="M861" s="306">
        <f t="shared" ca="1" si="393"/>
        <v>-1.4846503534702034</v>
      </c>
      <c r="N861" s="304">
        <f t="shared" ca="1" si="394"/>
        <v>-85.064199306448501</v>
      </c>
      <c r="P861" s="310">
        <f t="shared" ca="1" si="395"/>
        <v>23</v>
      </c>
      <c r="Q861" s="304">
        <f t="shared" ca="1" si="396"/>
        <v>0</v>
      </c>
      <c r="R861" s="306">
        <f t="shared" ca="1" si="397"/>
        <v>0</v>
      </c>
      <c r="S861" s="307">
        <f t="shared" ca="1" si="398"/>
        <v>9.137999999999975</v>
      </c>
      <c r="T861" s="304">
        <f t="shared" ca="1" si="378"/>
        <v>89.643779999999765</v>
      </c>
      <c r="U861" s="311">
        <f t="shared" ca="1" si="379"/>
        <v>0</v>
      </c>
      <c r="V861" s="306">
        <f t="shared" ca="1" si="380"/>
        <v>1.0753083797456835</v>
      </c>
      <c r="W861" s="304">
        <f t="shared" ca="1" si="381"/>
        <v>53.46990942235459</v>
      </c>
      <c r="Y861" s="314" t="str">
        <f t="shared" ca="1" si="399"/>
        <v/>
      </c>
      <c r="Z861" s="315" t="str">
        <f t="shared" ca="1" si="400"/>
        <v/>
      </c>
      <c r="AA861" s="316" t="str">
        <f t="shared" ca="1" si="401"/>
        <v/>
      </c>
      <c r="AC861" s="310" t="e">
        <f t="shared" ca="1" si="402"/>
        <v>#N/A</v>
      </c>
      <c r="AD861" s="323" t="e">
        <f t="shared" ca="1" si="403"/>
        <v>#N/A</v>
      </c>
      <c r="AE861" s="324" t="e">
        <f t="shared" ca="1" si="382"/>
        <v>#N/A</v>
      </c>
      <c r="AG861" s="306">
        <f t="shared" ca="1" si="404"/>
        <v>3.9634568495303446</v>
      </c>
      <c r="AH861" s="304">
        <f t="shared" ca="1" si="405"/>
        <v>-5.8096399530295821</v>
      </c>
    </row>
    <row r="862" spans="1:34" x14ac:dyDescent="0.2">
      <c r="A862" s="347">
        <f t="shared" ca="1" si="383"/>
        <v>0.1</v>
      </c>
      <c r="B862" s="304">
        <f t="shared" ca="1" si="384"/>
        <v>40.800000000000246</v>
      </c>
      <c r="D862" s="306">
        <f t="shared" ca="1" si="385"/>
        <v>-0.50344958222380154</v>
      </c>
      <c r="E862" s="307">
        <f t="shared" ca="1" si="386"/>
        <v>-3.9803186091098253</v>
      </c>
      <c r="F862" s="304">
        <f t="shared" ca="1" si="387"/>
        <v>4.0120316190014371</v>
      </c>
      <c r="G862" s="306">
        <f t="shared" ca="1" si="388"/>
        <v>11.749558318620934</v>
      </c>
      <c r="H862" s="307">
        <f t="shared" ca="1" si="389"/>
        <v>-137.03470607059973</v>
      </c>
      <c r="I862" s="304">
        <f t="shared" ca="1" si="390"/>
        <v>137.53749593670207</v>
      </c>
      <c r="J862" s="306">
        <f t="shared" ca="1" si="391"/>
        <v>764.84029251216259</v>
      </c>
      <c r="K862" s="307">
        <f t="shared" ca="1" si="392"/>
        <v>1287.8081924589917</v>
      </c>
      <c r="L862" s="304">
        <f t="shared" ca="1" si="377"/>
        <v>1497.8086037990922</v>
      </c>
      <c r="M862" s="306">
        <f t="shared" ca="1" si="393"/>
        <v>-1.4852640386163836</v>
      </c>
      <c r="N862" s="304">
        <f t="shared" ca="1" si="394"/>
        <v>-85.099360875274499</v>
      </c>
      <c r="P862" s="310">
        <f t="shared" ca="1" si="395"/>
        <v>23</v>
      </c>
      <c r="Q862" s="304">
        <f t="shared" ca="1" si="396"/>
        <v>0</v>
      </c>
      <c r="R862" s="306">
        <f t="shared" ca="1" si="397"/>
        <v>0</v>
      </c>
      <c r="S862" s="307">
        <f t="shared" ca="1" si="398"/>
        <v>9.137999999999975</v>
      </c>
      <c r="T862" s="304">
        <f t="shared" ca="1" si="378"/>
        <v>89.643779999999765</v>
      </c>
      <c r="U862" s="311">
        <f t="shared" ca="1" si="379"/>
        <v>0</v>
      </c>
      <c r="V862" s="306">
        <f t="shared" ca="1" si="380"/>
        <v>1.0767869926767657</v>
      </c>
      <c r="W862" s="304">
        <f t="shared" ca="1" si="381"/>
        <v>53.850151636713179</v>
      </c>
      <c r="Y862" s="314" t="str">
        <f t="shared" ca="1" si="399"/>
        <v/>
      </c>
      <c r="Z862" s="315" t="str">
        <f t="shared" ca="1" si="400"/>
        <v/>
      </c>
      <c r="AA862" s="316" t="str">
        <f t="shared" ca="1" si="401"/>
        <v/>
      </c>
      <c r="AC862" s="310" t="e">
        <f t="shared" ca="1" si="402"/>
        <v>#N/A</v>
      </c>
      <c r="AD862" s="323" t="e">
        <f t="shared" ca="1" si="403"/>
        <v>#N/A</v>
      </c>
      <c r="AE862" s="324" t="e">
        <f t="shared" ca="1" si="382"/>
        <v>#N/A</v>
      </c>
      <c r="AG862" s="306">
        <f t="shared" ca="1" si="404"/>
        <v>3.9222419805750262</v>
      </c>
      <c r="AH862" s="304">
        <f t="shared" ca="1" si="405"/>
        <v>-5.8513798886358872</v>
      </c>
    </row>
    <row r="863" spans="1:34" x14ac:dyDescent="0.2">
      <c r="A863" s="347">
        <f t="shared" ca="1" si="383"/>
        <v>0.1</v>
      </c>
      <c r="B863" s="304">
        <f t="shared" ca="1" si="384"/>
        <v>40.900000000000247</v>
      </c>
      <c r="D863" s="306">
        <f t="shared" ca="1" si="385"/>
        <v>-0.50342665320535485</v>
      </c>
      <c r="E863" s="307">
        <f t="shared" ca="1" si="386"/>
        <v>-3.9385517651527664</v>
      </c>
      <c r="F863" s="304">
        <f t="shared" ca="1" si="387"/>
        <v>3.9705954719595291</v>
      </c>
      <c r="G863" s="306">
        <f t="shared" ca="1" si="388"/>
        <v>11.699215653300399</v>
      </c>
      <c r="H863" s="307">
        <f t="shared" ca="1" si="389"/>
        <v>-137.428561247115</v>
      </c>
      <c r="I863" s="304">
        <f t="shared" ca="1" si="390"/>
        <v>137.92563609914754</v>
      </c>
      <c r="J863" s="306">
        <f t="shared" ca="1" si="391"/>
        <v>766.0127312107586</v>
      </c>
      <c r="K863" s="307">
        <f t="shared" ca="1" si="392"/>
        <v>1274.085029093106</v>
      </c>
      <c r="L863" s="304">
        <f t="shared" ca="1" si="377"/>
        <v>1486.6298011731592</v>
      </c>
      <c r="M863" s="306">
        <f t="shared" ca="1" si="393"/>
        <v>-1.4858716479920977</v>
      </c>
      <c r="N863" s="304">
        <f t="shared" ca="1" si="394"/>
        <v>-85.134174328095497</v>
      </c>
      <c r="P863" s="310">
        <f t="shared" ca="1" si="395"/>
        <v>23</v>
      </c>
      <c r="Q863" s="304">
        <f t="shared" ca="1" si="396"/>
        <v>0</v>
      </c>
      <c r="R863" s="306">
        <f t="shared" ca="1" si="397"/>
        <v>0</v>
      </c>
      <c r="S863" s="307">
        <f t="shared" ca="1" si="398"/>
        <v>9.137999999999975</v>
      </c>
      <c r="T863" s="304">
        <f t="shared" ca="1" si="378"/>
        <v>89.643779999999765</v>
      </c>
      <c r="U863" s="311">
        <f t="shared" ca="1" si="379"/>
        <v>0</v>
      </c>
      <c r="V863" s="306">
        <f t="shared" ca="1" si="380"/>
        <v>1.0782717944386644</v>
      </c>
      <c r="W863" s="304">
        <f t="shared" ca="1" si="381"/>
        <v>54.229192759344016</v>
      </c>
      <c r="Y863" s="314" t="str">
        <f t="shared" ca="1" si="399"/>
        <v/>
      </c>
      <c r="Z863" s="315" t="str">
        <f t="shared" ca="1" si="400"/>
        <v/>
      </c>
      <c r="AA863" s="316" t="str">
        <f t="shared" ca="1" si="401"/>
        <v/>
      </c>
      <c r="AC863" s="310" t="e">
        <f t="shared" ca="1" si="402"/>
        <v>#N/A</v>
      </c>
      <c r="AD863" s="323" t="e">
        <f t="shared" ca="1" si="403"/>
        <v>#N/A</v>
      </c>
      <c r="AE863" s="324" t="e">
        <f t="shared" ca="1" si="382"/>
        <v>#N/A</v>
      </c>
      <c r="AG863" s="306">
        <f t="shared" ca="1" si="404"/>
        <v>3.881147021218383</v>
      </c>
      <c r="AH863" s="304">
        <f t="shared" ca="1" si="405"/>
        <v>-5.8929909867272192</v>
      </c>
    </row>
    <row r="864" spans="1:34" x14ac:dyDescent="0.2">
      <c r="A864" s="347">
        <f t="shared" ca="1" si="383"/>
        <v>0.1</v>
      </c>
      <c r="B864" s="304">
        <f t="shared" ca="1" si="384"/>
        <v>41.000000000000249</v>
      </c>
      <c r="D864" s="306">
        <f t="shared" ca="1" si="385"/>
        <v>-0.50337742739106406</v>
      </c>
      <c r="E864" s="307">
        <f t="shared" ca="1" si="386"/>
        <v>-3.89691679333969</v>
      </c>
      <c r="F864" s="304">
        <f t="shared" ca="1" si="387"/>
        <v>3.9292937442522335</v>
      </c>
      <c r="G864" s="306">
        <f t="shared" ca="1" si="388"/>
        <v>11.648877910561293</v>
      </c>
      <c r="H864" s="307">
        <f t="shared" ca="1" si="389"/>
        <v>-137.81825292644896</v>
      </c>
      <c r="I864" s="304">
        <f t="shared" ca="1" si="390"/>
        <v>138.3096786066464</v>
      </c>
      <c r="J864" s="306">
        <f t="shared" ca="1" si="391"/>
        <v>767.18013588895167</v>
      </c>
      <c r="K864" s="307">
        <f t="shared" ca="1" si="392"/>
        <v>1260.3226883844277</v>
      </c>
      <c r="L864" s="304">
        <f t="shared" ca="1" si="377"/>
        <v>1475.4587895834777</v>
      </c>
      <c r="M864" s="306">
        <f t="shared" ca="1" si="393"/>
        <v>-1.4864732762304387</v>
      </c>
      <c r="N864" s="304">
        <f t="shared" ca="1" si="394"/>
        <v>-85.168645086988334</v>
      </c>
      <c r="P864" s="310">
        <f t="shared" ca="1" si="395"/>
        <v>23</v>
      </c>
      <c r="Q864" s="304">
        <f t="shared" ca="1" si="396"/>
        <v>0</v>
      </c>
      <c r="R864" s="306">
        <f t="shared" ca="1" si="397"/>
        <v>0</v>
      </c>
      <c r="S864" s="307">
        <f t="shared" ca="1" si="398"/>
        <v>9.137999999999975</v>
      </c>
      <c r="T864" s="304">
        <f t="shared" ca="1" si="378"/>
        <v>89.643779999999765</v>
      </c>
      <c r="U864" s="311">
        <f t="shared" ca="1" si="379"/>
        <v>0</v>
      </c>
      <c r="V864" s="306">
        <f t="shared" ca="1" si="380"/>
        <v>1.079762760104819</v>
      </c>
      <c r="W864" s="304">
        <f t="shared" ca="1" si="381"/>
        <v>54.607009424280349</v>
      </c>
      <c r="Y864" s="314" t="str">
        <f t="shared" ca="1" si="399"/>
        <v/>
      </c>
      <c r="Z864" s="315" t="str">
        <f t="shared" ca="1" si="400"/>
        <v/>
      </c>
      <c r="AA864" s="316" t="str">
        <f t="shared" ca="1" si="401"/>
        <v/>
      </c>
      <c r="AC864" s="310">
        <f t="shared" ca="1" si="402"/>
        <v>41.000000000000249</v>
      </c>
      <c r="AD864" s="323">
        <f t="shared" ca="1" si="403"/>
        <v>767.18013588895167</v>
      </c>
      <c r="AE864" s="324" t="e">
        <f t="shared" ca="1" si="382"/>
        <v>#N/A</v>
      </c>
      <c r="AG864" s="306">
        <f t="shared" ca="1" si="404"/>
        <v>3.8401747645347042</v>
      </c>
      <c r="AH864" s="304">
        <f t="shared" ca="1" si="405"/>
        <v>-5.9344706455837342</v>
      </c>
    </row>
    <row r="865" spans="1:34" x14ac:dyDescent="0.2">
      <c r="A865" s="347">
        <f t="shared" ca="1" si="383"/>
        <v>0.1</v>
      </c>
      <c r="B865" s="304">
        <f t="shared" ca="1" si="384"/>
        <v>41.10000000000025</v>
      </c>
      <c r="D865" s="306">
        <f t="shared" ca="1" si="385"/>
        <v>-0.50330212094609428</v>
      </c>
      <c r="E865" s="307">
        <f t="shared" ca="1" si="386"/>
        <v>-3.8554162593567129</v>
      </c>
      <c r="F865" s="304">
        <f t="shared" ca="1" si="387"/>
        <v>3.8881290562249791</v>
      </c>
      <c r="G865" s="306">
        <f t="shared" ca="1" si="388"/>
        <v>11.598547698466684</v>
      </c>
      <c r="H865" s="307">
        <f t="shared" ca="1" si="389"/>
        <v>-138.20379455238464</v>
      </c>
      <c r="I865" s="304">
        <f t="shared" ca="1" si="390"/>
        <v>138.68963601290238</v>
      </c>
      <c r="J865" s="306">
        <f t="shared" ca="1" si="391"/>
        <v>768.34250716940312</v>
      </c>
      <c r="K865" s="307">
        <f t="shared" ca="1" si="392"/>
        <v>1246.5215860104861</v>
      </c>
      <c r="L865" s="304">
        <f t="shared" ca="1" si="377"/>
        <v>1464.2971941219657</v>
      </c>
      <c r="M865" s="306">
        <f t="shared" ca="1" si="393"/>
        <v>-1.4870690159355426</v>
      </c>
      <c r="N865" s="304">
        <f t="shared" ca="1" si="394"/>
        <v>-85.202778457779161</v>
      </c>
      <c r="P865" s="310">
        <f t="shared" ca="1" si="395"/>
        <v>23</v>
      </c>
      <c r="Q865" s="304">
        <f t="shared" ca="1" si="396"/>
        <v>0</v>
      </c>
      <c r="R865" s="306">
        <f t="shared" ca="1" si="397"/>
        <v>0</v>
      </c>
      <c r="S865" s="307">
        <f t="shared" ca="1" si="398"/>
        <v>9.137999999999975</v>
      </c>
      <c r="T865" s="304">
        <f t="shared" ca="1" si="378"/>
        <v>89.643779999999765</v>
      </c>
      <c r="U865" s="311">
        <f t="shared" ca="1" si="379"/>
        <v>0</v>
      </c>
      <c r="V865" s="306">
        <f t="shared" ca="1" si="380"/>
        <v>1.0812598647800991</v>
      </c>
      <c r="W865" s="304">
        <f t="shared" ca="1" si="381"/>
        <v>54.983578674282398</v>
      </c>
      <c r="Y865" s="314" t="str">
        <f t="shared" ca="1" si="399"/>
        <v/>
      </c>
      <c r="Z865" s="315" t="str">
        <f t="shared" ca="1" si="400"/>
        <v/>
      </c>
      <c r="AA865" s="316" t="str">
        <f t="shared" ca="1" si="401"/>
        <v/>
      </c>
      <c r="AC865" s="310" t="e">
        <f t="shared" ca="1" si="402"/>
        <v>#N/A</v>
      </c>
      <c r="AD865" s="323" t="e">
        <f t="shared" ca="1" si="403"/>
        <v>#N/A</v>
      </c>
      <c r="AE865" s="324" t="e">
        <f t="shared" ca="1" si="382"/>
        <v>#N/A</v>
      </c>
      <c r="AG865" s="306">
        <f t="shared" ca="1" si="404"/>
        <v>3.7993279537885352</v>
      </c>
      <c r="AH865" s="304">
        <f t="shared" ca="1" si="405"/>
        <v>-5.9758163081944078</v>
      </c>
    </row>
    <row r="866" spans="1:34" x14ac:dyDescent="0.2">
      <c r="A866" s="347">
        <f t="shared" ca="1" si="383"/>
        <v>0.1</v>
      </c>
      <c r="B866" s="304">
        <f t="shared" ca="1" si="384"/>
        <v>41.200000000000252</v>
      </c>
      <c r="D866" s="306">
        <f t="shared" ca="1" si="385"/>
        <v>-0.50320095166022272</v>
      </c>
      <c r="E866" s="307">
        <f t="shared" ca="1" si="386"/>
        <v>-3.8140526840263327</v>
      </c>
      <c r="F866" s="304">
        <f t="shared" ca="1" si="387"/>
        <v>3.8471039853739626</v>
      </c>
      <c r="G866" s="306">
        <f t="shared" ca="1" si="388"/>
        <v>11.548227603300662</v>
      </c>
      <c r="H866" s="307">
        <f t="shared" ca="1" si="389"/>
        <v>-138.58519982078727</v>
      </c>
      <c r="I866" s="304">
        <f t="shared" ca="1" si="390"/>
        <v>139.06552114073844</v>
      </c>
      <c r="J866" s="306">
        <f t="shared" ca="1" si="391"/>
        <v>769.49984593449153</v>
      </c>
      <c r="K866" s="307">
        <f t="shared" ca="1" si="392"/>
        <v>1232.6821362918274</v>
      </c>
      <c r="L866" s="304">
        <f t="shared" ca="1" si="377"/>
        <v>1453.1466760193857</v>
      </c>
      <c r="M866" s="306">
        <f t="shared" ca="1" si="393"/>
        <v>-1.4876589577361747</v>
      </c>
      <c r="N866" s="304">
        <f t="shared" ca="1" si="394"/>
        <v>-85.23657963311372</v>
      </c>
      <c r="P866" s="310">
        <f t="shared" ca="1" si="395"/>
        <v>23</v>
      </c>
      <c r="Q866" s="304">
        <f t="shared" ca="1" si="396"/>
        <v>0</v>
      </c>
      <c r="R866" s="306">
        <f t="shared" ca="1" si="397"/>
        <v>0</v>
      </c>
      <c r="S866" s="307">
        <f t="shared" ca="1" si="398"/>
        <v>9.137999999999975</v>
      </c>
      <c r="T866" s="304">
        <f t="shared" ca="1" si="378"/>
        <v>89.643779999999765</v>
      </c>
      <c r="U866" s="311">
        <f t="shared" ca="1" si="379"/>
        <v>0</v>
      </c>
      <c r="V866" s="306">
        <f t="shared" ca="1" si="380"/>
        <v>1.0827630836024744</v>
      </c>
      <c r="W866" s="304">
        <f t="shared" ca="1" si="381"/>
        <v>55.358877960902994</v>
      </c>
      <c r="Y866" s="314" t="str">
        <f t="shared" ca="1" si="399"/>
        <v/>
      </c>
      <c r="Z866" s="315" t="str">
        <f t="shared" ca="1" si="400"/>
        <v/>
      </c>
      <c r="AA866" s="316" t="str">
        <f t="shared" ca="1" si="401"/>
        <v/>
      </c>
      <c r="AC866" s="310" t="e">
        <f t="shared" ca="1" si="402"/>
        <v>#N/A</v>
      </c>
      <c r="AD866" s="323" t="e">
        <f t="shared" ca="1" si="403"/>
        <v>#N/A</v>
      </c>
      <c r="AE866" s="324" t="e">
        <f t="shared" ca="1" si="382"/>
        <v>#N/A</v>
      </c>
      <c r="AG866" s="306">
        <f t="shared" ca="1" si="404"/>
        <v>3.7586092825775852</v>
      </c>
      <c r="AH866" s="304">
        <f t="shared" ca="1" si="405"/>
        <v>-6.0170254622764885</v>
      </c>
    </row>
    <row r="867" spans="1:34" x14ac:dyDescent="0.2">
      <c r="A867" s="347">
        <f t="shared" ca="1" si="383"/>
        <v>0.1</v>
      </c>
      <c r="B867" s="304">
        <f t="shared" ca="1" si="384"/>
        <v>41.300000000000253</v>
      </c>
      <c r="D867" s="306">
        <f t="shared" ca="1" si="385"/>
        <v>-0.50307413888555497</v>
      </c>
      <c r="E867" s="307">
        <f t="shared" ca="1" si="386"/>
        <v>-3.7728285432997195</v>
      </c>
      <c r="F867" s="304">
        <f t="shared" ca="1" si="387"/>
        <v>3.8062210664059606</v>
      </c>
      <c r="G867" s="306">
        <f t="shared" ca="1" si="388"/>
        <v>11.497920189412106</v>
      </c>
      <c r="H867" s="307">
        <f t="shared" ca="1" si="389"/>
        <v>-138.96248267511723</v>
      </c>
      <c r="I867" s="304">
        <f t="shared" ca="1" si="390"/>
        <v>139.43734707715271</v>
      </c>
      <c r="J867" s="306">
        <f t="shared" ca="1" si="391"/>
        <v>770.6521533241272</v>
      </c>
      <c r="K867" s="307">
        <f t="shared" ca="1" si="392"/>
        <v>1218.8047521670321</v>
      </c>
      <c r="L867" s="304">
        <f t="shared" ca="1" si="377"/>
        <v>1442.0089338586133</v>
      </c>
      <c r="M867" s="306">
        <f t="shared" ca="1" si="393"/>
        <v>-1.4882431903376372</v>
      </c>
      <c r="N867" s="304">
        <f t="shared" ca="1" si="394"/>
        <v>-85.270053695431471</v>
      </c>
      <c r="P867" s="310">
        <f t="shared" ca="1" si="395"/>
        <v>23</v>
      </c>
      <c r="Q867" s="304">
        <f t="shared" ca="1" si="396"/>
        <v>0</v>
      </c>
      <c r="R867" s="306">
        <f t="shared" ca="1" si="397"/>
        <v>0</v>
      </c>
      <c r="S867" s="307">
        <f t="shared" ca="1" si="398"/>
        <v>9.137999999999975</v>
      </c>
      <c r="T867" s="304">
        <f t="shared" ca="1" si="378"/>
        <v>89.643779999999765</v>
      </c>
      <c r="U867" s="311">
        <f t="shared" ca="1" si="379"/>
        <v>0</v>
      </c>
      <c r="V867" s="306">
        <f t="shared" ca="1" si="380"/>
        <v>1.0842723917446735</v>
      </c>
      <c r="W867" s="304">
        <f t="shared" ca="1" si="381"/>
        <v>55.732885144443436</v>
      </c>
      <c r="Y867" s="314" t="str">
        <f t="shared" ca="1" si="399"/>
        <v/>
      </c>
      <c r="Z867" s="315" t="str">
        <f t="shared" ca="1" si="400"/>
        <v/>
      </c>
      <c r="AA867" s="316" t="str">
        <f t="shared" ca="1" si="401"/>
        <v/>
      </c>
      <c r="AC867" s="310" t="e">
        <f t="shared" ca="1" si="402"/>
        <v>#N/A</v>
      </c>
      <c r="AD867" s="323" t="e">
        <f t="shared" ca="1" si="403"/>
        <v>#N/A</v>
      </c>
      <c r="AE867" s="324" t="e">
        <f t="shared" ca="1" si="382"/>
        <v>#N/A</v>
      </c>
      <c r="AG867" s="306">
        <f t="shared" ca="1" si="404"/>
        <v>3.7180213949819247</v>
      </c>
      <c r="AH867" s="304">
        <f t="shared" ca="1" si="405"/>
        <v>-6.0580956402826818</v>
      </c>
    </row>
    <row r="868" spans="1:34" x14ac:dyDescent="0.2">
      <c r="A868" s="347">
        <f t="shared" ca="1" si="383"/>
        <v>0.1</v>
      </c>
      <c r="B868" s="304">
        <f t="shared" ca="1" si="384"/>
        <v>41.400000000000254</v>
      </c>
      <c r="D868" s="306">
        <f t="shared" ca="1" si="385"/>
        <v>-0.50292190347463106</v>
      </c>
      <c r="E868" s="307">
        <f t="shared" ca="1" si="386"/>
        <v>-3.7317462682610811</v>
      </c>
      <c r="F868" s="304">
        <f t="shared" ca="1" si="387"/>
        <v>3.7654827913130942</v>
      </c>
      <c r="G868" s="306">
        <f t="shared" ca="1" si="388"/>
        <v>11.447627999064643</v>
      </c>
      <c r="H868" s="307">
        <f t="shared" ca="1" si="389"/>
        <v>-139.33565730194334</v>
      </c>
      <c r="I868" s="304">
        <f t="shared" ca="1" si="390"/>
        <v>139.8051271683895</v>
      </c>
      <c r="J868" s="306">
        <f t="shared" ca="1" si="391"/>
        <v>771.79943073355105</v>
      </c>
      <c r="K868" s="307">
        <f t="shared" ca="1" si="392"/>
        <v>1204.8898451681791</v>
      </c>
      <c r="L868" s="304">
        <f t="shared" ca="1" si="377"/>
        <v>1430.8857048241248</v>
      </c>
      <c r="M868" s="306">
        <f t="shared" ca="1" si="393"/>
        <v>-1.4888218005720573</v>
      </c>
      <c r="N868" s="304">
        <f t="shared" ca="1" si="394"/>
        <v>-85.303205619846821</v>
      </c>
      <c r="P868" s="310">
        <f t="shared" ca="1" si="395"/>
        <v>23</v>
      </c>
      <c r="Q868" s="304">
        <f t="shared" ca="1" si="396"/>
        <v>0</v>
      </c>
      <c r="R868" s="306">
        <f t="shared" ca="1" si="397"/>
        <v>0</v>
      </c>
      <c r="S868" s="307">
        <f t="shared" ca="1" si="398"/>
        <v>9.137999999999975</v>
      </c>
      <c r="T868" s="304">
        <f t="shared" ca="1" si="378"/>
        <v>89.643779999999765</v>
      </c>
      <c r="U868" s="311">
        <f t="shared" ca="1" si="379"/>
        <v>0</v>
      </c>
      <c r="V868" s="306">
        <f t="shared" ca="1" si="380"/>
        <v>1.0857877644158249</v>
      </c>
      <c r="W868" s="304">
        <f t="shared" ca="1" si="381"/>
        <v>56.105578493800145</v>
      </c>
      <c r="Y868" s="314" t="str">
        <f t="shared" ca="1" si="399"/>
        <v/>
      </c>
      <c r="Z868" s="315" t="str">
        <f t="shared" ca="1" si="400"/>
        <v/>
      </c>
      <c r="AA868" s="316" t="str">
        <f t="shared" ca="1" si="401"/>
        <v/>
      </c>
      <c r="AC868" s="310" t="e">
        <f t="shared" ca="1" si="402"/>
        <v>#N/A</v>
      </c>
      <c r="AD868" s="323" t="e">
        <f t="shared" ca="1" si="403"/>
        <v>#N/A</v>
      </c>
      <c r="AE868" s="324" t="e">
        <f t="shared" ca="1" si="382"/>
        <v>#N/A</v>
      </c>
      <c r="AG868" s="306">
        <f t="shared" ca="1" si="404"/>
        <v>3.6775668857194432</v>
      </c>
      <c r="AH868" s="304">
        <f t="shared" ca="1" si="405"/>
        <v>-6.0990244193963221</v>
      </c>
    </row>
    <row r="869" spans="1:34" x14ac:dyDescent="0.2">
      <c r="A869" s="347">
        <f t="shared" ca="1" si="383"/>
        <v>0.1</v>
      </c>
      <c r="B869" s="304">
        <f t="shared" ca="1" si="384"/>
        <v>41.500000000000256</v>
      </c>
      <c r="D869" s="306">
        <f t="shared" ca="1" si="385"/>
        <v>-0.50274446771894477</v>
      </c>
      <c r="E869" s="307">
        <f t="shared" ca="1" si="386"/>
        <v>-3.6908082451440309</v>
      </c>
      <c r="F869" s="304">
        <f t="shared" ca="1" si="387"/>
        <v>3.7248916094626385</v>
      </c>
      <c r="G869" s="306">
        <f t="shared" ca="1" si="388"/>
        <v>11.397353552292749</v>
      </c>
      <c r="H869" s="307">
        <f t="shared" ca="1" si="389"/>
        <v>-139.70473812645776</v>
      </c>
      <c r="I869" s="304">
        <f t="shared" ca="1" si="390"/>
        <v>140.16887501502643</v>
      </c>
      <c r="J869" s="306">
        <f t="shared" ca="1" si="391"/>
        <v>772.94167981111889</v>
      </c>
      <c r="K869" s="307">
        <f t="shared" ca="1" si="392"/>
        <v>1190.9378253967591</v>
      </c>
      <c r="L869" s="304">
        <f t="shared" ca="1" si="377"/>
        <v>1419.7787659878547</v>
      </c>
      <c r="M869" s="306">
        <f t="shared" ca="1" si="393"/>
        <v>-1.4893948734471185</v>
      </c>
      <c r="N869" s="304">
        <f t="shared" ca="1" si="394"/>
        <v>-85.336040276941247</v>
      </c>
      <c r="P869" s="310">
        <f t="shared" ca="1" si="395"/>
        <v>23</v>
      </c>
      <c r="Q869" s="304">
        <f t="shared" ca="1" si="396"/>
        <v>0</v>
      </c>
      <c r="R869" s="306">
        <f t="shared" ca="1" si="397"/>
        <v>0</v>
      </c>
      <c r="S869" s="307">
        <f t="shared" ca="1" si="398"/>
        <v>9.137999999999975</v>
      </c>
      <c r="T869" s="304">
        <f t="shared" ca="1" si="378"/>
        <v>89.643779999999765</v>
      </c>
      <c r="U869" s="311">
        <f t="shared" ca="1" si="379"/>
        <v>0</v>
      </c>
      <c r="V869" s="306">
        <f t="shared" ca="1" si="380"/>
        <v>1.0873091768630854</v>
      </c>
      <c r="W869" s="304">
        <f t="shared" ca="1" si="381"/>
        <v>56.47693668620412</v>
      </c>
      <c r="Y869" s="314" t="str">
        <f t="shared" ca="1" si="399"/>
        <v/>
      </c>
      <c r="Z869" s="315" t="str">
        <f t="shared" ca="1" si="400"/>
        <v/>
      </c>
      <c r="AA869" s="316" t="str">
        <f t="shared" ca="1" si="401"/>
        <v/>
      </c>
      <c r="AC869" s="310" t="e">
        <f t="shared" ca="1" si="402"/>
        <v>#N/A</v>
      </c>
      <c r="AD869" s="323" t="e">
        <f t="shared" ca="1" si="403"/>
        <v>#N/A</v>
      </c>
      <c r="AE869" s="324" t="e">
        <f t="shared" ca="1" si="382"/>
        <v>#N/A</v>
      </c>
      <c r="AG869" s="306">
        <f t="shared" ca="1" si="404"/>
        <v>3.6372483003078058</v>
      </c>
      <c r="AH869" s="304">
        <f t="shared" ca="1" si="405"/>
        <v>-6.1398094215145873</v>
      </c>
    </row>
    <row r="870" spans="1:34" x14ac:dyDescent="0.2">
      <c r="A870" s="347">
        <f t="shared" ca="1" si="383"/>
        <v>0.1</v>
      </c>
      <c r="B870" s="304">
        <f t="shared" ca="1" si="384"/>
        <v>41.600000000000257</v>
      </c>
      <c r="D870" s="306">
        <f t="shared" ca="1" si="385"/>
        <v>-0.50254205528786788</v>
      </c>
      <c r="E870" s="307">
        <f t="shared" ca="1" si="386"/>
        <v>-3.6500168153597317</v>
      </c>
      <c r="F870" s="304">
        <f t="shared" ca="1" si="387"/>
        <v>3.6844499277017935</v>
      </c>
      <c r="G870" s="306">
        <f t="shared" ca="1" si="388"/>
        <v>11.347099346763962</v>
      </c>
      <c r="H870" s="307">
        <f t="shared" ca="1" si="389"/>
        <v>-140.06973980799373</v>
      </c>
      <c r="I870" s="304">
        <f t="shared" ca="1" si="390"/>
        <v>140.5286044670778</v>
      </c>
      <c r="J870" s="306">
        <f t="shared" ca="1" si="391"/>
        <v>774.07890245607177</v>
      </c>
      <c r="K870" s="307">
        <f t="shared" ca="1" si="392"/>
        <v>1176.9491015000365</v>
      </c>
      <c r="L870" s="304">
        <f t="shared" ca="1" si="377"/>
        <v>1408.6899356314505</v>
      </c>
      <c r="M870" s="306">
        <f t="shared" ca="1" si="393"/>
        <v>-1.4899624921932857</v>
      </c>
      <c r="N870" s="304">
        <f t="shared" ca="1" si="394"/>
        <v>-85.368562435469144</v>
      </c>
      <c r="P870" s="310">
        <f t="shared" ca="1" si="395"/>
        <v>23</v>
      </c>
      <c r="Q870" s="304">
        <f t="shared" ca="1" si="396"/>
        <v>0</v>
      </c>
      <c r="R870" s="306">
        <f t="shared" ca="1" si="397"/>
        <v>0</v>
      </c>
      <c r="S870" s="307">
        <f t="shared" ca="1" si="398"/>
        <v>9.137999999999975</v>
      </c>
      <c r="T870" s="304">
        <f t="shared" ca="1" si="378"/>
        <v>89.643779999999765</v>
      </c>
      <c r="U870" s="311">
        <f t="shared" ca="1" si="379"/>
        <v>0</v>
      </c>
      <c r="V870" s="306">
        <f t="shared" ca="1" si="380"/>
        <v>1.0888366043732505</v>
      </c>
      <c r="W870" s="304">
        <f t="shared" ca="1" si="381"/>
        <v>56.846938806854162</v>
      </c>
      <c r="Y870" s="314" t="str">
        <f t="shared" ca="1" si="399"/>
        <v/>
      </c>
      <c r="Z870" s="315" t="str">
        <f t="shared" ca="1" si="400"/>
        <v/>
      </c>
      <c r="AA870" s="316" t="str">
        <f t="shared" ca="1" si="401"/>
        <v/>
      </c>
      <c r="AC870" s="310" t="e">
        <f t="shared" ca="1" si="402"/>
        <v>#N/A</v>
      </c>
      <c r="AD870" s="323" t="e">
        <f t="shared" ca="1" si="403"/>
        <v>#N/A</v>
      </c>
      <c r="AE870" s="324" t="e">
        <f t="shared" ca="1" si="382"/>
        <v>#N/A</v>
      </c>
      <c r="AG870" s="306">
        <f t="shared" ca="1" si="404"/>
        <v>3.5970681352328455</v>
      </c>
      <c r="AH870" s="304">
        <f t="shared" ca="1" si="405"/>
        <v>-6.1804483132199906</v>
      </c>
    </row>
    <row r="871" spans="1:34" x14ac:dyDescent="0.2">
      <c r="A871" s="347">
        <f t="shared" ca="1" si="383"/>
        <v>0.1</v>
      </c>
      <c r="B871" s="304">
        <f t="shared" ca="1" si="384"/>
        <v>41.700000000000259</v>
      </c>
      <c r="D871" s="306">
        <f t="shared" ca="1" si="385"/>
        <v>-0.50231489116801875</v>
      </c>
      <c r="E871" s="307">
        <f t="shared" ca="1" si="386"/>
        <v>-3.6093742755367293</v>
      </c>
      <c r="F871" s="304">
        <f t="shared" ca="1" si="387"/>
        <v>3.6441601104775057</v>
      </c>
      <c r="G871" s="306">
        <f t="shared" ca="1" si="388"/>
        <v>11.296867857647159</v>
      </c>
      <c r="H871" s="307">
        <f t="shared" ca="1" si="389"/>
        <v>-140.43067723554739</v>
      </c>
      <c r="I871" s="304">
        <f t="shared" ca="1" si="390"/>
        <v>140.88432961911568</v>
      </c>
      <c r="J871" s="306">
        <f t="shared" ca="1" si="391"/>
        <v>775.21110081629229</v>
      </c>
      <c r="K871" s="307">
        <f t="shared" ca="1" si="392"/>
        <v>1162.9240806478595</v>
      </c>
      <c r="L871" s="304">
        <f t="shared" ca="1" si="377"/>
        <v>1397.6210746048002</v>
      </c>
      <c r="M871" s="306">
        <f t="shared" ca="1" si="393"/>
        <v>-1.4905247383095819</v>
      </c>
      <c r="N871" s="304">
        <f t="shared" ca="1" si="394"/>
        <v>-85.400776764980534</v>
      </c>
      <c r="P871" s="310">
        <f t="shared" ca="1" si="395"/>
        <v>23</v>
      </c>
      <c r="Q871" s="304">
        <f t="shared" ca="1" si="396"/>
        <v>0</v>
      </c>
      <c r="R871" s="306">
        <f t="shared" ca="1" si="397"/>
        <v>0</v>
      </c>
      <c r="S871" s="307">
        <f t="shared" ca="1" si="398"/>
        <v>9.137999999999975</v>
      </c>
      <c r="T871" s="304">
        <f t="shared" ca="1" si="378"/>
        <v>89.643779999999765</v>
      </c>
      <c r="U871" s="311">
        <f t="shared" ca="1" si="379"/>
        <v>0</v>
      </c>
      <c r="V871" s="306">
        <f t="shared" ca="1" si="380"/>
        <v>1.0903700222743495</v>
      </c>
      <c r="W871" s="304">
        <f t="shared" ca="1" si="381"/>
        <v>57.215564348445938</v>
      </c>
      <c r="Y871" s="314" t="str">
        <f t="shared" ca="1" si="399"/>
        <v/>
      </c>
      <c r="Z871" s="315" t="str">
        <f t="shared" ca="1" si="400"/>
        <v/>
      </c>
      <c r="AA871" s="316" t="str">
        <f t="shared" ca="1" si="401"/>
        <v/>
      </c>
      <c r="AC871" s="310" t="e">
        <f t="shared" ca="1" si="402"/>
        <v>#N/A</v>
      </c>
      <c r="AD871" s="323" t="e">
        <f t="shared" ca="1" si="403"/>
        <v>#N/A</v>
      </c>
      <c r="AE871" s="324" t="e">
        <f t="shared" ca="1" si="382"/>
        <v>#N/A</v>
      </c>
      <c r="AG871" s="306">
        <f t="shared" ca="1" si="404"/>
        <v>3.5570288381235473</v>
      </c>
      <c r="AH871" s="304">
        <f t="shared" ca="1" si="405"/>
        <v>-6.2209388057402402</v>
      </c>
    </row>
    <row r="872" spans="1:34" x14ac:dyDescent="0.2">
      <c r="A872" s="347">
        <f t="shared" ca="1" si="383"/>
        <v>0.1</v>
      </c>
      <c r="B872" s="304">
        <f t="shared" ca="1" si="384"/>
        <v>41.80000000000026</v>
      </c>
      <c r="D872" s="306">
        <f t="shared" ca="1" si="385"/>
        <v>-0.50206320160306539</v>
      </c>
      <c r="E872" s="307">
        <f t="shared" ca="1" si="386"/>
        <v>-3.5688828775722232</v>
      </c>
      <c r="F872" s="304">
        <f t="shared" ca="1" si="387"/>
        <v>3.6040244799712604</v>
      </c>
      <c r="G872" s="306">
        <f t="shared" ca="1" si="388"/>
        <v>11.246661537486853</v>
      </c>
      <c r="H872" s="307">
        <f t="shared" ca="1" si="389"/>
        <v>-140.78756552330461</v>
      </c>
      <c r="I872" s="304">
        <f t="shared" ca="1" si="390"/>
        <v>141.23606480540857</v>
      </c>
      <c r="J872" s="306">
        <f t="shared" ca="1" si="391"/>
        <v>776.33827728604899</v>
      </c>
      <c r="K872" s="307">
        <f t="shared" ca="1" si="392"/>
        <v>1148.8631685099169</v>
      </c>
      <c r="L872" s="304">
        <f t="shared" ca="1" si="377"/>
        <v>1386.5740877205646</v>
      </c>
      <c r="M872" s="306">
        <f t="shared" ca="1" si="393"/>
        <v>-1.4910816916079657</v>
      </c>
      <c r="N872" s="304">
        <f t="shared" ca="1" si="394"/>
        <v>-85.432687838363819</v>
      </c>
      <c r="P872" s="310">
        <f t="shared" ca="1" si="395"/>
        <v>23</v>
      </c>
      <c r="Q872" s="304">
        <f t="shared" ca="1" si="396"/>
        <v>0</v>
      </c>
      <c r="R872" s="306">
        <f t="shared" ca="1" si="397"/>
        <v>0</v>
      </c>
      <c r="S872" s="307">
        <f t="shared" ca="1" si="398"/>
        <v>9.137999999999975</v>
      </c>
      <c r="T872" s="304">
        <f t="shared" ca="1" si="378"/>
        <v>89.643779999999765</v>
      </c>
      <c r="U872" s="311">
        <f t="shared" ca="1" si="379"/>
        <v>0</v>
      </c>
      <c r="V872" s="306">
        <f t="shared" ca="1" si="380"/>
        <v>1.0919094059372265</v>
      </c>
      <c r="W872" s="304">
        <f t="shared" ca="1" si="381"/>
        <v>57.582793210597913</v>
      </c>
      <c r="Y872" s="314" t="str">
        <f t="shared" ca="1" si="399"/>
        <v/>
      </c>
      <c r="Z872" s="315" t="str">
        <f t="shared" ca="1" si="400"/>
        <v/>
      </c>
      <c r="AA872" s="316" t="str">
        <f t="shared" ca="1" si="401"/>
        <v/>
      </c>
      <c r="AC872" s="310" t="e">
        <f t="shared" ca="1" si="402"/>
        <v>#N/A</v>
      </c>
      <c r="AD872" s="323" t="e">
        <f t="shared" ca="1" si="403"/>
        <v>#N/A</v>
      </c>
      <c r="AE872" s="324" t="e">
        <f t="shared" ca="1" si="382"/>
        <v>#N/A</v>
      </c>
      <c r="AG872" s="306">
        <f t="shared" ca="1" si="404"/>
        <v>3.5171328079335735</v>
      </c>
      <c r="AH872" s="304">
        <f t="shared" ca="1" si="405"/>
        <v>-6.2612786548967057</v>
      </c>
    </row>
    <row r="873" spans="1:34" x14ac:dyDescent="0.2">
      <c r="A873" s="347">
        <f t="shared" ca="1" si="383"/>
        <v>0.1</v>
      </c>
      <c r="B873" s="304">
        <f t="shared" ca="1" si="384"/>
        <v>41.900000000000261</v>
      </c>
      <c r="D873" s="306">
        <f t="shared" ca="1" si="385"/>
        <v>-0.50178721403399451</v>
      </c>
      <c r="E873" s="307">
        <f t="shared" ca="1" si="386"/>
        <v>-3.5285448286946801</v>
      </c>
      <c r="F873" s="304">
        <f t="shared" ca="1" si="387"/>
        <v>3.5640453162489347</v>
      </c>
      <c r="G873" s="306">
        <f t="shared" ca="1" si="388"/>
        <v>11.196482816083453</v>
      </c>
      <c r="H873" s="307">
        <f t="shared" ca="1" si="389"/>
        <v>-141.14042000617408</v>
      </c>
      <c r="I873" s="304">
        <f t="shared" ca="1" si="390"/>
        <v>141.58382459507894</v>
      </c>
      <c r="J873" s="306">
        <f t="shared" ca="1" si="391"/>
        <v>777.46043450372747</v>
      </c>
      <c r="K873" s="307">
        <f t="shared" ca="1" si="392"/>
        <v>1134.766769233443</v>
      </c>
      <c r="L873" s="304">
        <f t="shared" ca="1" si="377"/>
        <v>1375.5509251842443</v>
      </c>
      <c r="M873" s="306">
        <f t="shared" ca="1" si="393"/>
        <v>-1.4916334302563616</v>
      </c>
      <c r="N873" s="304">
        <f t="shared" ca="1" si="394"/>
        <v>-85.464300134311159</v>
      </c>
      <c r="P873" s="310">
        <f t="shared" ca="1" si="395"/>
        <v>23</v>
      </c>
      <c r="Q873" s="304">
        <f t="shared" ca="1" si="396"/>
        <v>0</v>
      </c>
      <c r="R873" s="306">
        <f t="shared" ca="1" si="397"/>
        <v>0</v>
      </c>
      <c r="S873" s="307">
        <f t="shared" ca="1" si="398"/>
        <v>9.137999999999975</v>
      </c>
      <c r="T873" s="304">
        <f t="shared" ca="1" si="378"/>
        <v>89.643779999999765</v>
      </c>
      <c r="U873" s="311">
        <f t="shared" ca="1" si="379"/>
        <v>0</v>
      </c>
      <c r="V873" s="306">
        <f t="shared" ca="1" si="380"/>
        <v>1.0934547307771036</v>
      </c>
      <c r="W873" s="304">
        <f t="shared" ca="1" si="381"/>
        <v>57.948605699176163</v>
      </c>
      <c r="Y873" s="314" t="str">
        <f t="shared" ca="1" si="399"/>
        <v/>
      </c>
      <c r="Z873" s="315" t="str">
        <f t="shared" ca="1" si="400"/>
        <v/>
      </c>
      <c r="AA873" s="316" t="str">
        <f t="shared" ca="1" si="401"/>
        <v/>
      </c>
      <c r="AC873" s="310" t="e">
        <f t="shared" ca="1" si="402"/>
        <v>#N/A</v>
      </c>
      <c r="AD873" s="323" t="e">
        <f t="shared" ca="1" si="403"/>
        <v>#N/A</v>
      </c>
      <c r="AE873" s="324" t="e">
        <f t="shared" ca="1" si="382"/>
        <v>#N/A</v>
      </c>
      <c r="AG873" s="306">
        <f t="shared" ca="1" si="404"/>
        <v>3.4773823951294593</v>
      </c>
      <c r="AH873" s="304">
        <f t="shared" ca="1" si="405"/>
        <v>-6.3014656610415924</v>
      </c>
    </row>
    <row r="874" spans="1:34" x14ac:dyDescent="0.2">
      <c r="A874" s="347">
        <f t="shared" ca="1" si="383"/>
        <v>0.1</v>
      </c>
      <c r="B874" s="304">
        <f t="shared" ca="1" si="384"/>
        <v>42.000000000000263</v>
      </c>
      <c r="D874" s="306">
        <f t="shared" ca="1" si="385"/>
        <v>-0.50148715703983793</v>
      </c>
      <c r="E874" s="307">
        <f t="shared" ca="1" si="386"/>
        <v>-3.4883622915375536</v>
      </c>
      <c r="F874" s="304">
        <f t="shared" ca="1" si="387"/>
        <v>3.5242248574256769</v>
      </c>
      <c r="G874" s="306">
        <f t="shared" ca="1" si="388"/>
        <v>11.14633410037947</v>
      </c>
      <c r="H874" s="307">
        <f t="shared" ca="1" si="389"/>
        <v>-141.48925623532784</v>
      </c>
      <c r="I874" s="304">
        <f t="shared" ca="1" si="390"/>
        <v>141.92762378727949</v>
      </c>
      <c r="J874" s="306">
        <f t="shared" ca="1" si="391"/>
        <v>778.57757534955067</v>
      </c>
      <c r="K874" s="307">
        <f t="shared" ca="1" si="392"/>
        <v>1120.6352854213678</v>
      </c>
      <c r="L874" s="304">
        <f t="shared" ca="1" si="377"/>
        <v>1364.5535840591294</v>
      </c>
      <c r="M874" s="306">
        <f t="shared" ca="1" si="393"/>
        <v>-1.4921800308203865</v>
      </c>
      <c r="N874" s="304">
        <f t="shared" ca="1" si="394"/>
        <v>-85.495618039709257</v>
      </c>
      <c r="P874" s="310">
        <f t="shared" ca="1" si="395"/>
        <v>23</v>
      </c>
      <c r="Q874" s="304">
        <f t="shared" ca="1" si="396"/>
        <v>0</v>
      </c>
      <c r="R874" s="306">
        <f t="shared" ca="1" si="397"/>
        <v>0</v>
      </c>
      <c r="S874" s="307">
        <f t="shared" ca="1" si="398"/>
        <v>9.137999999999975</v>
      </c>
      <c r="T874" s="304">
        <f t="shared" ca="1" si="378"/>
        <v>89.643779999999765</v>
      </c>
      <c r="U874" s="311">
        <f t="shared" ca="1" si="379"/>
        <v>0</v>
      </c>
      <c r="V874" s="306">
        <f t="shared" ca="1" si="380"/>
        <v>1.0950059722551295</v>
      </c>
      <c r="W874" s="304">
        <f t="shared" ca="1" si="381"/>
        <v>58.312982525518919</v>
      </c>
      <c r="Y874" s="314" t="str">
        <f t="shared" ca="1" si="399"/>
        <v/>
      </c>
      <c r="Z874" s="315" t="str">
        <f t="shared" ca="1" si="400"/>
        <v/>
      </c>
      <c r="AA874" s="316" t="str">
        <f t="shared" ca="1" si="401"/>
        <v/>
      </c>
      <c r="AC874" s="310">
        <f t="shared" ca="1" si="402"/>
        <v>42.000000000000263</v>
      </c>
      <c r="AD874" s="323">
        <f t="shared" ca="1" si="403"/>
        <v>778.57757534955067</v>
      </c>
      <c r="AE874" s="324" t="e">
        <f t="shared" ca="1" si="382"/>
        <v>#N/A</v>
      </c>
      <c r="AG874" s="306">
        <f t="shared" ca="1" si="404"/>
        <v>3.4377799018853779</v>
      </c>
      <c r="AH874" s="304">
        <f t="shared" ca="1" si="405"/>
        <v>-6.3414976689840579</v>
      </c>
    </row>
    <row r="875" spans="1:34" x14ac:dyDescent="0.2">
      <c r="A875" s="347">
        <f t="shared" ca="1" si="383"/>
        <v>0.1</v>
      </c>
      <c r="B875" s="304">
        <f t="shared" ca="1" si="384"/>
        <v>42.100000000000264</v>
      </c>
      <c r="D875" s="306">
        <f t="shared" ca="1" si="385"/>
        <v>-0.50116326027889524</v>
      </c>
      <c r="E875" s="307">
        <f t="shared" ca="1" si="386"/>
        <v>-3.4483373842240317</v>
      </c>
      <c r="F875" s="304">
        <f t="shared" ca="1" si="387"/>
        <v>3.4845652998459373</v>
      </c>
      <c r="G875" s="306">
        <f t="shared" ca="1" si="388"/>
        <v>11.09621777435158</v>
      </c>
      <c r="H875" s="307">
        <f t="shared" ca="1" si="389"/>
        <v>-141.83408997375025</v>
      </c>
      <c r="I875" s="304">
        <f t="shared" ca="1" si="390"/>
        <v>142.2674774063901</v>
      </c>
      <c r="J875" s="306">
        <f t="shared" ca="1" si="391"/>
        <v>779.68970294328722</v>
      </c>
      <c r="K875" s="307">
        <f t="shared" ca="1" si="392"/>
        <v>1106.469118110914</v>
      </c>
      <c r="L875" s="304">
        <f t="shared" ca="1" si="377"/>
        <v>1353.5841097652319</v>
      </c>
      <c r="M875" s="306">
        <f t="shared" ca="1" si="393"/>
        <v>-1.4927215683038226</v>
      </c>
      <c r="N875" s="304">
        <f t="shared" ca="1" si="394"/>
        <v>-85.526645851958278</v>
      </c>
      <c r="P875" s="310">
        <f t="shared" ca="1" si="395"/>
        <v>23</v>
      </c>
      <c r="Q875" s="304">
        <f t="shared" ca="1" si="396"/>
        <v>0</v>
      </c>
      <c r="R875" s="306">
        <f t="shared" ca="1" si="397"/>
        <v>0</v>
      </c>
      <c r="S875" s="307">
        <f t="shared" ca="1" si="398"/>
        <v>9.137999999999975</v>
      </c>
      <c r="T875" s="304">
        <f t="shared" ca="1" si="378"/>
        <v>89.643779999999765</v>
      </c>
      <c r="U875" s="311">
        <f t="shared" ca="1" si="379"/>
        <v>0</v>
      </c>
      <c r="V875" s="306">
        <f t="shared" ca="1" si="380"/>
        <v>1.096563105879911</v>
      </c>
      <c r="W875" s="304">
        <f t="shared" ca="1" si="381"/>
        <v>58.675904805563476</v>
      </c>
      <c r="Y875" s="314" t="str">
        <f t="shared" ca="1" si="399"/>
        <v/>
      </c>
      <c r="Z875" s="315" t="str">
        <f t="shared" ca="1" si="400"/>
        <v/>
      </c>
      <c r="AA875" s="316" t="str">
        <f t="shared" ca="1" si="401"/>
        <v/>
      </c>
      <c r="AC875" s="310" t="e">
        <f t="shared" ca="1" si="402"/>
        <v>#N/A</v>
      </c>
      <c r="AD875" s="323" t="e">
        <f t="shared" ca="1" si="403"/>
        <v>#N/A</v>
      </c>
      <c r="AE875" s="324" t="e">
        <f t="shared" ca="1" si="382"/>
        <v>#N/A</v>
      </c>
      <c r="AG875" s="306">
        <f t="shared" ca="1" si="404"/>
        <v>3.3983275822846464</v>
      </c>
      <c r="AH875" s="304">
        <f t="shared" ca="1" si="405"/>
        <v>-6.3813725679053492</v>
      </c>
    </row>
    <row r="876" spans="1:34" x14ac:dyDescent="0.2">
      <c r="A876" s="347">
        <f t="shared" ca="1" si="383"/>
        <v>0.1</v>
      </c>
      <c r="B876" s="304">
        <f t="shared" ca="1" si="384"/>
        <v>42.200000000000266</v>
      </c>
      <c r="D876" s="306">
        <f t="shared" ca="1" si="385"/>
        <v>-0.50081575443043558</v>
      </c>
      <c r="E876" s="307">
        <f t="shared" ca="1" si="386"/>
        <v>-3.4084721804625149</v>
      </c>
      <c r="F876" s="304">
        <f t="shared" ca="1" si="387"/>
        <v>3.4450687982785797</v>
      </c>
      <c r="G876" s="306">
        <f t="shared" ca="1" si="388"/>
        <v>11.046136198908536</v>
      </c>
      <c r="H876" s="307">
        <f t="shared" ca="1" si="389"/>
        <v>-142.17493719179652</v>
      </c>
      <c r="I876" s="304">
        <f t="shared" ca="1" si="390"/>
        <v>142.60340069723486</v>
      </c>
      <c r="J876" s="306">
        <f t="shared" ca="1" si="391"/>
        <v>780.79682064195026</v>
      </c>
      <c r="K876" s="307">
        <f t="shared" ca="1" si="392"/>
        <v>1092.2686667526366</v>
      </c>
      <c r="L876" s="304">
        <f t="shared" ca="1" si="377"/>
        <v>1342.6445976110581</v>
      </c>
      <c r="M876" s="306">
        <f t="shared" ca="1" si="393"/>
        <v>-1.4932581161878775</v>
      </c>
      <c r="N876" s="304">
        <f t="shared" ca="1" si="394"/>
        <v>-85.557387781221294</v>
      </c>
      <c r="P876" s="310">
        <f t="shared" ca="1" si="395"/>
        <v>23</v>
      </c>
      <c r="Q876" s="304">
        <f t="shared" ca="1" si="396"/>
        <v>0</v>
      </c>
      <c r="R876" s="306">
        <f t="shared" ca="1" si="397"/>
        <v>0</v>
      </c>
      <c r="S876" s="307">
        <f t="shared" ca="1" si="398"/>
        <v>9.137999999999975</v>
      </c>
      <c r="T876" s="304">
        <f t="shared" ca="1" si="378"/>
        <v>89.643779999999765</v>
      </c>
      <c r="U876" s="311">
        <f t="shared" ca="1" si="379"/>
        <v>0</v>
      </c>
      <c r="V876" s="306">
        <f t="shared" ca="1" si="380"/>
        <v>1.0981261072090278</v>
      </c>
      <c r="W876" s="304">
        <f t="shared" ca="1" si="381"/>
        <v>59.037354058876055</v>
      </c>
      <c r="Y876" s="314" t="str">
        <f t="shared" ca="1" si="399"/>
        <v/>
      </c>
      <c r="Z876" s="315" t="str">
        <f t="shared" ca="1" si="400"/>
        <v/>
      </c>
      <c r="AA876" s="316" t="str">
        <f t="shared" ca="1" si="401"/>
        <v/>
      </c>
      <c r="AC876" s="310" t="e">
        <f t="shared" ca="1" si="402"/>
        <v>#N/A</v>
      </c>
      <c r="AD876" s="323" t="e">
        <f t="shared" ca="1" si="403"/>
        <v>#N/A</v>
      </c>
      <c r="AE876" s="324" t="e">
        <f t="shared" ca="1" si="382"/>
        <v>#N/A</v>
      </c>
      <c r="AG876" s="306">
        <f t="shared" ca="1" si="404"/>
        <v>3.3590276425277654</v>
      </c>
      <c r="AH876" s="304">
        <f t="shared" ca="1" si="405"/>
        <v>-6.4210882912632563</v>
      </c>
    </row>
    <row r="877" spans="1:34" x14ac:dyDescent="0.2">
      <c r="A877" s="347">
        <f t="shared" ca="1" si="383"/>
        <v>0.1</v>
      </c>
      <c r="B877" s="304">
        <f t="shared" ca="1" si="384"/>
        <v>42.300000000000267</v>
      </c>
      <c r="D877" s="306">
        <f t="shared" ca="1" si="385"/>
        <v>-0.50044487113691138</v>
      </c>
      <c r="E877" s="307">
        <f t="shared" ca="1" si="386"/>
        <v>-3.3687687096527474</v>
      </c>
      <c r="F877" s="304">
        <f t="shared" ca="1" si="387"/>
        <v>3.4057374661272228</v>
      </c>
      <c r="G877" s="306">
        <f t="shared" ca="1" si="388"/>
        <v>10.996091711794845</v>
      </c>
      <c r="H877" s="307">
        <f t="shared" ca="1" si="389"/>
        <v>-142.5118140627618</v>
      </c>
      <c r="I877" s="304">
        <f t="shared" ca="1" si="390"/>
        <v>142.93540912032049</v>
      </c>
      <c r="J877" s="306">
        <f t="shared" ca="1" si="391"/>
        <v>781.89893203748545</v>
      </c>
      <c r="K877" s="307">
        <f t="shared" ca="1" si="392"/>
        <v>1078.0343291899087</v>
      </c>
      <c r="L877" s="304">
        <f t="shared" ca="1" si="377"/>
        <v>1331.7371943567907</v>
      </c>
      <c r="M877" s="306">
        <f t="shared" ca="1" si="393"/>
        <v>-1.4937897464692733</v>
      </c>
      <c r="N877" s="304">
        <f t="shared" ca="1" si="394"/>
        <v>-85.587847952606623</v>
      </c>
      <c r="P877" s="310">
        <f t="shared" ca="1" si="395"/>
        <v>23</v>
      </c>
      <c r="Q877" s="304">
        <f t="shared" ca="1" si="396"/>
        <v>0</v>
      </c>
      <c r="R877" s="306">
        <f t="shared" ca="1" si="397"/>
        <v>0</v>
      </c>
      <c r="S877" s="307">
        <f t="shared" ca="1" si="398"/>
        <v>9.137999999999975</v>
      </c>
      <c r="T877" s="304">
        <f t="shared" ca="1" si="378"/>
        <v>89.643779999999765</v>
      </c>
      <c r="U877" s="311">
        <f t="shared" ca="1" si="379"/>
        <v>0</v>
      </c>
      <c r="V877" s="306">
        <f t="shared" ca="1" si="380"/>
        <v>1.0996949518505323</v>
      </c>
      <c r="W877" s="304">
        <f t="shared" ca="1" si="381"/>
        <v>59.397312207586921</v>
      </c>
      <c r="Y877" s="314" t="str">
        <f t="shared" ca="1" si="399"/>
        <v/>
      </c>
      <c r="Z877" s="315" t="str">
        <f t="shared" ca="1" si="400"/>
        <v/>
      </c>
      <c r="AA877" s="316" t="str">
        <f t="shared" ca="1" si="401"/>
        <v/>
      </c>
      <c r="AC877" s="310" t="e">
        <f t="shared" ca="1" si="402"/>
        <v>#N/A</v>
      </c>
      <c r="AD877" s="323" t="e">
        <f t="shared" ca="1" si="403"/>
        <v>#N/A</v>
      </c>
      <c r="AE877" s="324" t="e">
        <f t="shared" ca="1" si="382"/>
        <v>#N/A</v>
      </c>
      <c r="AG877" s="306">
        <f t="shared" ca="1" si="404"/>
        <v>3.3198822411471802</v>
      </c>
      <c r="AH877" s="304">
        <f t="shared" ca="1" si="405"/>
        <v>-6.4606428166859509</v>
      </c>
    </row>
    <row r="878" spans="1:34" x14ac:dyDescent="0.2">
      <c r="A878" s="347">
        <f t="shared" ca="1" si="383"/>
        <v>0.1</v>
      </c>
      <c r="B878" s="304">
        <f t="shared" ca="1" si="384"/>
        <v>42.400000000000269</v>
      </c>
      <c r="D878" s="306">
        <f t="shared" ca="1" si="385"/>
        <v>-0.50005084294669166</v>
      </c>
      <c r="E878" s="307">
        <f t="shared" ca="1" si="386"/>
        <v>-3.3292289570023827</v>
      </c>
      <c r="F878" s="304">
        <f t="shared" ca="1" si="387"/>
        <v>3.3665733756558565</v>
      </c>
      <c r="G878" s="306">
        <f t="shared" ca="1" si="388"/>
        <v>10.946086627500176</v>
      </c>
      <c r="H878" s="307">
        <f t="shared" ca="1" si="389"/>
        <v>-142.84473695846205</v>
      </c>
      <c r="I878" s="304">
        <f t="shared" ca="1" si="390"/>
        <v>143.26351834709683</v>
      </c>
      <c r="J878" s="306">
        <f t="shared" ca="1" si="391"/>
        <v>782.99604095445022</v>
      </c>
      <c r="K878" s="307">
        <f t="shared" ca="1" si="392"/>
        <v>1063.7665016388476</v>
      </c>
      <c r="L878" s="304">
        <f t="shared" ca="1" si="377"/>
        <v>1320.8640998071282</v>
      </c>
      <c r="M878" s="306">
        <f t="shared" ca="1" si="393"/>
        <v>-1.494316529697209</v>
      </c>
      <c r="N878" s="304">
        <f t="shared" ca="1" si="394"/>
        <v>-85.61803040828562</v>
      </c>
      <c r="P878" s="310">
        <f t="shared" ca="1" si="395"/>
        <v>23</v>
      </c>
      <c r="Q878" s="304">
        <f t="shared" ca="1" si="396"/>
        <v>0</v>
      </c>
      <c r="R878" s="306">
        <f t="shared" ca="1" si="397"/>
        <v>0</v>
      </c>
      <c r="S878" s="307">
        <f t="shared" ca="1" si="398"/>
        <v>9.137999999999975</v>
      </c>
      <c r="T878" s="304">
        <f t="shared" ca="1" si="378"/>
        <v>89.643779999999765</v>
      </c>
      <c r="U878" s="311">
        <f t="shared" ca="1" si="379"/>
        <v>0</v>
      </c>
      <c r="V878" s="306">
        <f t="shared" ca="1" si="380"/>
        <v>1.1012696154644326</v>
      </c>
      <c r="W878" s="304">
        <f t="shared" ca="1" si="381"/>
        <v>59.755761575232171</v>
      </c>
      <c r="Y878" s="314" t="str">
        <f t="shared" ca="1" si="399"/>
        <v/>
      </c>
      <c r="Z878" s="315" t="str">
        <f t="shared" ca="1" si="400"/>
        <v/>
      </c>
      <c r="AA878" s="316" t="str">
        <f t="shared" ca="1" si="401"/>
        <v/>
      </c>
      <c r="AC878" s="310" t="e">
        <f t="shared" ca="1" si="402"/>
        <v>#N/A</v>
      </c>
      <c r="AD878" s="323" t="e">
        <f t="shared" ca="1" si="403"/>
        <v>#N/A</v>
      </c>
      <c r="AE878" s="324" t="e">
        <f t="shared" ca="1" si="382"/>
        <v>#N/A</v>
      </c>
      <c r="AG878" s="306">
        <f t="shared" ca="1" si="404"/>
        <v>3.2808934892285873</v>
      </c>
      <c r="AH878" s="304">
        <f t="shared" ca="1" si="405"/>
        <v>-6.5000341658554479</v>
      </c>
    </row>
    <row r="879" spans="1:34" x14ac:dyDescent="0.2">
      <c r="A879" s="347">
        <f t="shared" ca="1" si="383"/>
        <v>0.1</v>
      </c>
      <c r="B879" s="304">
        <f t="shared" ca="1" si="384"/>
        <v>42.50000000000027</v>
      </c>
      <c r="D879" s="306">
        <f t="shared" ca="1" si="385"/>
        <v>-0.49963390325730711</v>
      </c>
      <c r="E879" s="307">
        <f t="shared" ca="1" si="386"/>
        <v>-3.2898548636537823</v>
      </c>
      <c r="F879" s="304">
        <f t="shared" ca="1" si="387"/>
        <v>3.3275785582297797</v>
      </c>
      <c r="G879" s="306">
        <f t="shared" ca="1" si="388"/>
        <v>10.896123237174445</v>
      </c>
      <c r="H879" s="307">
        <f t="shared" ca="1" si="389"/>
        <v>-143.17372244482743</v>
      </c>
      <c r="I879" s="304">
        <f t="shared" ca="1" si="390"/>
        <v>143.5877442552399</v>
      </c>
      <c r="J879" s="306">
        <f t="shared" ca="1" si="391"/>
        <v>784.08815144768391</v>
      </c>
      <c r="K879" s="307">
        <f t="shared" ca="1" si="392"/>
        <v>1049.4655786686831</v>
      </c>
      <c r="L879" s="304">
        <f t="shared" ca="1" si="377"/>
        <v>1310.0275684316875</v>
      </c>
      <c r="M879" s="306">
        <f t="shared" ca="1" si="393"/>
        <v>-1.4948385350092286</v>
      </c>
      <c r="N879" s="304">
        <f t="shared" ca="1" si="394"/>
        <v>-85.64793910954775</v>
      </c>
      <c r="P879" s="310">
        <f t="shared" ca="1" si="395"/>
        <v>23</v>
      </c>
      <c r="Q879" s="304">
        <f t="shared" ca="1" si="396"/>
        <v>0</v>
      </c>
      <c r="R879" s="306">
        <f t="shared" ca="1" si="397"/>
        <v>0</v>
      </c>
      <c r="S879" s="307">
        <f t="shared" ca="1" si="398"/>
        <v>9.137999999999975</v>
      </c>
      <c r="T879" s="304">
        <f t="shared" ca="1" si="378"/>
        <v>89.643779999999765</v>
      </c>
      <c r="U879" s="311">
        <f t="shared" ca="1" si="379"/>
        <v>0</v>
      </c>
      <c r="V879" s="306">
        <f t="shared" ca="1" si="380"/>
        <v>1.1028500737641584</v>
      </c>
      <c r="W879" s="304">
        <f t="shared" ca="1" si="381"/>
        <v>60.112684885503924</v>
      </c>
      <c r="Y879" s="314" t="str">
        <f t="shared" ca="1" si="399"/>
        <v/>
      </c>
      <c r="Z879" s="315" t="str">
        <f t="shared" ca="1" si="400"/>
        <v/>
      </c>
      <c r="AA879" s="316" t="str">
        <f t="shared" ca="1" si="401"/>
        <v/>
      </c>
      <c r="AC879" s="310" t="e">
        <f t="shared" ca="1" si="402"/>
        <v>#N/A</v>
      </c>
      <c r="AD879" s="323" t="e">
        <f t="shared" ca="1" si="403"/>
        <v>#N/A</v>
      </c>
      <c r="AE879" s="324" t="e">
        <f t="shared" ca="1" si="382"/>
        <v>#N/A</v>
      </c>
      <c r="AG879" s="306">
        <f t="shared" ca="1" si="404"/>
        <v>3.2420634506388506</v>
      </c>
      <c r="AH879" s="304">
        <f t="shared" ca="1" si="405"/>
        <v>-6.5392604043808635</v>
      </c>
    </row>
    <row r="880" spans="1:34" x14ac:dyDescent="0.2">
      <c r="A880" s="347">
        <f t="shared" ca="1" si="383"/>
        <v>0.1</v>
      </c>
      <c r="B880" s="304">
        <f t="shared" ca="1" si="384"/>
        <v>42.600000000000271</v>
      </c>
      <c r="D880" s="306">
        <f t="shared" ca="1" si="385"/>
        <v>-0.49919428625925222</v>
      </c>
      <c r="E880" s="307">
        <f t="shared" ca="1" si="386"/>
        <v>-3.2506483268208992</v>
      </c>
      <c r="F880" s="304">
        <f t="shared" ca="1" si="387"/>
        <v>3.2887550045720029</v>
      </c>
      <c r="G880" s="306">
        <f t="shared" ca="1" si="388"/>
        <v>10.84620380854852</v>
      </c>
      <c r="H880" s="307">
        <f t="shared" ca="1" si="389"/>
        <v>-143.49878727750954</v>
      </c>
      <c r="I880" s="304">
        <f t="shared" ca="1" si="390"/>
        <v>143.90810292395804</v>
      </c>
      <c r="J880" s="306">
        <f t="shared" ca="1" si="391"/>
        <v>785.17526779997002</v>
      </c>
      <c r="K880" s="307">
        <f t="shared" ca="1" si="392"/>
        <v>1035.1319531825661</v>
      </c>
      <c r="L880" s="304">
        <f t="shared" ca="1" si="377"/>
        <v>1299.2299110104834</v>
      </c>
      <c r="M880" s="306">
        <f t="shared" ca="1" si="393"/>
        <v>-1.4953558301660386</v>
      </c>
      <c r="N880" s="304">
        <f t="shared" ca="1" si="394"/>
        <v>-85.677577938795523</v>
      </c>
      <c r="P880" s="310">
        <f t="shared" ca="1" si="395"/>
        <v>23</v>
      </c>
      <c r="Q880" s="304">
        <f t="shared" ca="1" si="396"/>
        <v>0</v>
      </c>
      <c r="R880" s="306">
        <f t="shared" ca="1" si="397"/>
        <v>0</v>
      </c>
      <c r="S880" s="307">
        <f t="shared" ca="1" si="398"/>
        <v>9.137999999999975</v>
      </c>
      <c r="T880" s="304">
        <f t="shared" ca="1" si="378"/>
        <v>89.643779999999765</v>
      </c>
      <c r="U880" s="311">
        <f t="shared" ca="1" si="379"/>
        <v>0</v>
      </c>
      <c r="V880" s="306">
        <f t="shared" ca="1" si="380"/>
        <v>1.1044363025180082</v>
      </c>
      <c r="W880" s="304">
        <f t="shared" ca="1" si="381"/>
        <v>60.46806526091018</v>
      </c>
      <c r="Y880" s="314" t="str">
        <f t="shared" ca="1" si="399"/>
        <v/>
      </c>
      <c r="Z880" s="315" t="str">
        <f t="shared" ca="1" si="400"/>
        <v/>
      </c>
      <c r="AA880" s="316" t="str">
        <f t="shared" ca="1" si="401"/>
        <v/>
      </c>
      <c r="AC880" s="310" t="e">
        <f t="shared" ca="1" si="402"/>
        <v>#N/A</v>
      </c>
      <c r="AD880" s="323" t="e">
        <f t="shared" ca="1" si="403"/>
        <v>#N/A</v>
      </c>
      <c r="AE880" s="324" t="e">
        <f t="shared" ca="1" si="382"/>
        <v>#N/A</v>
      </c>
      <c r="AG880" s="306">
        <f t="shared" ca="1" si="404"/>
        <v>3.2033941422604295</v>
      </c>
      <c r="AH880" s="304">
        <f t="shared" ca="1" si="405"/>
        <v>-6.5783196416616425</v>
      </c>
    </row>
    <row r="881" spans="1:34" x14ac:dyDescent="0.2">
      <c r="A881" s="347">
        <f t="shared" ca="1" si="383"/>
        <v>0.1</v>
      </c>
      <c r="B881" s="304">
        <f t="shared" ca="1" si="384"/>
        <v>42.700000000000273</v>
      </c>
      <c r="D881" s="306">
        <f t="shared" ca="1" si="385"/>
        <v>-0.49873222688031743</v>
      </c>
      <c r="E881" s="307">
        <f t="shared" ca="1" si="386"/>
        <v>-3.2116111999360797</v>
      </c>
      <c r="F881" s="304">
        <f t="shared" ca="1" si="387"/>
        <v>3.2501046650352454</v>
      </c>
      <c r="G881" s="306">
        <f t="shared" ca="1" si="388"/>
        <v>10.796330585860488</v>
      </c>
      <c r="H881" s="307">
        <f t="shared" ca="1" si="389"/>
        <v>-143.81994839750314</v>
      </c>
      <c r="I881" s="304">
        <f t="shared" ca="1" si="390"/>
        <v>144.2246106293224</v>
      </c>
      <c r="J881" s="306">
        <f t="shared" ca="1" si="391"/>
        <v>786.25739451969048</v>
      </c>
      <c r="K881" s="307">
        <f t="shared" ca="1" si="392"/>
        <v>1020.7660163988155</v>
      </c>
      <c r="L881" s="304">
        <f t="shared" ca="1" si="377"/>
        <v>1288.4734963015728</v>
      </c>
      <c r="M881" s="306">
        <f t="shared" ca="1" si="393"/>
        <v>-1.4958684815853069</v>
      </c>
      <c r="N881" s="304">
        <f t="shared" ca="1" si="394"/>
        <v>-85.706950701480991</v>
      </c>
      <c r="P881" s="310">
        <f t="shared" ca="1" si="395"/>
        <v>23</v>
      </c>
      <c r="Q881" s="304">
        <f t="shared" ca="1" si="396"/>
        <v>0</v>
      </c>
      <c r="R881" s="306">
        <f t="shared" ca="1" si="397"/>
        <v>0</v>
      </c>
      <c r="S881" s="307">
        <f t="shared" ca="1" si="398"/>
        <v>9.137999999999975</v>
      </c>
      <c r="T881" s="304">
        <f t="shared" ca="1" si="378"/>
        <v>89.643779999999765</v>
      </c>
      <c r="U881" s="311">
        <f t="shared" ca="1" si="379"/>
        <v>0</v>
      </c>
      <c r="V881" s="306">
        <f t="shared" ca="1" si="380"/>
        <v>1.106028277550585</v>
      </c>
      <c r="W881" s="304">
        <f t="shared" ca="1" si="381"/>
        <v>60.821886221347135</v>
      </c>
      <c r="Y881" s="314" t="str">
        <f t="shared" ca="1" si="399"/>
        <v/>
      </c>
      <c r="Z881" s="315" t="str">
        <f t="shared" ca="1" si="400"/>
        <v/>
      </c>
      <c r="AA881" s="316" t="str">
        <f t="shared" ca="1" si="401"/>
        <v/>
      </c>
      <c r="AC881" s="310" t="e">
        <f t="shared" ca="1" si="402"/>
        <v>#N/A</v>
      </c>
      <c r="AD881" s="323" t="e">
        <f t="shared" ca="1" si="403"/>
        <v>#N/A</v>
      </c>
      <c r="AE881" s="324" t="e">
        <f t="shared" ca="1" si="382"/>
        <v>#N/A</v>
      </c>
      <c r="AG881" s="306">
        <f t="shared" ca="1" si="404"/>
        <v>3.1648875342323395</v>
      </c>
      <c r="AH881" s="304">
        <f t="shared" ca="1" si="405"/>
        <v>-6.6172100307409005</v>
      </c>
    </row>
    <row r="882" spans="1:34" x14ac:dyDescent="0.2">
      <c r="A882" s="347">
        <f t="shared" ca="1" si="383"/>
        <v>0.1</v>
      </c>
      <c r="B882" s="304">
        <f t="shared" ca="1" si="384"/>
        <v>42.800000000000274</v>
      </c>
      <c r="D882" s="306">
        <f t="shared" ca="1" si="385"/>
        <v>-0.49824796073048627</v>
      </c>
      <c r="E882" s="307">
        <f t="shared" ca="1" si="386"/>
        <v>-3.1727452928064874</v>
      </c>
      <c r="F882" s="304">
        <f t="shared" ca="1" si="387"/>
        <v>3.2116294498895437</v>
      </c>
      <c r="G882" s="306">
        <f t="shared" ca="1" si="388"/>
        <v>10.74650578978744</v>
      </c>
      <c r="H882" s="307">
        <f t="shared" ca="1" si="389"/>
        <v>-144.13722292678378</v>
      </c>
      <c r="I882" s="304">
        <f t="shared" ca="1" si="390"/>
        <v>144.53728383962147</v>
      </c>
      <c r="J882" s="306">
        <f t="shared" ca="1" si="391"/>
        <v>787.33453633847284</v>
      </c>
      <c r="K882" s="307">
        <f t="shared" ca="1" si="392"/>
        <v>1006.3681578326011</v>
      </c>
      <c r="L882" s="304">
        <f t="shared" ca="1" si="377"/>
        <v>1277.760752727482</v>
      </c>
      <c r="M882" s="306">
        <f t="shared" ca="1" si="393"/>
        <v>-1.4963765543744776</v>
      </c>
      <c r="N882" s="304">
        <f t="shared" ca="1" si="394"/>
        <v>-85.736061127985906</v>
      </c>
      <c r="P882" s="310">
        <f t="shared" ca="1" si="395"/>
        <v>23</v>
      </c>
      <c r="Q882" s="304">
        <f t="shared" ca="1" si="396"/>
        <v>0</v>
      </c>
      <c r="R882" s="306">
        <f t="shared" ca="1" si="397"/>
        <v>0</v>
      </c>
      <c r="S882" s="307">
        <f t="shared" ca="1" si="398"/>
        <v>9.137999999999975</v>
      </c>
      <c r="T882" s="304">
        <f t="shared" ca="1" si="378"/>
        <v>89.643779999999765</v>
      </c>
      <c r="U882" s="311">
        <f t="shared" ca="1" si="379"/>
        <v>0</v>
      </c>
      <c r="V882" s="306">
        <f t="shared" ca="1" si="380"/>
        <v>1.1076259747442101</v>
      </c>
      <c r="W882" s="304">
        <f t="shared" ca="1" si="381"/>
        <v>61.174131682584125</v>
      </c>
      <c r="Y882" s="314" t="str">
        <f t="shared" ca="1" si="399"/>
        <v/>
      </c>
      <c r="Z882" s="315" t="str">
        <f t="shared" ca="1" si="400"/>
        <v/>
      </c>
      <c r="AA882" s="316" t="str">
        <f t="shared" ca="1" si="401"/>
        <v/>
      </c>
      <c r="AC882" s="310" t="e">
        <f t="shared" ca="1" si="402"/>
        <v>#N/A</v>
      </c>
      <c r="AD882" s="323" t="e">
        <f t="shared" ca="1" si="403"/>
        <v>#N/A</v>
      </c>
      <c r="AE882" s="324" t="e">
        <f t="shared" ca="1" si="382"/>
        <v>#N/A</v>
      </c>
      <c r="AG882" s="306">
        <f t="shared" ca="1" si="404"/>
        <v>3.1265455501974868</v>
      </c>
      <c r="AH882" s="304">
        <f t="shared" ca="1" si="405"/>
        <v>-6.65592976814919</v>
      </c>
    </row>
    <row r="883" spans="1:34" x14ac:dyDescent="0.2">
      <c r="A883" s="347">
        <f t="shared" ca="1" si="383"/>
        <v>0.1</v>
      </c>
      <c r="B883" s="304">
        <f t="shared" ca="1" si="384"/>
        <v>42.900000000000276</v>
      </c>
      <c r="D883" s="306">
        <f t="shared" ca="1" si="385"/>
        <v>-0.49774172404740591</v>
      </c>
      <c r="E883" s="307">
        <f t="shared" ca="1" si="386"/>
        <v>-3.1340523717801281</v>
      </c>
      <c r="F883" s="304">
        <f t="shared" ca="1" si="387"/>
        <v>3.1733312296257901</v>
      </c>
      <c r="G883" s="306">
        <f t="shared" ca="1" si="388"/>
        <v>10.696731617382699</v>
      </c>
      <c r="H883" s="307">
        <f t="shared" ca="1" si="389"/>
        <v>-144.4506281639618</v>
      </c>
      <c r="I883" s="304">
        <f t="shared" ca="1" si="390"/>
        <v>144.84613921074137</v>
      </c>
      <c r="J883" s="306">
        <f t="shared" ca="1" si="391"/>
        <v>788.40669820883136</v>
      </c>
      <c r="K883" s="307">
        <f t="shared" ca="1" si="392"/>
        <v>991.9387652780639</v>
      </c>
      <c r="L883" s="304">
        <f t="shared" ca="1" si="377"/>
        <v>1267.0941700765263</v>
      </c>
      <c r="M883" s="306">
        <f t="shared" ca="1" si="393"/>
        <v>-1.4968801123626383</v>
      </c>
      <c r="N883" s="304">
        <f t="shared" ca="1" si="394"/>
        <v>-85.764912875447621</v>
      </c>
      <c r="P883" s="310">
        <f t="shared" ca="1" si="395"/>
        <v>23</v>
      </c>
      <c r="Q883" s="304">
        <f t="shared" ca="1" si="396"/>
        <v>0</v>
      </c>
      <c r="R883" s="306">
        <f t="shared" ca="1" si="397"/>
        <v>0</v>
      </c>
      <c r="S883" s="307">
        <f t="shared" ca="1" si="398"/>
        <v>9.137999999999975</v>
      </c>
      <c r="T883" s="304">
        <f t="shared" ca="1" si="378"/>
        <v>89.643779999999765</v>
      </c>
      <c r="U883" s="311">
        <f t="shared" ca="1" si="379"/>
        <v>0</v>
      </c>
      <c r="V883" s="306">
        <f t="shared" ca="1" si="380"/>
        <v>1.1092293700403206</v>
      </c>
      <c r="W883" s="304">
        <f t="shared" ca="1" si="381"/>
        <v>61.524785954664338</v>
      </c>
      <c r="Y883" s="314" t="str">
        <f t="shared" ca="1" si="399"/>
        <v/>
      </c>
      <c r="Z883" s="315" t="str">
        <f t="shared" ca="1" si="400"/>
        <v/>
      </c>
      <c r="AA883" s="316" t="str">
        <f t="shared" ca="1" si="401"/>
        <v/>
      </c>
      <c r="AC883" s="310" t="e">
        <f t="shared" ca="1" si="402"/>
        <v>#N/A</v>
      </c>
      <c r="AD883" s="323" t="e">
        <f t="shared" ca="1" si="403"/>
        <v>#N/A</v>
      </c>
      <c r="AE883" s="324" t="e">
        <f t="shared" ca="1" si="382"/>
        <v>#N/A</v>
      </c>
      <c r="AG883" s="306">
        <f t="shared" ca="1" si="404"/>
        <v>3.088370067556423</v>
      </c>
      <c r="AH883" s="304">
        <f t="shared" ca="1" si="405"/>
        <v>-6.6944770937387057</v>
      </c>
    </row>
    <row r="884" spans="1:34" x14ac:dyDescent="0.2">
      <c r="A884" s="347">
        <f t="shared" ca="1" si="383"/>
        <v>0.1</v>
      </c>
      <c r="B884" s="304">
        <f t="shared" ca="1" si="384"/>
        <v>43.000000000000277</v>
      </c>
      <c r="D884" s="306">
        <f t="shared" ca="1" si="385"/>
        <v>-0.49721375364241222</v>
      </c>
      <c r="E884" s="307">
        <f t="shared" ca="1" si="386"/>
        <v>-3.0955341599211321</v>
      </c>
      <c r="F884" s="304">
        <f t="shared" ca="1" si="387"/>
        <v>3.1352118352752187</v>
      </c>
      <c r="G884" s="306">
        <f t="shared" ca="1" si="388"/>
        <v>10.647010242018458</v>
      </c>
      <c r="H884" s="307">
        <f t="shared" ca="1" si="389"/>
        <v>-144.76018157995392</v>
      </c>
      <c r="I884" s="304">
        <f t="shared" ca="1" si="390"/>
        <v>145.15119358157162</v>
      </c>
      <c r="J884" s="306">
        <f t="shared" ca="1" si="391"/>
        <v>789.47388530180137</v>
      </c>
      <c r="K884" s="307">
        <f t="shared" ca="1" si="392"/>
        <v>977.47822479086813</v>
      </c>
      <c r="L884" s="304">
        <f t="shared" ca="1" si="377"/>
        <v>1256.4763012145627</v>
      </c>
      <c r="M884" s="306">
        <f t="shared" ca="1" si="393"/>
        <v>-1.4973792181314667</v>
      </c>
      <c r="N884" s="304">
        <f t="shared" ca="1" si="394"/>
        <v>-85.793509529532116</v>
      </c>
      <c r="P884" s="310">
        <f t="shared" ca="1" si="395"/>
        <v>23</v>
      </c>
      <c r="Q884" s="304">
        <f t="shared" ca="1" si="396"/>
        <v>0</v>
      </c>
      <c r="R884" s="306">
        <f t="shared" ca="1" si="397"/>
        <v>0</v>
      </c>
      <c r="S884" s="307">
        <f t="shared" ca="1" si="398"/>
        <v>9.137999999999975</v>
      </c>
      <c r="T884" s="304">
        <f t="shared" ca="1" si="378"/>
        <v>89.643779999999765</v>
      </c>
      <c r="U884" s="311">
        <f t="shared" ca="1" si="379"/>
        <v>0</v>
      </c>
      <c r="V884" s="306">
        <f t="shared" ca="1" si="380"/>
        <v>1.1108384394408539</v>
      </c>
      <c r="W884" s="304">
        <f t="shared" ca="1" si="381"/>
        <v>61.873833740222196</v>
      </c>
      <c r="Y884" s="314" t="str">
        <f t="shared" ca="1" si="399"/>
        <v/>
      </c>
      <c r="Z884" s="315" t="str">
        <f t="shared" ca="1" si="400"/>
        <v/>
      </c>
      <c r="AA884" s="316" t="str">
        <f t="shared" ca="1" si="401"/>
        <v/>
      </c>
      <c r="AC884" s="310">
        <f t="shared" ca="1" si="402"/>
        <v>43.000000000000277</v>
      </c>
      <c r="AD884" s="323">
        <f t="shared" ca="1" si="403"/>
        <v>789.47388530180137</v>
      </c>
      <c r="AE884" s="324" t="e">
        <f t="shared" ca="1" si="382"/>
        <v>#N/A</v>
      </c>
      <c r="AG884" s="306">
        <f t="shared" ca="1" si="404"/>
        <v>3.0503629177273934</v>
      </c>
      <c r="AH884" s="304">
        <f t="shared" ca="1" si="405"/>
        <v>-6.7328502905082628</v>
      </c>
    </row>
    <row r="885" spans="1:34" x14ac:dyDescent="0.2">
      <c r="A885" s="347">
        <f t="shared" ca="1" si="383"/>
        <v>0.1</v>
      </c>
      <c r="B885" s="304">
        <f t="shared" ca="1" si="384"/>
        <v>43.100000000000279</v>
      </c>
      <c r="D885" s="306">
        <f t="shared" ca="1" si="385"/>
        <v>-0.49666428684716663</v>
      </c>
      <c r="E885" s="307">
        <f t="shared" ca="1" si="386"/>
        <v>-3.0571923371941967</v>
      </c>
      <c r="F885" s="304">
        <f t="shared" ca="1" si="387"/>
        <v>3.0972730587451149</v>
      </c>
      <c r="G885" s="306">
        <f t="shared" ca="1" si="388"/>
        <v>10.597343813333742</v>
      </c>
      <c r="H885" s="307">
        <f t="shared" ca="1" si="389"/>
        <v>-145.06590081367335</v>
      </c>
      <c r="I885" s="304">
        <f t="shared" ca="1" si="390"/>
        <v>145.45246396943753</v>
      </c>
      <c r="J885" s="306">
        <f t="shared" ca="1" si="391"/>
        <v>790.53610300456899</v>
      </c>
      <c r="K885" s="307">
        <f t="shared" ca="1" si="392"/>
        <v>962.98692067118679</v>
      </c>
      <c r="L885" s="304">
        <f t="shared" ca="1" si="377"/>
        <v>1245.9097638021083</v>
      </c>
      <c r="M885" s="306">
        <f t="shared" ca="1" si="393"/>
        <v>-1.4978739330452913</v>
      </c>
      <c r="N885" s="304">
        <f t="shared" ca="1" si="394"/>
        <v>-85.821854606156435</v>
      </c>
      <c r="P885" s="310">
        <f t="shared" ca="1" si="395"/>
        <v>23</v>
      </c>
      <c r="Q885" s="304">
        <f t="shared" ca="1" si="396"/>
        <v>0</v>
      </c>
      <c r="R885" s="306">
        <f t="shared" ca="1" si="397"/>
        <v>0</v>
      </c>
      <c r="S885" s="307">
        <f t="shared" ca="1" si="398"/>
        <v>9.137999999999975</v>
      </c>
      <c r="T885" s="304">
        <f t="shared" ca="1" si="378"/>
        <v>89.643779999999765</v>
      </c>
      <c r="U885" s="311">
        <f t="shared" ca="1" si="379"/>
        <v>0</v>
      </c>
      <c r="V885" s="306">
        <f t="shared" ca="1" si="380"/>
        <v>1.1124531590096098</v>
      </c>
      <c r="W885" s="304">
        <f t="shared" ca="1" si="381"/>
        <v>62.221260132719379</v>
      </c>
      <c r="Y885" s="314" t="str">
        <f t="shared" ca="1" si="399"/>
        <v/>
      </c>
      <c r="Z885" s="315" t="str">
        <f t="shared" ca="1" si="400"/>
        <v/>
      </c>
      <c r="AA885" s="316" t="str">
        <f t="shared" ca="1" si="401"/>
        <v/>
      </c>
      <c r="AC885" s="310" t="e">
        <f t="shared" ca="1" si="402"/>
        <v>#N/A</v>
      </c>
      <c r="AD885" s="323" t="e">
        <f t="shared" ca="1" si="403"/>
        <v>#N/A</v>
      </c>
      <c r="AE885" s="324" t="e">
        <f t="shared" ca="1" si="382"/>
        <v>#N/A</v>
      </c>
      <c r="AG885" s="306">
        <f t="shared" ca="1" si="404"/>
        <v>3.012525886412587</v>
      </c>
      <c r="AH885" s="304">
        <f t="shared" ca="1" si="405"/>
        <v>-6.7710476844191687</v>
      </c>
    </row>
    <row r="886" spans="1:34" x14ac:dyDescent="0.2">
      <c r="A886" s="347">
        <f t="shared" ca="1" si="383"/>
        <v>0.1</v>
      </c>
      <c r="B886" s="304">
        <f t="shared" ca="1" si="384"/>
        <v>43.20000000000028</v>
      </c>
      <c r="D886" s="306">
        <f t="shared" ca="1" si="385"/>
        <v>-0.49609356146086842</v>
      </c>
      <c r="E886" s="307">
        <f t="shared" ca="1" si="386"/>
        <v>-3.0190285406579616</v>
      </c>
      <c r="F886" s="304">
        <f t="shared" ca="1" si="387"/>
        <v>3.0595166531709332</v>
      </c>
      <c r="G886" s="306">
        <f t="shared" ca="1" si="388"/>
        <v>10.547734457187655</v>
      </c>
      <c r="H886" s="307">
        <f t="shared" ca="1" si="389"/>
        <v>-145.36780366773914</v>
      </c>
      <c r="I886" s="304">
        <f t="shared" ca="1" si="390"/>
        <v>145.74996756555967</v>
      </c>
      <c r="J886" s="306">
        <f t="shared" ca="1" si="391"/>
        <v>791.59335691809508</v>
      </c>
      <c r="K886" s="307">
        <f t="shared" ca="1" si="392"/>
        <v>948.46523544711613</v>
      </c>
      <c r="L886" s="304">
        <f t="shared" ca="1" si="377"/>
        <v>1235.3972420110917</v>
      </c>
      <c r="M886" s="306">
        <f t="shared" ca="1" si="393"/>
        <v>-1.4983643172802934</v>
      </c>
      <c r="N886" s="304">
        <f t="shared" ca="1" si="394"/>
        <v>-85.849951553161816</v>
      </c>
      <c r="P886" s="310">
        <f t="shared" ca="1" si="395"/>
        <v>23</v>
      </c>
      <c r="Q886" s="304">
        <f t="shared" ca="1" si="396"/>
        <v>0</v>
      </c>
      <c r="R886" s="306">
        <f t="shared" ca="1" si="397"/>
        <v>0</v>
      </c>
      <c r="S886" s="307">
        <f t="shared" ca="1" si="398"/>
        <v>9.137999999999975</v>
      </c>
      <c r="T886" s="304">
        <f t="shared" ca="1" si="378"/>
        <v>89.643779999999765</v>
      </c>
      <c r="U886" s="311">
        <f t="shared" ca="1" si="379"/>
        <v>0</v>
      </c>
      <c r="V886" s="306">
        <f t="shared" ca="1" si="380"/>
        <v>1.1140735048735979</v>
      </c>
      <c r="W886" s="304">
        <f t="shared" ca="1" si="381"/>
        <v>62.567050614601122</v>
      </c>
      <c r="Y886" s="314" t="str">
        <f t="shared" ca="1" si="399"/>
        <v/>
      </c>
      <c r="Z886" s="315" t="str">
        <f t="shared" ca="1" si="400"/>
        <v/>
      </c>
      <c r="AA886" s="316" t="str">
        <f t="shared" ca="1" si="401"/>
        <v/>
      </c>
      <c r="AC886" s="310" t="e">
        <f t="shared" ca="1" si="402"/>
        <v>#N/A</v>
      </c>
      <c r="AD886" s="323" t="e">
        <f t="shared" ca="1" si="403"/>
        <v>#N/A</v>
      </c>
      <c r="AE886" s="324" t="e">
        <f t="shared" ca="1" si="382"/>
        <v>#N/A</v>
      </c>
      <c r="AG886" s="306">
        <f t="shared" ca="1" si="404"/>
        <v>2.9748607138705756</v>
      </c>
      <c r="AH886" s="304">
        <f t="shared" ca="1" si="405"/>
        <v>-6.8090676442021829</v>
      </c>
    </row>
    <row r="887" spans="1:34" x14ac:dyDescent="0.2">
      <c r="A887" s="347">
        <f t="shared" ca="1" si="383"/>
        <v>0.1</v>
      </c>
      <c r="B887" s="304">
        <f t="shared" ca="1" si="384"/>
        <v>43.300000000000281</v>
      </c>
      <c r="D887" s="306">
        <f t="shared" ca="1" si="385"/>
        <v>-0.49550181569807544</v>
      </c>
      <c r="E887" s="307">
        <f t="shared" ca="1" si="386"/>
        <v>-2.9810443646671549</v>
      </c>
      <c r="F887" s="304">
        <f t="shared" ca="1" si="387"/>
        <v>3.0219443332850937</v>
      </c>
      <c r="G887" s="306">
        <f t="shared" ca="1" si="388"/>
        <v>10.498184275617847</v>
      </c>
      <c r="H887" s="307">
        <f t="shared" ca="1" si="389"/>
        <v>-145.66590810420584</v>
      </c>
      <c r="I887" s="304">
        <f t="shared" ca="1" si="390"/>
        <v>146.04372173054125</v>
      </c>
      <c r="J887" s="306">
        <f t="shared" ca="1" si="391"/>
        <v>792.64565285473532</v>
      </c>
      <c r="K887" s="307">
        <f t="shared" ca="1" si="392"/>
        <v>933.91354985851888</v>
      </c>
      <c r="L887" s="304">
        <f t="shared" ca="1" si="377"/>
        <v>1224.9414882347849</v>
      </c>
      <c r="M887" s="306">
        <f t="shared" ca="1" si="393"/>
        <v>-1.4988504298528811</v>
      </c>
      <c r="N887" s="304">
        <f t="shared" ca="1" si="394"/>
        <v>-85.877803751939339</v>
      </c>
      <c r="P887" s="310">
        <f t="shared" ca="1" si="395"/>
        <v>23</v>
      </c>
      <c r="Q887" s="304">
        <f t="shared" ca="1" si="396"/>
        <v>0</v>
      </c>
      <c r="R887" s="306">
        <f t="shared" ca="1" si="397"/>
        <v>0</v>
      </c>
      <c r="S887" s="307">
        <f t="shared" ca="1" si="398"/>
        <v>9.137999999999975</v>
      </c>
      <c r="T887" s="304">
        <f t="shared" ca="1" si="378"/>
        <v>89.643779999999765</v>
      </c>
      <c r="U887" s="311">
        <f t="shared" ca="1" si="379"/>
        <v>0</v>
      </c>
      <c r="V887" s="306">
        <f t="shared" ca="1" si="380"/>
        <v>1.1156994532243667</v>
      </c>
      <c r="W887" s="304">
        <f t="shared" ca="1" si="381"/>
        <v>62.911191055375056</v>
      </c>
      <c r="Y887" s="314" t="str">
        <f t="shared" ca="1" si="399"/>
        <v/>
      </c>
      <c r="Z887" s="315" t="str">
        <f t="shared" ca="1" si="400"/>
        <v/>
      </c>
      <c r="AA887" s="316" t="str">
        <f t="shared" ca="1" si="401"/>
        <v/>
      </c>
      <c r="AC887" s="310" t="e">
        <f t="shared" ca="1" si="402"/>
        <v>#N/A</v>
      </c>
      <c r="AD887" s="323" t="e">
        <f t="shared" ca="1" si="403"/>
        <v>#N/A</v>
      </c>
      <c r="AE887" s="324" t="e">
        <f t="shared" ca="1" si="382"/>
        <v>#N/A</v>
      </c>
      <c r="AG887" s="306">
        <f t="shared" ca="1" si="404"/>
        <v>2.9373690951947875</v>
      </c>
      <c r="AH887" s="304">
        <f t="shared" ca="1" si="405"/>
        <v>-6.8469085811557555</v>
      </c>
    </row>
    <row r="888" spans="1:34" x14ac:dyDescent="0.2">
      <c r="A888" s="347">
        <f t="shared" ca="1" si="383"/>
        <v>0.1</v>
      </c>
      <c r="B888" s="304">
        <f t="shared" ca="1" si="384"/>
        <v>43.400000000000283</v>
      </c>
      <c r="D888" s="306">
        <f t="shared" ca="1" si="385"/>
        <v>-0.49488928813712935</v>
      </c>
      <c r="E888" s="307">
        <f t="shared" ca="1" si="386"/>
        <v>-2.9432413610832411</v>
      </c>
      <c r="F888" s="304">
        <f t="shared" ca="1" si="387"/>
        <v>2.9845577758026405</v>
      </c>
      <c r="G888" s="306">
        <f t="shared" ca="1" si="388"/>
        <v>10.448695346804135</v>
      </c>
      <c r="H888" s="307">
        <f t="shared" ca="1" si="389"/>
        <v>-145.96023224031416</v>
      </c>
      <c r="I888" s="304">
        <f t="shared" ca="1" si="390"/>
        <v>146.33374398988352</v>
      </c>
      <c r="J888" s="306">
        <f t="shared" ca="1" si="391"/>
        <v>793.69299683585643</v>
      </c>
      <c r="K888" s="307">
        <f t="shared" ca="1" si="392"/>
        <v>919.3322428412929</v>
      </c>
      <c r="L888" s="304">
        <f t="shared" ca="1" si="377"/>
        <v>1214.5453247836758</v>
      </c>
      <c r="M888" s="306">
        <f t="shared" ca="1" si="393"/>
        <v>-1.4993323286472584</v>
      </c>
      <c r="N888" s="304">
        <f t="shared" ca="1" si="394"/>
        <v>-85.905414519009597</v>
      </c>
      <c r="P888" s="310">
        <f t="shared" ca="1" si="395"/>
        <v>23</v>
      </c>
      <c r="Q888" s="304">
        <f t="shared" ca="1" si="396"/>
        <v>0</v>
      </c>
      <c r="R888" s="306">
        <f t="shared" ca="1" si="397"/>
        <v>0</v>
      </c>
      <c r="S888" s="307">
        <f t="shared" ca="1" si="398"/>
        <v>9.137999999999975</v>
      </c>
      <c r="T888" s="304">
        <f t="shared" ca="1" si="378"/>
        <v>89.643779999999765</v>
      </c>
      <c r="U888" s="311">
        <f t="shared" ca="1" si="379"/>
        <v>0</v>
      </c>
      <c r="V888" s="306">
        <f t="shared" ca="1" si="380"/>
        <v>1.1173309803193197</v>
      </c>
      <c r="W888" s="304">
        <f t="shared" ca="1" si="381"/>
        <v>63.253667709613673</v>
      </c>
      <c r="Y888" s="314" t="str">
        <f t="shared" ca="1" si="399"/>
        <v/>
      </c>
      <c r="Z888" s="315" t="str">
        <f t="shared" ca="1" si="400"/>
        <v/>
      </c>
      <c r="AA888" s="316" t="str">
        <f t="shared" ca="1" si="401"/>
        <v/>
      </c>
      <c r="AC888" s="310" t="e">
        <f t="shared" ca="1" si="402"/>
        <v>#N/A</v>
      </c>
      <c r="AD888" s="323" t="e">
        <f t="shared" ca="1" si="403"/>
        <v>#N/A</v>
      </c>
      <c r="AE888" s="324" t="e">
        <f t="shared" ca="1" si="382"/>
        <v>#N/A</v>
      </c>
      <c r="AG888" s="306">
        <f t="shared" ca="1" si="404"/>
        <v>2.9000526805979439</v>
      </c>
      <c r="AH888" s="304">
        <f t="shared" ca="1" si="405"/>
        <v>-6.8845689489357875</v>
      </c>
    </row>
    <row r="889" spans="1:34" x14ac:dyDescent="0.2">
      <c r="A889" s="347">
        <f t="shared" ca="1" si="383"/>
        <v>0.1</v>
      </c>
      <c r="B889" s="304">
        <f t="shared" ca="1" si="384"/>
        <v>43.500000000000284</v>
      </c>
      <c r="D889" s="306">
        <f t="shared" ca="1" si="385"/>
        <v>-0.49425621766920874</v>
      </c>
      <c r="E889" s="307">
        <f t="shared" ca="1" si="386"/>
        <v>-2.9056210394934734</v>
      </c>
      <c r="F889" s="304">
        <f t="shared" ca="1" si="387"/>
        <v>2.9473586198241648</v>
      </c>
      <c r="G889" s="306">
        <f t="shared" ca="1" si="388"/>
        <v>10.399269725037215</v>
      </c>
      <c r="H889" s="307">
        <f t="shared" ca="1" si="389"/>
        <v>-146.25079434426351</v>
      </c>
      <c r="I889" s="304">
        <f t="shared" ca="1" si="390"/>
        <v>146.62005202953017</v>
      </c>
      <c r="J889" s="306">
        <f t="shared" ca="1" si="391"/>
        <v>794.7353950894485</v>
      </c>
      <c r="K889" s="307">
        <f t="shared" ca="1" si="392"/>
        <v>904.72169151206401</v>
      </c>
      <c r="L889" s="304">
        <f t="shared" ca="1" si="377"/>
        <v>1204.2116455592147</v>
      </c>
      <c r="M889" s="306">
        <f t="shared" ca="1" si="393"/>
        <v>-1.4998100704422213</v>
      </c>
      <c r="N889" s="304">
        <f t="shared" ca="1" si="394"/>
        <v>-85.932787107557971</v>
      </c>
      <c r="P889" s="310">
        <f t="shared" ca="1" si="395"/>
        <v>23</v>
      </c>
      <c r="Q889" s="304">
        <f t="shared" ca="1" si="396"/>
        <v>0</v>
      </c>
      <c r="R889" s="306">
        <f t="shared" ca="1" si="397"/>
        <v>0</v>
      </c>
      <c r="S889" s="307">
        <f t="shared" ca="1" si="398"/>
        <v>9.137999999999975</v>
      </c>
      <c r="T889" s="304">
        <f t="shared" ca="1" si="378"/>
        <v>89.643779999999765</v>
      </c>
      <c r="U889" s="311">
        <f t="shared" ca="1" si="379"/>
        <v>0</v>
      </c>
      <c r="V889" s="306">
        <f t="shared" ca="1" si="380"/>
        <v>1.1189680624830061</v>
      </c>
      <c r="W889" s="304">
        <f t="shared" ca="1" si="381"/>
        <v>63.594467214882393</v>
      </c>
      <c r="Y889" s="314" t="str">
        <f t="shared" ca="1" si="399"/>
        <v/>
      </c>
      <c r="Z889" s="315" t="str">
        <f t="shared" ca="1" si="400"/>
        <v/>
      </c>
      <c r="AA889" s="316" t="str">
        <f t="shared" ca="1" si="401"/>
        <v/>
      </c>
      <c r="AC889" s="310" t="e">
        <f t="shared" ca="1" si="402"/>
        <v>#N/A</v>
      </c>
      <c r="AD889" s="323" t="e">
        <f t="shared" ca="1" si="403"/>
        <v>#N/A</v>
      </c>
      <c r="AE889" s="324" t="e">
        <f t="shared" ca="1" si="382"/>
        <v>#N/A</v>
      </c>
      <c r="AG889" s="306">
        <f t="shared" ca="1" si="404"/>
        <v>2.8629130757023749</v>
      </c>
      <c r="AH889" s="304">
        <f t="shared" ca="1" si="405"/>
        <v>-6.9220472433370368</v>
      </c>
    </row>
    <row r="890" spans="1:34" x14ac:dyDescent="0.2">
      <c r="A890" s="347">
        <f t="shared" ca="1" si="383"/>
        <v>0.1</v>
      </c>
      <c r="B890" s="304">
        <f t="shared" ca="1" si="384"/>
        <v>43.600000000000286</v>
      </c>
      <c r="D890" s="306">
        <f t="shared" ca="1" si="385"/>
        <v>-0.49360284344799332</v>
      </c>
      <c r="E890" s="307">
        <f t="shared" ca="1" si="386"/>
        <v>-2.8681848674381047</v>
      </c>
      <c r="F890" s="304">
        <f t="shared" ca="1" si="387"/>
        <v>2.9103484672562638</v>
      </c>
      <c r="G890" s="306">
        <f t="shared" ca="1" si="388"/>
        <v>10.349909440692414</v>
      </c>
      <c r="H890" s="307">
        <f t="shared" ca="1" si="389"/>
        <v>-146.53761283100732</v>
      </c>
      <c r="I890" s="304">
        <f t="shared" ca="1" si="390"/>
        <v>146.9026636914414</v>
      </c>
      <c r="J890" s="306">
        <f t="shared" ca="1" si="391"/>
        <v>795.772854047735</v>
      </c>
      <c r="K890" s="307">
        <f t="shared" ca="1" si="392"/>
        <v>890.08227115330044</v>
      </c>
      <c r="L890" s="304">
        <f t="shared" ca="1" si="377"/>
        <v>1193.9434176964564</v>
      </c>
      <c r="M890" s="306">
        <f t="shared" ca="1" si="393"/>
        <v>-1.5002837109372009</v>
      </c>
      <c r="N890" s="304">
        <f t="shared" ca="1" si="394"/>
        <v>-85.959924708926792</v>
      </c>
      <c r="P890" s="310">
        <f t="shared" ca="1" si="395"/>
        <v>23</v>
      </c>
      <c r="Q890" s="304">
        <f t="shared" ca="1" si="396"/>
        <v>0</v>
      </c>
      <c r="R890" s="306">
        <f t="shared" ca="1" si="397"/>
        <v>0</v>
      </c>
      <c r="S890" s="307">
        <f t="shared" ca="1" si="398"/>
        <v>9.137999999999975</v>
      </c>
      <c r="T890" s="304">
        <f t="shared" ca="1" si="378"/>
        <v>89.643779999999765</v>
      </c>
      <c r="U890" s="311">
        <f t="shared" ca="1" si="379"/>
        <v>0</v>
      </c>
      <c r="V890" s="306">
        <f t="shared" ca="1" si="380"/>
        <v>1.1206106761084005</v>
      </c>
      <c r="W890" s="304">
        <f t="shared" ca="1" si="381"/>
        <v>63.933576589595354</v>
      </c>
      <c r="Y890" s="314" t="str">
        <f t="shared" ca="1" si="399"/>
        <v/>
      </c>
      <c r="Z890" s="315" t="str">
        <f t="shared" ca="1" si="400"/>
        <v/>
      </c>
      <c r="AA890" s="316" t="str">
        <f t="shared" ca="1" si="401"/>
        <v/>
      </c>
      <c r="AC890" s="310" t="e">
        <f t="shared" ca="1" si="402"/>
        <v>#N/A</v>
      </c>
      <c r="AD890" s="323" t="e">
        <f t="shared" ca="1" si="403"/>
        <v>#N/A</v>
      </c>
      <c r="AE890" s="324" t="e">
        <f t="shared" ca="1" si="382"/>
        <v>#N/A</v>
      </c>
      <c r="AG890" s="306">
        <f t="shared" ca="1" si="404"/>
        <v>2.8259518418361171</v>
      </c>
      <c r="AH890" s="304">
        <f t="shared" ca="1" si="405"/>
        <v>-6.9593420020663785</v>
      </c>
    </row>
    <row r="891" spans="1:34" x14ac:dyDescent="0.2">
      <c r="A891" s="347">
        <f t="shared" ca="1" si="383"/>
        <v>0.1</v>
      </c>
      <c r="B891" s="304">
        <f t="shared" ca="1" si="384"/>
        <v>43.700000000000287</v>
      </c>
      <c r="D891" s="306">
        <f t="shared" ca="1" si="385"/>
        <v>-0.49292940483996922</v>
      </c>
      <c r="E891" s="307">
        <f t="shared" ca="1" si="386"/>
        <v>-2.8309342706455665</v>
      </c>
      <c r="F891" s="304">
        <f t="shared" ca="1" si="387"/>
        <v>2.8735288832499024</v>
      </c>
      <c r="G891" s="306">
        <f t="shared" ca="1" si="388"/>
        <v>10.300616500208417</v>
      </c>
      <c r="H891" s="307">
        <f t="shared" ca="1" si="389"/>
        <v>-146.82070625807188</v>
      </c>
      <c r="I891" s="304">
        <f t="shared" ca="1" si="390"/>
        <v>147.18159696919787</v>
      </c>
      <c r="J891" s="306">
        <f t="shared" ca="1" si="391"/>
        <v>796.80538034478002</v>
      </c>
      <c r="K891" s="307">
        <f t="shared" ca="1" si="392"/>
        <v>875.41435519884647</v>
      </c>
      <c r="L891" s="304">
        <f t="shared" ca="1" si="377"/>
        <v>1183.7436831656596</v>
      </c>
      <c r="M891" s="306">
        <f t="shared" ca="1" si="393"/>
        <v>-1.5007533047775818</v>
      </c>
      <c r="N891" s="304">
        <f t="shared" ca="1" si="394"/>
        <v>-85.986830454065966</v>
      </c>
      <c r="P891" s="310">
        <f t="shared" ca="1" si="395"/>
        <v>23</v>
      </c>
      <c r="Q891" s="304">
        <f t="shared" ca="1" si="396"/>
        <v>0</v>
      </c>
      <c r="R891" s="306">
        <f t="shared" ca="1" si="397"/>
        <v>0</v>
      </c>
      <c r="S891" s="307">
        <f t="shared" ca="1" si="398"/>
        <v>9.137999999999975</v>
      </c>
      <c r="T891" s="304">
        <f t="shared" ca="1" si="378"/>
        <v>89.643779999999765</v>
      </c>
      <c r="U891" s="311">
        <f t="shared" ca="1" si="379"/>
        <v>0</v>
      </c>
      <c r="V891" s="306">
        <f t="shared" ca="1" si="380"/>
        <v>1.1222587976581633</v>
      </c>
      <c r="W891" s="304">
        <f t="shared" ca="1" si="381"/>
        <v>64.270983230800397</v>
      </c>
      <c r="Y891" s="314" t="str">
        <f t="shared" ca="1" si="399"/>
        <v/>
      </c>
      <c r="Z891" s="315" t="str">
        <f t="shared" ca="1" si="400"/>
        <v/>
      </c>
      <c r="AA891" s="316" t="str">
        <f t="shared" ca="1" si="401"/>
        <v/>
      </c>
      <c r="AC891" s="310" t="e">
        <f t="shared" ca="1" si="402"/>
        <v>#N/A</v>
      </c>
      <c r="AD891" s="323" t="e">
        <f t="shared" ca="1" si="403"/>
        <v>#N/A</v>
      </c>
      <c r="AE891" s="324" t="e">
        <f t="shared" ca="1" si="382"/>
        <v>#N/A</v>
      </c>
      <c r="AG891" s="306">
        <f t="shared" ca="1" si="404"/>
        <v>2.7891704963346653</v>
      </c>
      <c r="AH891" s="304">
        <f t="shared" ca="1" si="405"/>
        <v>-6.9964518045081556</v>
      </c>
    </row>
    <row r="892" spans="1:34" x14ac:dyDescent="0.2">
      <c r="A892" s="347">
        <f t="shared" ca="1" si="383"/>
        <v>0.1</v>
      </c>
      <c r="B892" s="304">
        <f t="shared" ca="1" si="384"/>
        <v>43.800000000000288</v>
      </c>
      <c r="D892" s="306">
        <f t="shared" ca="1" si="385"/>
        <v>-0.49223614137537197</v>
      </c>
      <c r="E892" s="307">
        <f t="shared" ca="1" si="386"/>
        <v>-2.7938706332753966</v>
      </c>
      <c r="F892" s="304">
        <f t="shared" ca="1" si="387"/>
        <v>2.8369013966570606</v>
      </c>
      <c r="G892" s="306">
        <f t="shared" ca="1" si="388"/>
        <v>10.25139288607088</v>
      </c>
      <c r="H892" s="307">
        <f t="shared" ca="1" si="389"/>
        <v>-147.10009332139941</v>
      </c>
      <c r="I892" s="304">
        <f t="shared" ca="1" si="390"/>
        <v>147.45687000363532</v>
      </c>
      <c r="J892" s="306">
        <f t="shared" ca="1" si="391"/>
        <v>797.83298081409396</v>
      </c>
      <c r="K892" s="307">
        <f t="shared" ca="1" si="392"/>
        <v>860.71831521987292</v>
      </c>
      <c r="L892" s="304">
        <f t="shared" ca="1" si="377"/>
        <v>1173.6155603218795</v>
      </c>
      <c r="M892" s="306">
        <f t="shared" ca="1" si="393"/>
        <v>-1.5012189055793175</v>
      </c>
      <c r="N892" s="304">
        <f t="shared" ca="1" si="394"/>
        <v>-86.013507414943319</v>
      </c>
      <c r="P892" s="310">
        <f t="shared" ca="1" si="395"/>
        <v>23</v>
      </c>
      <c r="Q892" s="304">
        <f t="shared" ca="1" si="396"/>
        <v>0</v>
      </c>
      <c r="R892" s="306">
        <f t="shared" ca="1" si="397"/>
        <v>0</v>
      </c>
      <c r="S892" s="307">
        <f t="shared" ca="1" si="398"/>
        <v>9.137999999999975</v>
      </c>
      <c r="T892" s="304">
        <f t="shared" ca="1" si="378"/>
        <v>89.643779999999765</v>
      </c>
      <c r="U892" s="311">
        <f t="shared" ca="1" si="379"/>
        <v>0</v>
      </c>
      <c r="V892" s="306">
        <f t="shared" ca="1" si="380"/>
        <v>1.1239124036658819</v>
      </c>
      <c r="W892" s="304">
        <f t="shared" ca="1" si="381"/>
        <v>64.606674911894984</v>
      </c>
      <c r="Y892" s="314" t="str">
        <f t="shared" ca="1" si="399"/>
        <v/>
      </c>
      <c r="Z892" s="315" t="str">
        <f t="shared" ca="1" si="400"/>
        <v/>
      </c>
      <c r="AA892" s="316" t="str">
        <f t="shared" ca="1" si="401"/>
        <v/>
      </c>
      <c r="AC892" s="310" t="e">
        <f t="shared" ca="1" si="402"/>
        <v>#N/A</v>
      </c>
      <c r="AD892" s="323" t="e">
        <f t="shared" ca="1" si="403"/>
        <v>#N/A</v>
      </c>
      <c r="AE892" s="324" t="e">
        <f t="shared" ca="1" si="382"/>
        <v>#N/A</v>
      </c>
      <c r="AG892" s="306">
        <f t="shared" ca="1" si="404"/>
        <v>2.7525705128482549</v>
      </c>
      <c r="AH892" s="304">
        <f t="shared" ca="1" si="405"/>
        <v>-7.0333752714817876</v>
      </c>
    </row>
    <row r="893" spans="1:34" x14ac:dyDescent="0.2">
      <c r="A893" s="347">
        <f t="shared" ca="1" si="383"/>
        <v>0.1</v>
      </c>
      <c r="B893" s="304">
        <f t="shared" ca="1" si="384"/>
        <v>43.90000000000029</v>
      </c>
      <c r="D893" s="306">
        <f t="shared" ca="1" si="385"/>
        <v>-0.49152329269976536</v>
      </c>
      <c r="E893" s="307">
        <f t="shared" ca="1" si="386"/>
        <v>-2.7569952981687864</v>
      </c>
      <c r="F893" s="304">
        <f t="shared" ca="1" si="387"/>
        <v>2.800467500506159</v>
      </c>
      <c r="G893" s="306">
        <f t="shared" ca="1" si="388"/>
        <v>10.202240556800904</v>
      </c>
      <c r="H893" s="307">
        <f t="shared" ca="1" si="389"/>
        <v>-147.37579285121629</v>
      </c>
      <c r="I893" s="304">
        <f t="shared" ca="1" si="390"/>
        <v>147.72850107851039</v>
      </c>
      <c r="J893" s="306">
        <f t="shared" ca="1" si="391"/>
        <v>798.85566248623752</v>
      </c>
      <c r="K893" s="307">
        <f t="shared" ca="1" si="392"/>
        <v>845.99452091124215</v>
      </c>
      <c r="L893" s="304">
        <f t="shared" ca="1" si="377"/>
        <v>1163.5622453904939</v>
      </c>
      <c r="M893" s="306">
        <f t="shared" ca="1" si="393"/>
        <v>-1.5016805659528651</v>
      </c>
      <c r="N893" s="304">
        <f t="shared" ca="1" si="394"/>
        <v>-86.039958605916041</v>
      </c>
      <c r="P893" s="310">
        <f t="shared" ca="1" si="395"/>
        <v>23</v>
      </c>
      <c r="Q893" s="304">
        <f t="shared" ca="1" si="396"/>
        <v>0</v>
      </c>
      <c r="R893" s="306">
        <f t="shared" ca="1" si="397"/>
        <v>0</v>
      </c>
      <c r="S893" s="307">
        <f t="shared" ca="1" si="398"/>
        <v>9.137999999999975</v>
      </c>
      <c r="T893" s="304">
        <f t="shared" ca="1" si="378"/>
        <v>89.643779999999765</v>
      </c>
      <c r="U893" s="311">
        <f t="shared" ca="1" si="379"/>
        <v>0</v>
      </c>
      <c r="V893" s="306">
        <f t="shared" ca="1" si="380"/>
        <v>1.1255714707372984</v>
      </c>
      <c r="W893" s="304">
        <f t="shared" ca="1" si="381"/>
        <v>64.94063978027512</v>
      </c>
      <c r="Y893" s="314" t="str">
        <f t="shared" ca="1" si="399"/>
        <v/>
      </c>
      <c r="Z893" s="315" t="str">
        <f t="shared" ca="1" si="400"/>
        <v/>
      </c>
      <c r="AA893" s="316" t="str">
        <f t="shared" ca="1" si="401"/>
        <v/>
      </c>
      <c r="AC893" s="310" t="e">
        <f t="shared" ca="1" si="402"/>
        <v>#N/A</v>
      </c>
      <c r="AD893" s="323" t="e">
        <f t="shared" ca="1" si="403"/>
        <v>#N/A</v>
      </c>
      <c r="AE893" s="324" t="e">
        <f t="shared" ca="1" si="382"/>
        <v>#N/A</v>
      </c>
      <c r="AG893" s="306">
        <f t="shared" ca="1" si="404"/>
        <v>2.7161533216546214</v>
      </c>
      <c r="AH893" s="304">
        <f t="shared" ca="1" si="405"/>
        <v>-7.07011106499181</v>
      </c>
    </row>
    <row r="894" spans="1:34" x14ac:dyDescent="0.2">
      <c r="A894" s="347">
        <f t="shared" ca="1" si="383"/>
        <v>0.1</v>
      </c>
      <c r="B894" s="304">
        <f t="shared" ca="1" si="384"/>
        <v>44.000000000000291</v>
      </c>
      <c r="D894" s="306">
        <f t="shared" ca="1" si="385"/>
        <v>-0.49079109852627861</v>
      </c>
      <c r="E894" s="307">
        <f t="shared" ca="1" si="386"/>
        <v>-2.7203095671064705</v>
      </c>
      <c r="F894" s="304">
        <f t="shared" ca="1" si="387"/>
        <v>2.7642286524966826</v>
      </c>
      <c r="G894" s="306">
        <f t="shared" ca="1" si="388"/>
        <v>10.153161446948276</v>
      </c>
      <c r="H894" s="307">
        <f t="shared" ca="1" si="389"/>
        <v>-147.64782380792693</v>
      </c>
      <c r="I894" s="304">
        <f t="shared" ca="1" si="390"/>
        <v>147.99650861619821</v>
      </c>
      <c r="J894" s="306">
        <f t="shared" ca="1" si="391"/>
        <v>799.873432586425</v>
      </c>
      <c r="K894" s="307">
        <f t="shared" ca="1" si="392"/>
        <v>831.24334007828497</v>
      </c>
      <c r="L894" s="304">
        <f t="shared" ca="1" si="377"/>
        <v>1153.5870138754569</v>
      </c>
      <c r="M894" s="306">
        <f t="shared" ca="1" si="393"/>
        <v>-1.5021383375264625</v>
      </c>
      <c r="N894" s="304">
        <f t="shared" ca="1" si="394"/>
        <v>-86.066186985064235</v>
      </c>
      <c r="P894" s="310">
        <f t="shared" ca="1" si="395"/>
        <v>23</v>
      </c>
      <c r="Q894" s="304">
        <f t="shared" ca="1" si="396"/>
        <v>0</v>
      </c>
      <c r="R894" s="306">
        <f t="shared" ca="1" si="397"/>
        <v>0</v>
      </c>
      <c r="S894" s="307">
        <f t="shared" ca="1" si="398"/>
        <v>9.137999999999975</v>
      </c>
      <c r="T894" s="304">
        <f t="shared" ca="1" si="378"/>
        <v>89.643779999999765</v>
      </c>
      <c r="U894" s="311">
        <f t="shared" ca="1" si="379"/>
        <v>0</v>
      </c>
      <c r="V894" s="306">
        <f t="shared" ca="1" si="380"/>
        <v>1.1272359755515127</v>
      </c>
      <c r="W894" s="304">
        <f t="shared" ca="1" si="381"/>
        <v>65.272866354918619</v>
      </c>
      <c r="Y894" s="314" t="str">
        <f t="shared" ca="1" si="399"/>
        <v/>
      </c>
      <c r="Z894" s="315" t="str">
        <f t="shared" ca="1" si="400"/>
        <v/>
      </c>
      <c r="AA894" s="316" t="str">
        <f t="shared" ca="1" si="401"/>
        <v/>
      </c>
      <c r="AC894" s="310">
        <f t="shared" ca="1" si="402"/>
        <v>44.000000000000291</v>
      </c>
      <c r="AD894" s="323">
        <f t="shared" ca="1" si="403"/>
        <v>799.873432586425</v>
      </c>
      <c r="AE894" s="324" t="e">
        <f t="shared" ca="1" si="382"/>
        <v>#N/A</v>
      </c>
      <c r="AG894" s="306">
        <f t="shared" ca="1" si="404"/>
        <v>2.6799203099770299</v>
      </c>
      <c r="AH894" s="304">
        <f t="shared" ca="1" si="405"/>
        <v>-7.1066578879705951</v>
      </c>
    </row>
    <row r="895" spans="1:34" x14ac:dyDescent="0.2">
      <c r="A895" s="347">
        <f t="shared" ca="1" si="383"/>
        <v>0.1</v>
      </c>
      <c r="B895" s="304">
        <f t="shared" ca="1" si="384"/>
        <v>44.100000000000293</v>
      </c>
      <c r="D895" s="306">
        <f t="shared" ca="1" si="385"/>
        <v>-0.49003979858849817</v>
      </c>
      <c r="E895" s="307">
        <f t="shared" ca="1" si="386"/>
        <v>-2.6838147010738371</v>
      </c>
      <c r="F895" s="304">
        <f t="shared" ca="1" si="387"/>
        <v>2.7281862755135884</v>
      </c>
      <c r="G895" s="306">
        <f t="shared" ca="1" si="388"/>
        <v>10.104157467089427</v>
      </c>
      <c r="H895" s="307">
        <f t="shared" ca="1" si="389"/>
        <v>-147.91620527803431</v>
      </c>
      <c r="I895" s="304">
        <f t="shared" ca="1" si="390"/>
        <v>148.26091117342199</v>
      </c>
      <c r="J895" s="306">
        <f t="shared" ca="1" si="391"/>
        <v>800.88629853212683</v>
      </c>
      <c r="K895" s="307">
        <f t="shared" ca="1" si="392"/>
        <v>816.46513862398695</v>
      </c>
      <c r="L895" s="304">
        <f t="shared" ca="1" si="377"/>
        <v>1143.6932218758566</v>
      </c>
      <c r="M895" s="306">
        <f t="shared" ca="1" si="393"/>
        <v>-1.5025922709687671</v>
      </c>
      <c r="N895" s="304">
        <f t="shared" ca="1" si="394"/>
        <v>-86.092195455488124</v>
      </c>
      <c r="P895" s="310">
        <f t="shared" ca="1" si="395"/>
        <v>23</v>
      </c>
      <c r="Q895" s="304">
        <f t="shared" ca="1" si="396"/>
        <v>0</v>
      </c>
      <c r="R895" s="306">
        <f t="shared" ca="1" si="397"/>
        <v>0</v>
      </c>
      <c r="S895" s="307">
        <f t="shared" ca="1" si="398"/>
        <v>9.137999999999975</v>
      </c>
      <c r="T895" s="304">
        <f t="shared" ca="1" si="378"/>
        <v>89.643779999999765</v>
      </c>
      <c r="U895" s="311">
        <f t="shared" ca="1" si="379"/>
        <v>0</v>
      </c>
      <c r="V895" s="306">
        <f t="shared" ca="1" si="380"/>
        <v>1.1289058948621769</v>
      </c>
      <c r="W895" s="304">
        <f t="shared" ca="1" si="381"/>
        <v>65.603343523905096</v>
      </c>
      <c r="Y895" s="314" t="str">
        <f t="shared" ca="1" si="399"/>
        <v/>
      </c>
      <c r="Z895" s="315" t="str">
        <f t="shared" ca="1" si="400"/>
        <v/>
      </c>
      <c r="AA895" s="316" t="str">
        <f t="shared" ca="1" si="401"/>
        <v/>
      </c>
      <c r="AC895" s="310" t="e">
        <f t="shared" ca="1" si="402"/>
        <v>#N/A</v>
      </c>
      <c r="AD895" s="323" t="e">
        <f t="shared" ca="1" si="403"/>
        <v>#N/A</v>
      </c>
      <c r="AE895" s="324" t="e">
        <f t="shared" ca="1" si="382"/>
        <v>#N/A</v>
      </c>
      <c r="AG895" s="306">
        <f t="shared" ca="1" si="404"/>
        <v>2.643872822307574</v>
      </c>
      <c r="AH895" s="304">
        <f t="shared" ca="1" si="405"/>
        <v>-7.1430144840138761</v>
      </c>
    </row>
    <row r="896" spans="1:34" x14ac:dyDescent="0.2">
      <c r="A896" s="347">
        <f t="shared" ca="1" si="383"/>
        <v>0.1</v>
      </c>
      <c r="B896" s="304">
        <f t="shared" ca="1" si="384"/>
        <v>44.200000000000294</v>
      </c>
      <c r="D896" s="306">
        <f t="shared" ca="1" si="385"/>
        <v>-0.48926963259402051</v>
      </c>
      <c r="E896" s="307">
        <f t="shared" ca="1" si="386"/>
        <v>-2.647511920532998</v>
      </c>
      <c r="F896" s="304">
        <f t="shared" ca="1" si="387"/>
        <v>2.6923417581620299</v>
      </c>
      <c r="G896" s="306">
        <f t="shared" ca="1" si="388"/>
        <v>10.055230503830025</v>
      </c>
      <c r="H896" s="307">
        <f t="shared" ca="1" si="389"/>
        <v>-148.18095647008761</v>
      </c>
      <c r="I896" s="304">
        <f t="shared" ca="1" si="390"/>
        <v>148.52172743701561</v>
      </c>
      <c r="J896" s="306">
        <f t="shared" ca="1" si="391"/>
        <v>801.89426793067275</v>
      </c>
      <c r="K896" s="307">
        <f t="shared" ca="1" si="392"/>
        <v>801.6602805365809</v>
      </c>
      <c r="L896" s="304">
        <f t="shared" ca="1" si="377"/>
        <v>1133.884307295087</v>
      </c>
      <c r="M896" s="306">
        <f t="shared" ca="1" si="393"/>
        <v>-1.5030424160108797</v>
      </c>
      <c r="N896" s="304">
        <f t="shared" ca="1" si="394"/>
        <v>-86.117986866569922</v>
      </c>
      <c r="P896" s="310">
        <f t="shared" ca="1" si="395"/>
        <v>23</v>
      </c>
      <c r="Q896" s="304">
        <f t="shared" ca="1" si="396"/>
        <v>0</v>
      </c>
      <c r="R896" s="306">
        <f t="shared" ca="1" si="397"/>
        <v>0</v>
      </c>
      <c r="S896" s="307">
        <f t="shared" ca="1" si="398"/>
        <v>9.137999999999975</v>
      </c>
      <c r="T896" s="304">
        <f t="shared" ca="1" si="378"/>
        <v>89.643779999999765</v>
      </c>
      <c r="U896" s="311">
        <f t="shared" ca="1" si="379"/>
        <v>0</v>
      </c>
      <c r="V896" s="306">
        <f t="shared" ca="1" si="380"/>
        <v>1.1305812054986626</v>
      </c>
      <c r="W896" s="304">
        <f t="shared" ca="1" si="381"/>
        <v>65.932060541873753</v>
      </c>
      <c r="Y896" s="314" t="str">
        <f t="shared" ca="1" si="399"/>
        <v/>
      </c>
      <c r="Z896" s="315" t="str">
        <f t="shared" ca="1" si="400"/>
        <v/>
      </c>
      <c r="AA896" s="316" t="str">
        <f t="shared" ca="1" si="401"/>
        <v/>
      </c>
      <c r="AC896" s="310" t="e">
        <f t="shared" ca="1" si="402"/>
        <v>#N/A</v>
      </c>
      <c r="AD896" s="323" t="e">
        <f t="shared" ca="1" si="403"/>
        <v>#N/A</v>
      </c>
      <c r="AE896" s="324" t="e">
        <f t="shared" ca="1" si="382"/>
        <v>#N/A</v>
      </c>
      <c r="AG896" s="306">
        <f t="shared" ca="1" si="404"/>
        <v>2.6080121607354778</v>
      </c>
      <c r="AH896" s="304">
        <f t="shared" ca="1" si="405"/>
        <v>-7.1791796371093541</v>
      </c>
    </row>
    <row r="897" spans="1:34" x14ac:dyDescent="0.2">
      <c r="A897" s="347">
        <f t="shared" ca="1" si="383"/>
        <v>0.1</v>
      </c>
      <c r="B897" s="304">
        <f t="shared" ca="1" si="384"/>
        <v>44.300000000000296</v>
      </c>
      <c r="D897" s="306">
        <f t="shared" ca="1" si="385"/>
        <v>-0.48848084017865989</v>
      </c>
      <c r="E897" s="307">
        <f t="shared" ca="1" si="386"/>
        <v>-2.6114024057016811</v>
      </c>
      <c r="F897" s="304">
        <f t="shared" ca="1" si="387"/>
        <v>2.6566964553230723</v>
      </c>
      <c r="G897" s="306">
        <f t="shared" ca="1" si="388"/>
        <v>10.006382419812159</v>
      </c>
      <c r="H897" s="307">
        <f t="shared" ca="1" si="389"/>
        <v>-148.44209671065778</v>
      </c>
      <c r="I897" s="304">
        <f t="shared" ca="1" si="390"/>
        <v>148.77897621971931</v>
      </c>
      <c r="J897" s="306">
        <f t="shared" ca="1" si="391"/>
        <v>802.89734857685482</v>
      </c>
      <c r="K897" s="307">
        <f t="shared" ca="1" si="392"/>
        <v>786.82912787754367</v>
      </c>
      <c r="L897" s="304">
        <f t="shared" ca="1" si="377"/>
        <v>1124.1637909256283</v>
      </c>
      <c r="M897" s="306">
        <f t="shared" ca="1" si="393"/>
        <v>-1.5034888214677675</v>
      </c>
      <c r="N897" s="304">
        <f t="shared" ca="1" si="394"/>
        <v>-86.143564015201207</v>
      </c>
      <c r="P897" s="310">
        <f t="shared" ca="1" si="395"/>
        <v>23</v>
      </c>
      <c r="Q897" s="304">
        <f t="shared" ca="1" si="396"/>
        <v>0</v>
      </c>
      <c r="R897" s="306">
        <f t="shared" ca="1" si="397"/>
        <v>0</v>
      </c>
      <c r="S897" s="307">
        <f t="shared" ca="1" si="398"/>
        <v>9.137999999999975</v>
      </c>
      <c r="T897" s="304">
        <f t="shared" ca="1" si="378"/>
        <v>89.643779999999765</v>
      </c>
      <c r="U897" s="311">
        <f t="shared" ca="1" si="379"/>
        <v>0</v>
      </c>
      <c r="V897" s="306">
        <f t="shared" ca="1" si="380"/>
        <v>1.1322618843672183</v>
      </c>
      <c r="W897" s="304">
        <f t="shared" ca="1" si="381"/>
        <v>66.25900702742149</v>
      </c>
      <c r="Y897" s="314" t="str">
        <f t="shared" ca="1" si="399"/>
        <v/>
      </c>
      <c r="Z897" s="315" t="str">
        <f t="shared" ca="1" si="400"/>
        <v/>
      </c>
      <c r="AA897" s="316" t="str">
        <f t="shared" ca="1" si="401"/>
        <v/>
      </c>
      <c r="AC897" s="310" t="e">
        <f t="shared" ca="1" si="402"/>
        <v>#N/A</v>
      </c>
      <c r="AD897" s="323" t="e">
        <f t="shared" ca="1" si="403"/>
        <v>#N/A</v>
      </c>
      <c r="AE897" s="324" t="e">
        <f t="shared" ca="1" si="382"/>
        <v>#N/A</v>
      </c>
      <c r="AG897" s="306">
        <f t="shared" ca="1" si="404"/>
        <v>2.572339585280405</v>
      </c>
      <c r="AH897" s="304">
        <f t="shared" ca="1" si="405"/>
        <v>-7.2151521713584952</v>
      </c>
    </row>
    <row r="898" spans="1:34" x14ac:dyDescent="0.2">
      <c r="A898" s="347">
        <f t="shared" ca="1" si="383"/>
        <v>0.1</v>
      </c>
      <c r="B898" s="304">
        <f t="shared" ca="1" si="384"/>
        <v>44.400000000000297</v>
      </c>
      <c r="D898" s="306">
        <f t="shared" ca="1" si="385"/>
        <v>-0.48767366086135056</v>
      </c>
      <c r="E898" s="307">
        <f t="shared" ca="1" si="386"/>
        <v>-2.5754872968386895</v>
      </c>
      <c r="F898" s="304">
        <f t="shared" ca="1" si="387"/>
        <v>2.6212516887310482</v>
      </c>
      <c r="G898" s="306">
        <f t="shared" ca="1" si="388"/>
        <v>9.9576150537260233</v>
      </c>
      <c r="H898" s="307">
        <f t="shared" ca="1" si="389"/>
        <v>-148.69964544034164</v>
      </c>
      <c r="I898" s="304">
        <f t="shared" ca="1" si="390"/>
        <v>149.03267645600917</v>
      </c>
      <c r="J898" s="306">
        <f t="shared" ca="1" si="391"/>
        <v>803.89554845053169</v>
      </c>
      <c r="K898" s="307">
        <f t="shared" ca="1" si="392"/>
        <v>771.97204076999367</v>
      </c>
      <c r="L898" s="304">
        <f t="shared" ca="1" si="377"/>
        <v>1114.5352773910613</v>
      </c>
      <c r="M898" s="306">
        <f t="shared" ca="1" si="393"/>
        <v>-1.5039315352591121</v>
      </c>
      <c r="N898" s="304">
        <f t="shared" ca="1" si="394"/>
        <v>-86.168929646977475</v>
      </c>
      <c r="P898" s="310">
        <f t="shared" ca="1" si="395"/>
        <v>23</v>
      </c>
      <c r="Q898" s="304">
        <f t="shared" ca="1" si="396"/>
        <v>0</v>
      </c>
      <c r="R898" s="306">
        <f t="shared" ca="1" si="397"/>
        <v>0</v>
      </c>
      <c r="S898" s="307">
        <f t="shared" ca="1" si="398"/>
        <v>9.137999999999975</v>
      </c>
      <c r="T898" s="304">
        <f t="shared" ca="1" si="378"/>
        <v>89.643779999999765</v>
      </c>
      <c r="U898" s="311">
        <f t="shared" ca="1" si="379"/>
        <v>0</v>
      </c>
      <c r="V898" s="306">
        <f t="shared" ca="1" si="380"/>
        <v>1.133947908452106</v>
      </c>
      <c r="W898" s="304">
        <f t="shared" ca="1" si="381"/>
        <v>66.5841729604427</v>
      </c>
      <c r="Y898" s="314" t="str">
        <f t="shared" ca="1" si="399"/>
        <v/>
      </c>
      <c r="Z898" s="315" t="str">
        <f t="shared" ca="1" si="400"/>
        <v/>
      </c>
      <c r="AA898" s="316" t="str">
        <f t="shared" ca="1" si="401"/>
        <v/>
      </c>
      <c r="AC898" s="310" t="e">
        <f t="shared" ca="1" si="402"/>
        <v>#N/A</v>
      </c>
      <c r="AD898" s="323" t="e">
        <f t="shared" ca="1" si="403"/>
        <v>#N/A</v>
      </c>
      <c r="AE898" s="324" t="e">
        <f t="shared" ca="1" si="382"/>
        <v>#N/A</v>
      </c>
      <c r="AG898" s="306">
        <f t="shared" ca="1" si="404"/>
        <v>2.5368563142305431</v>
      </c>
      <c r="AH898" s="304">
        <f t="shared" ca="1" si="405"/>
        <v>-7.2509309506918003</v>
      </c>
    </row>
    <row r="899" spans="1:34" x14ac:dyDescent="0.2">
      <c r="A899" s="347">
        <f t="shared" ca="1" si="383"/>
        <v>0.1</v>
      </c>
      <c r="B899" s="304">
        <f t="shared" ca="1" si="384"/>
        <v>44.500000000000298</v>
      </c>
      <c r="D899" s="306">
        <f t="shared" ca="1" si="385"/>
        <v>-0.48684833399969563</v>
      </c>
      <c r="E899" s="307">
        <f t="shared" ca="1" si="386"/>
        <v>-2.5397676945357732</v>
      </c>
      <c r="F899" s="304">
        <f t="shared" ca="1" si="387"/>
        <v>2.5860087475733402</v>
      </c>
      <c r="G899" s="306">
        <f t="shared" ca="1" si="388"/>
        <v>9.9089302203260541</v>
      </c>
      <c r="H899" s="307">
        <f t="shared" ca="1" si="389"/>
        <v>-148.95362220979521</v>
      </c>
      <c r="I899" s="304">
        <f t="shared" ca="1" si="390"/>
        <v>149.28284719796071</v>
      </c>
      <c r="J899" s="306">
        <f t="shared" ca="1" si="391"/>
        <v>804.88887571423425</v>
      </c>
      <c r="K899" s="307">
        <f t="shared" ca="1" si="392"/>
        <v>757.08937738748682</v>
      </c>
      <c r="L899" s="304">
        <f t="shared" ca="1" si="377"/>
        <v>1105.0024559255496</v>
      </c>
      <c r="M899" s="306">
        <f t="shared" ca="1" si="393"/>
        <v>-1.504370604429593</v>
      </c>
      <c r="N899" s="304">
        <f t="shared" ca="1" si="394"/>
        <v>-86.194086457360342</v>
      </c>
      <c r="P899" s="310">
        <f t="shared" ca="1" si="395"/>
        <v>23</v>
      </c>
      <c r="Q899" s="304">
        <f t="shared" ca="1" si="396"/>
        <v>0</v>
      </c>
      <c r="R899" s="306">
        <f t="shared" ca="1" si="397"/>
        <v>0</v>
      </c>
      <c r="S899" s="307">
        <f t="shared" ca="1" si="398"/>
        <v>9.137999999999975</v>
      </c>
      <c r="T899" s="304">
        <f t="shared" ca="1" si="378"/>
        <v>89.643779999999765</v>
      </c>
      <c r="U899" s="311">
        <f t="shared" ca="1" si="379"/>
        <v>0</v>
      </c>
      <c r="V899" s="306">
        <f t="shared" ca="1" si="380"/>
        <v>1.1356392548167178</v>
      </c>
      <c r="W899" s="304">
        <f t="shared" ca="1" si="381"/>
        <v>66.907548679412301</v>
      </c>
      <c r="Y899" s="314" t="str">
        <f t="shared" ca="1" si="399"/>
        <v/>
      </c>
      <c r="Z899" s="315" t="str">
        <f t="shared" ca="1" si="400"/>
        <v/>
      </c>
      <c r="AA899" s="316" t="str">
        <f t="shared" ca="1" si="401"/>
        <v/>
      </c>
      <c r="AC899" s="310" t="e">
        <f t="shared" ca="1" si="402"/>
        <v>#N/A</v>
      </c>
      <c r="AD899" s="323" t="e">
        <f t="shared" ca="1" si="403"/>
        <v>#N/A</v>
      </c>
      <c r="AE899" s="324" t="e">
        <f t="shared" ca="1" si="382"/>
        <v>#N/A</v>
      </c>
      <c r="AG899" s="306">
        <f t="shared" ca="1" si="404"/>
        <v>2.5015635244854009</v>
      </c>
      <c r="AH899" s="304">
        <f t="shared" ca="1" si="405"/>
        <v>-7.2865148785776848</v>
      </c>
    </row>
    <row r="900" spans="1:34" x14ac:dyDescent="0.2">
      <c r="A900" s="347">
        <f t="shared" ca="1" si="383"/>
        <v>0.1</v>
      </c>
      <c r="B900" s="304">
        <f t="shared" ca="1" si="384"/>
        <v>44.6000000000003</v>
      </c>
      <c r="D900" s="306">
        <f t="shared" ca="1" si="385"/>
        <v>-0.48600509874622033</v>
      </c>
      <c r="E900" s="307">
        <f t="shared" ca="1" si="386"/>
        <v>-2.5042446600157264</v>
      </c>
      <c r="F900" s="304">
        <f t="shared" ca="1" si="387"/>
        <v>2.5509688891134297</v>
      </c>
      <c r="G900" s="306">
        <f t="shared" ca="1" si="388"/>
        <v>9.8603297104514329</v>
      </c>
      <c r="H900" s="307">
        <f t="shared" ca="1" si="389"/>
        <v>-149.20404667579677</v>
      </c>
      <c r="I900" s="304">
        <f t="shared" ca="1" si="390"/>
        <v>149.52950761114727</v>
      </c>
      <c r="J900" s="306">
        <f t="shared" ca="1" si="391"/>
        <v>805.87733871077307</v>
      </c>
      <c r="K900" s="307">
        <f t="shared" ca="1" si="392"/>
        <v>742.18149394320722</v>
      </c>
      <c r="L900" s="304">
        <f t="shared" ref="L900:L963" ca="1" si="406">SQRT(pos_x^2+pos_z^2)</f>
        <v>1095.5691009695959</v>
      </c>
      <c r="M900" s="306">
        <f t="shared" ca="1" si="393"/>
        <v>-1.5048060751686325</v>
      </c>
      <c r="N900" s="304">
        <f t="shared" ca="1" si="394"/>
        <v>-86.219037092808748</v>
      </c>
      <c r="P900" s="310">
        <f t="shared" ca="1" si="395"/>
        <v>23</v>
      </c>
      <c r="Q900" s="304">
        <f t="shared" ca="1" si="396"/>
        <v>0</v>
      </c>
      <c r="R900" s="306">
        <f t="shared" ca="1" si="397"/>
        <v>0</v>
      </c>
      <c r="S900" s="307">
        <f t="shared" ca="1" si="398"/>
        <v>9.137999999999975</v>
      </c>
      <c r="T900" s="304">
        <f t="shared" ref="T900:T963" ca="1" si="407">m*g</f>
        <v>89.643779999999765</v>
      </c>
      <c r="U900" s="311">
        <f t="shared" ref="U900:U963" ca="1" si="408">IF(pos_xz&lt;L_rampe,Poids*COS(Beta),0)</f>
        <v>0</v>
      </c>
      <c r="V900" s="306">
        <f t="shared" ref="V900:V963" ca="1" si="409">Rho_moyen*(20000-Alt_rampe-pos_z)/(20000+Alt_rampe+pos_z)</f>
        <v>1.1373359006046773</v>
      </c>
      <c r="W900" s="304">
        <f t="shared" ref="W900:W963" ca="1" si="410">1/2*Rho*Sref*Cx*vit_xz^2</f>
        <v>67.229124878614257</v>
      </c>
      <c r="Y900" s="314" t="str">
        <f t="shared" ca="1" si="399"/>
        <v/>
      </c>
      <c r="Z900" s="315" t="str">
        <f t="shared" ca="1" si="400"/>
        <v/>
      </c>
      <c r="AA900" s="316" t="str">
        <f t="shared" ca="1" si="401"/>
        <v/>
      </c>
      <c r="AC900" s="310" t="e">
        <f t="shared" ca="1" si="402"/>
        <v>#N/A</v>
      </c>
      <c r="AD900" s="323" t="e">
        <f t="shared" ca="1" si="403"/>
        <v>#N/A</v>
      </c>
      <c r="AE900" s="324" t="e">
        <f t="shared" ref="AE900:AE963" ca="1" si="411">IF(t&lt;T_para, pos_z, NA())</f>
        <v>#N/A</v>
      </c>
      <c r="AG900" s="306">
        <f t="shared" ca="1" si="404"/>
        <v>2.466462351903151</v>
      </c>
      <c r="AH900" s="304">
        <f t="shared" ca="1" si="405"/>
        <v>-7.321902897725157</v>
      </c>
    </row>
    <row r="901" spans="1:34" x14ac:dyDescent="0.2">
      <c r="A901" s="347">
        <f t="shared" ref="A901:A964" ca="1" si="412">IF(B900+0.01&lt;=T_ini+ROUNDUP(Temps_fin_propu,0), 0.01, IF(K900&gt;0, 0.1, 0.0001))</f>
        <v>0.1</v>
      </c>
      <c r="B901" s="304">
        <f t="shared" ref="B901:B964" ca="1" si="413">B900+pas</f>
        <v>44.700000000000301</v>
      </c>
      <c r="D901" s="306">
        <f t="shared" ref="D901:D964" ca="1" si="414">IF(AND(L900&lt;L_rampe,Poussee&lt;Poids*SIN(M900)),0,(-W900+Poussee)/m*COS(M900)-U900/m*SIN(M900))</f>
        <v>-0.48514419400528119</v>
      </c>
      <c r="E901" s="307">
        <f t="shared" ref="E901:E964" ca="1" si="415">IF(AND(L900&lt;L_rampe,Poussee&lt;Poids*SIN(M900)),0,(-W900+Poussee)/m*SIN(M900)+U900/m*COS(M900)-Poids/m)</f>
        <v>-2.4689192154364843</v>
      </c>
      <c r="F901" s="304">
        <f t="shared" ref="F901:F964" ca="1" si="416">SQRT(acc_x^2+acc_z^2)</f>
        <v>2.5161333393380683</v>
      </c>
      <c r="G901" s="306">
        <f t="shared" ref="G901:G964" ca="1" si="417">G900+acc_x*pas</f>
        <v>9.8118152910509053</v>
      </c>
      <c r="H901" s="307">
        <f t="shared" ref="H901:H964" ca="1" si="418">H900+acc_z*pas</f>
        <v>-149.45093859734041</v>
      </c>
      <c r="I901" s="304">
        <f t="shared" ref="I901:I964" ca="1" si="419">SQRT(vit_x^2+vit_z^2)</f>
        <v>149.77267697057334</v>
      </c>
      <c r="J901" s="306">
        <f t="shared" ref="J901:J964" ca="1" si="420">J900+0.5*(vit_x+G900)*pas*(K900&gt;=0)</f>
        <v>806.8609459608482</v>
      </c>
      <c r="K901" s="307">
        <f t="shared" ref="K901:K964" ca="1" si="421">K900+0.5*(vit_z+H900)*pas</f>
        <v>727.24874467955033</v>
      </c>
      <c r="L901" s="304">
        <f t="shared" ca="1" si="406"/>
        <v>1086.2390725594512</v>
      </c>
      <c r="M901" s="306">
        <f t="shared" ref="M901:M964" ca="1" si="422">IF(AND(L900&gt;L_rampe,G901&gt;0),ATAN2(G901,H901),$M$4)</f>
        <v>-1.5052379928296094</v>
      </c>
      <c r="N901" s="304">
        <f t="shared" ref="N901:N964" ca="1" si="423">DEGREES(Beta)</f>
        <v>-86.243784151879893</v>
      </c>
      <c r="P901" s="310">
        <f t="shared" ref="P901:P964" ca="1" si="424">MATCH(t-pas/2-T_ini,CdP_t)</f>
        <v>23</v>
      </c>
      <c r="Q901" s="304">
        <f t="shared" ref="Q901:Q964" ca="1" si="425">(INDEX(CdP,2,i_P+1)-INDEX(CdP,2,i_P+0))/(INDEX(CdP,1,i_P+1)-INDEX(CdP,1,i_P+0))*(t-pas/2-T_ini-INDEX(CdP,1,i_P+0))+INDEX(CdP,2,i_P+0)</f>
        <v>0</v>
      </c>
      <c r="R901" s="306">
        <f t="shared" ref="R901:R964" ca="1" si="426">Poussee/(g*ISP)</f>
        <v>0</v>
      </c>
      <c r="S901" s="307">
        <f t="shared" ref="S901:S964" ca="1" si="427">S900-Débit*pas</f>
        <v>9.137999999999975</v>
      </c>
      <c r="T901" s="304">
        <f t="shared" ca="1" si="407"/>
        <v>89.643779999999765</v>
      </c>
      <c r="U901" s="311">
        <f t="shared" ca="1" si="408"/>
        <v>0</v>
      </c>
      <c r="V901" s="306">
        <f t="shared" ca="1" si="409"/>
        <v>1.1390378230409257</v>
      </c>
      <c r="W901" s="304">
        <f t="shared" ca="1" si="410"/>
        <v>67.54889260531742</v>
      </c>
      <c r="Y901" s="314" t="str">
        <f t="shared" ref="Y901:Y964" ca="1" si="428">IF(AND(pos_z&lt;=0,K900&gt;0),"Impact balistique","") &amp; IF(AND(H902&lt;0,vit_z&gt;=0),"Apogée","") &amp; IF(AND(Poussee=0,Q900&gt;0),"Fin de propulsion","") &amp; IF(AND(L902&gt;L_rampe,pos_xz&lt;=L_rampe),"Sortie de rampe","")</f>
        <v/>
      </c>
      <c r="Z901" s="315" t="str">
        <f t="shared" ref="Z901:Z964" ca="1" si="429">IF(ABS(t-T_para)&lt;pas/2,"Para","")</f>
        <v/>
      </c>
      <c r="AA901" s="316" t="str">
        <f t="shared" ref="AA901:AA964" ca="1" si="430">IF(ABS(t-T_satellite)&lt;pas/2,"Satellite","")</f>
        <v/>
      </c>
      <c r="AC901" s="310" t="e">
        <f t="shared" ref="AC901:AC964" ca="1" si="431">IF(ABS(t-ROUND(t,0))&lt;0.001,t,NA())</f>
        <v>#N/A</v>
      </c>
      <c r="AD901" s="323" t="e">
        <f t="shared" ref="AD901:AD964" ca="1" si="432">IF(ABS(t-ROUND(t,0))&lt;0.001,pos_x,NA())</f>
        <v>#N/A</v>
      </c>
      <c r="AE901" s="324" t="e">
        <f t="shared" ca="1" si="411"/>
        <v>#N/A</v>
      </c>
      <c r="AG901" s="306">
        <f t="shared" ref="AG901:AG964" ca="1" si="433">IF(AND(L900&lt;L_rampe,Poussee&lt;Poids*SIN(M900)),0,(-W900+Poussee)/m-Poids*SIN(M900)/m)</f>
        <v>2.431553891652408</v>
      </c>
      <c r="AH901" s="304">
        <f t="shared" ref="AH901:AH964" ca="1" si="434">IF(AND(L900&lt;L_rampe,Poussee&lt;Poids*SIN(M900)), g*SIN(M900), (-W900+Poussee)/m)</f>
        <v>-7.357093989780525</v>
      </c>
    </row>
    <row r="902" spans="1:34" x14ac:dyDescent="0.2">
      <c r="A902" s="347">
        <f t="shared" ca="1" si="412"/>
        <v>0.1</v>
      </c>
      <c r="B902" s="304">
        <f t="shared" ca="1" si="413"/>
        <v>44.800000000000303</v>
      </c>
      <c r="D902" s="306">
        <f t="shared" ca="1" si="414"/>
        <v>-0.48426585839069047</v>
      </c>
      <c r="E902" s="307">
        <f t="shared" ca="1" si="415"/>
        <v>-2.4337923442010014</v>
      </c>
      <c r="F902" s="304">
        <f t="shared" ca="1" si="416"/>
        <v>2.4815032936295447</v>
      </c>
      <c r="G902" s="306">
        <f t="shared" ca="1" si="417"/>
        <v>9.7633887052118364</v>
      </c>
      <c r="H902" s="307">
        <f t="shared" ca="1" si="418"/>
        <v>-149.69431783176051</v>
      </c>
      <c r="I902" s="304">
        <f t="shared" ca="1" si="419"/>
        <v>150.01237465664354</v>
      </c>
      <c r="J902" s="306">
        <f t="shared" ca="1" si="420"/>
        <v>807.83970616066131</v>
      </c>
      <c r="K902" s="307">
        <f t="shared" ca="1" si="421"/>
        <v>712.29148185809527</v>
      </c>
      <c r="L902" s="304">
        <f t="shared" ca="1" si="406"/>
        <v>1077.0163164861267</v>
      </c>
      <c r="M902" s="306">
        <f t="shared" ca="1" si="422"/>
        <v>-1.5056664019485666</v>
      </c>
      <c r="N902" s="304">
        <f t="shared" ca="1" si="423"/>
        <v>-86.268330186301057</v>
      </c>
      <c r="P902" s="310">
        <f t="shared" ca="1" si="424"/>
        <v>23</v>
      </c>
      <c r="Q902" s="304">
        <f t="shared" ca="1" si="425"/>
        <v>0</v>
      </c>
      <c r="R902" s="306">
        <f t="shared" ca="1" si="426"/>
        <v>0</v>
      </c>
      <c r="S902" s="307">
        <f t="shared" ca="1" si="427"/>
        <v>9.137999999999975</v>
      </c>
      <c r="T902" s="304">
        <f t="shared" ca="1" si="407"/>
        <v>89.643779999999765</v>
      </c>
      <c r="U902" s="311">
        <f t="shared" ca="1" si="408"/>
        <v>0</v>
      </c>
      <c r="V902" s="306">
        <f t="shared" ca="1" si="409"/>
        <v>1.1407449994327825</v>
      </c>
      <c r="W902" s="304">
        <f t="shared" ca="1" si="410"/>
        <v>67.866843256899571</v>
      </c>
      <c r="Y902" s="314" t="str">
        <f t="shared" ca="1" si="428"/>
        <v/>
      </c>
      <c r="Z902" s="315" t="str">
        <f t="shared" ca="1" si="429"/>
        <v/>
      </c>
      <c r="AA902" s="316" t="str">
        <f t="shared" ca="1" si="430"/>
        <v/>
      </c>
      <c r="AC902" s="310" t="e">
        <f t="shared" ca="1" si="431"/>
        <v>#N/A</v>
      </c>
      <c r="AD902" s="323" t="e">
        <f t="shared" ca="1" si="432"/>
        <v>#N/A</v>
      </c>
      <c r="AE902" s="324" t="e">
        <f t="shared" ca="1" si="411"/>
        <v>#N/A</v>
      </c>
      <c r="AG902" s="306">
        <f t="shared" ca="1" si="433"/>
        <v>2.3968391985682427</v>
      </c>
      <c r="AH902" s="304">
        <f t="shared" ca="1" si="434"/>
        <v>-7.3920871750183412</v>
      </c>
    </row>
    <row r="903" spans="1:34" x14ac:dyDescent="0.2">
      <c r="A903" s="347">
        <f t="shared" ca="1" si="412"/>
        <v>0.1</v>
      </c>
      <c r="B903" s="304">
        <f t="shared" ca="1" si="413"/>
        <v>44.900000000000304</v>
      </c>
      <c r="D903" s="306">
        <f t="shared" ca="1" si="414"/>
        <v>-0.48337033018400105</v>
      </c>
      <c r="E903" s="307">
        <f t="shared" ca="1" si="415"/>
        <v>-2.3988649912728324</v>
      </c>
      <c r="F903" s="304">
        <f t="shared" ca="1" si="416"/>
        <v>2.4470799174642002</v>
      </c>
      <c r="G903" s="306">
        <f t="shared" ca="1" si="417"/>
        <v>9.7150516721934359</v>
      </c>
      <c r="H903" s="307">
        <f t="shared" ca="1" si="418"/>
        <v>-149.93420433088781</v>
      </c>
      <c r="I903" s="304">
        <f t="shared" ca="1" si="419"/>
        <v>150.24862015116747</v>
      </c>
      <c r="J903" s="306">
        <f t="shared" ca="1" si="420"/>
        <v>808.81362817953152</v>
      </c>
      <c r="K903" s="307">
        <f t="shared" ca="1" si="421"/>
        <v>697.31005574996288</v>
      </c>
      <c r="L903" s="304">
        <f t="shared" ca="1" si="406"/>
        <v>1067.9048641985642</v>
      </c>
      <c r="M903" s="306">
        <f t="shared" ca="1" si="422"/>
        <v>-1.5060913462624228</v>
      </c>
      <c r="N903" s="304">
        <f t="shared" ca="1" si="423"/>
        <v>-86.292677702013094</v>
      </c>
      <c r="P903" s="310">
        <f t="shared" ca="1" si="424"/>
        <v>23</v>
      </c>
      <c r="Q903" s="304">
        <f t="shared" ca="1" si="425"/>
        <v>0</v>
      </c>
      <c r="R903" s="306">
        <f t="shared" ca="1" si="426"/>
        <v>0</v>
      </c>
      <c r="S903" s="307">
        <f t="shared" ca="1" si="427"/>
        <v>9.137999999999975</v>
      </c>
      <c r="T903" s="304">
        <f t="shared" ca="1" si="407"/>
        <v>89.643779999999765</v>
      </c>
      <c r="U903" s="311">
        <f t="shared" ca="1" si="408"/>
        <v>0</v>
      </c>
      <c r="V903" s="306">
        <f t="shared" ca="1" si="409"/>
        <v>1.1424574071709965</v>
      </c>
      <c r="W903" s="304">
        <f t="shared" ca="1" si="410"/>
        <v>68.182968577922537</v>
      </c>
      <c r="Y903" s="314" t="str">
        <f t="shared" ca="1" si="428"/>
        <v/>
      </c>
      <c r="Z903" s="315" t="str">
        <f t="shared" ca="1" si="429"/>
        <v/>
      </c>
      <c r="AA903" s="316" t="str">
        <f t="shared" ca="1" si="430"/>
        <v/>
      </c>
      <c r="AC903" s="310" t="e">
        <f t="shared" ca="1" si="431"/>
        <v>#N/A</v>
      </c>
      <c r="AD903" s="323" t="e">
        <f t="shared" ca="1" si="432"/>
        <v>#N/A</v>
      </c>
      <c r="AE903" s="324" t="e">
        <f t="shared" ca="1" si="411"/>
        <v>#N/A</v>
      </c>
      <c r="AG903" s="306">
        <f t="shared" ca="1" si="433"/>
        <v>2.3623192875124026</v>
      </c>
      <c r="AH903" s="304">
        <f t="shared" ca="1" si="434"/>
        <v>-7.4268815120266751</v>
      </c>
    </row>
    <row r="904" spans="1:34" x14ac:dyDescent="0.2">
      <c r="A904" s="347">
        <f t="shared" ca="1" si="412"/>
        <v>0.1</v>
      </c>
      <c r="B904" s="304">
        <f t="shared" ca="1" si="413"/>
        <v>45.000000000000306</v>
      </c>
      <c r="D904" s="306">
        <f t="shared" ca="1" si="414"/>
        <v>-0.48245784729350133</v>
      </c>
      <c r="E904" s="307">
        <f t="shared" ca="1" si="415"/>
        <v>-2.3641380634970828</v>
      </c>
      <c r="F904" s="304">
        <f t="shared" ca="1" si="416"/>
        <v>2.4128643471382341</v>
      </c>
      <c r="G904" s="306">
        <f t="shared" ca="1" si="417"/>
        <v>9.6668058874640863</v>
      </c>
      <c r="H904" s="307">
        <f t="shared" ca="1" si="418"/>
        <v>-150.17061813723751</v>
      </c>
      <c r="I904" s="304">
        <f t="shared" ca="1" si="419"/>
        <v>150.48143303340089</v>
      </c>
      <c r="J904" s="306">
        <f t="shared" ca="1" si="420"/>
        <v>809.78272105751444</v>
      </c>
      <c r="K904" s="307">
        <f t="shared" ca="1" si="421"/>
        <v>682.30481462655666</v>
      </c>
      <c r="L904" s="304">
        <f t="shared" ca="1" si="406"/>
        <v>1058.9088324241573</v>
      </c>
      <c r="M904" s="306">
        <f t="shared" ca="1" si="422"/>
        <v>-1.5065128687267051</v>
      </c>
      <c r="N904" s="304">
        <f t="shared" ca="1" si="423"/>
        <v>-86.31682916018643</v>
      </c>
      <c r="P904" s="310">
        <f t="shared" ca="1" si="424"/>
        <v>23</v>
      </c>
      <c r="Q904" s="304">
        <f t="shared" ca="1" si="425"/>
        <v>0</v>
      </c>
      <c r="R904" s="306">
        <f t="shared" ca="1" si="426"/>
        <v>0</v>
      </c>
      <c r="S904" s="307">
        <f t="shared" ca="1" si="427"/>
        <v>9.137999999999975</v>
      </c>
      <c r="T904" s="304">
        <f t="shared" ca="1" si="407"/>
        <v>89.643779999999765</v>
      </c>
      <c r="U904" s="311">
        <f t="shared" ca="1" si="408"/>
        <v>0</v>
      </c>
      <c r="V904" s="306">
        <f t="shared" ca="1" si="409"/>
        <v>1.1441750237307753</v>
      </c>
      <c r="W904" s="304">
        <f t="shared" ca="1" si="410"/>
        <v>68.497260657159458</v>
      </c>
      <c r="Y904" s="314" t="str">
        <f t="shared" ca="1" si="428"/>
        <v/>
      </c>
      <c r="Z904" s="315" t="str">
        <f t="shared" ca="1" si="429"/>
        <v/>
      </c>
      <c r="AA904" s="316" t="str">
        <f t="shared" ca="1" si="430"/>
        <v/>
      </c>
      <c r="AC904" s="310">
        <f t="shared" ca="1" si="431"/>
        <v>45.000000000000306</v>
      </c>
      <c r="AD904" s="323">
        <f t="shared" ca="1" si="432"/>
        <v>809.78272105751444</v>
      </c>
      <c r="AE904" s="324" t="e">
        <f t="shared" ca="1" si="411"/>
        <v>#N/A</v>
      </c>
      <c r="AG904" s="306">
        <f t="shared" ca="1" si="433"/>
        <v>2.3279951337374847</v>
      </c>
      <c r="AH904" s="304">
        <f t="shared" ca="1" si="434"/>
        <v>-7.4614760973870347</v>
      </c>
    </row>
    <row r="905" spans="1:34" x14ac:dyDescent="0.2">
      <c r="A905" s="347">
        <f t="shared" ca="1" si="412"/>
        <v>0.1</v>
      </c>
      <c r="B905" s="304">
        <f t="shared" ca="1" si="413"/>
        <v>45.100000000000307</v>
      </c>
      <c r="D905" s="306">
        <f t="shared" ca="1" si="414"/>
        <v>-0.48152864721389538</v>
      </c>
      <c r="E905" s="307">
        <f t="shared" ca="1" si="415"/>
        <v>-2.329612429926617</v>
      </c>
      <c r="F905" s="304">
        <f t="shared" ca="1" si="416"/>
        <v>2.3788576905221213</v>
      </c>
      <c r="G905" s="306">
        <f t="shared" ca="1" si="417"/>
        <v>9.6186530227426967</v>
      </c>
      <c r="H905" s="307">
        <f t="shared" ca="1" si="418"/>
        <v>-150.40357938023018</v>
      </c>
      <c r="I905" s="304">
        <f t="shared" ca="1" si="419"/>
        <v>150.7108329761239</v>
      </c>
      <c r="J905" s="306">
        <f t="shared" ca="1" si="420"/>
        <v>810.74699400302472</v>
      </c>
      <c r="K905" s="307">
        <f t="shared" ca="1" si="421"/>
        <v>667.27610475068332</v>
      </c>
      <c r="L905" s="304">
        <f t="shared" ca="1" si="406"/>
        <v>1050.0324224785563</v>
      </c>
      <c r="M905" s="306">
        <f t="shared" ca="1" si="422"/>
        <v>-1.5069310115328172</v>
      </c>
      <c r="N905" s="304">
        <f t="shared" ca="1" si="423"/>
        <v>-86.340786978210403</v>
      </c>
      <c r="P905" s="310">
        <f t="shared" ca="1" si="424"/>
        <v>23</v>
      </c>
      <c r="Q905" s="304">
        <f t="shared" ca="1" si="425"/>
        <v>0</v>
      </c>
      <c r="R905" s="306">
        <f t="shared" ca="1" si="426"/>
        <v>0</v>
      </c>
      <c r="S905" s="307">
        <f t="shared" ca="1" si="427"/>
        <v>9.137999999999975</v>
      </c>
      <c r="T905" s="304">
        <f t="shared" ca="1" si="407"/>
        <v>89.643779999999765</v>
      </c>
      <c r="U905" s="311">
        <f t="shared" ca="1" si="408"/>
        <v>0</v>
      </c>
      <c r="V905" s="306">
        <f t="shared" ca="1" si="409"/>
        <v>1.1458978266727959</v>
      </c>
      <c r="W905" s="304">
        <f t="shared" ca="1" si="410"/>
        <v>68.809711924576121</v>
      </c>
      <c r="Y905" s="314" t="str">
        <f t="shared" ca="1" si="428"/>
        <v/>
      </c>
      <c r="Z905" s="315" t="str">
        <f t="shared" ca="1" si="429"/>
        <v/>
      </c>
      <c r="AA905" s="316" t="str">
        <f t="shared" ca="1" si="430"/>
        <v/>
      </c>
      <c r="AC905" s="310" t="e">
        <f t="shared" ca="1" si="431"/>
        <v>#N/A</v>
      </c>
      <c r="AD905" s="323" t="e">
        <f t="shared" ca="1" si="432"/>
        <v>#N/A</v>
      </c>
      <c r="AE905" s="324" t="e">
        <f t="shared" ca="1" si="411"/>
        <v>#N/A</v>
      </c>
      <c r="AG905" s="306">
        <f t="shared" ca="1" si="433"/>
        <v>2.2938676732549803</v>
      </c>
      <c r="AH905" s="304">
        <f t="shared" ca="1" si="434"/>
        <v>-7.4958700653490533</v>
      </c>
    </row>
    <row r="906" spans="1:34" x14ac:dyDescent="0.2">
      <c r="A906" s="347">
        <f t="shared" ca="1" si="412"/>
        <v>0.1</v>
      </c>
      <c r="B906" s="304">
        <f t="shared" ca="1" si="413"/>
        <v>45.200000000000308</v>
      </c>
      <c r="D906" s="306">
        <f t="shared" ca="1" si="414"/>
        <v>-0.48058296698668235</v>
      </c>
      <c r="E906" s="307">
        <f t="shared" ca="1" si="415"/>
        <v>-2.2952889221533201</v>
      </c>
      <c r="F906" s="304">
        <f t="shared" ca="1" si="416"/>
        <v>2.3450610278450053</v>
      </c>
      <c r="G906" s="306">
        <f t="shared" ca="1" si="417"/>
        <v>9.5705947260440283</v>
      </c>
      <c r="H906" s="307">
        <f t="shared" ca="1" si="418"/>
        <v>-150.63310827244553</v>
      </c>
      <c r="I906" s="304">
        <f t="shared" ca="1" si="419"/>
        <v>150.93683974175582</v>
      </c>
      <c r="J906" s="306">
        <f t="shared" ca="1" si="420"/>
        <v>811.70645639046404</v>
      </c>
      <c r="K906" s="307">
        <f t="shared" ca="1" si="421"/>
        <v>652.22427036804947</v>
      </c>
      <c r="L906" s="304">
        <f t="shared" ca="1" si="406"/>
        <v>1041.2799192355044</v>
      </c>
      <c r="M906" s="306">
        <f t="shared" ca="1" si="422"/>
        <v>-1.5073458161248581</v>
      </c>
      <c r="N906" s="304">
        <f t="shared" ca="1" si="423"/>
        <v>-86.364553530656991</v>
      </c>
      <c r="P906" s="310">
        <f t="shared" ca="1" si="424"/>
        <v>23</v>
      </c>
      <c r="Q906" s="304">
        <f t="shared" ca="1" si="425"/>
        <v>0</v>
      </c>
      <c r="R906" s="306">
        <f t="shared" ca="1" si="426"/>
        <v>0</v>
      </c>
      <c r="S906" s="307">
        <f t="shared" ca="1" si="427"/>
        <v>9.137999999999975</v>
      </c>
      <c r="T906" s="304">
        <f t="shared" ca="1" si="407"/>
        <v>89.643779999999765</v>
      </c>
      <c r="U906" s="311">
        <f t="shared" ca="1" si="408"/>
        <v>0</v>
      </c>
      <c r="V906" s="306">
        <f t="shared" ca="1" si="409"/>
        <v>1.1476257936442</v>
      </c>
      <c r="W906" s="304">
        <f t="shared" ca="1" si="410"/>
        <v>69.120315148267949</v>
      </c>
      <c r="Y906" s="314" t="str">
        <f t="shared" ca="1" si="428"/>
        <v/>
      </c>
      <c r="Z906" s="315" t="str">
        <f t="shared" ca="1" si="429"/>
        <v/>
      </c>
      <c r="AA906" s="316" t="str">
        <f t="shared" ca="1" si="430"/>
        <v/>
      </c>
      <c r="AC906" s="310" t="e">
        <f t="shared" ca="1" si="431"/>
        <v>#N/A</v>
      </c>
      <c r="AD906" s="323" t="e">
        <f t="shared" ca="1" si="432"/>
        <v>#N/A</v>
      </c>
      <c r="AE906" s="324" t="e">
        <f t="shared" ca="1" si="411"/>
        <v>#N/A</v>
      </c>
      <c r="AG906" s="306">
        <f t="shared" ca="1" si="433"/>
        <v>2.2599378032070403</v>
      </c>
      <c r="AH906" s="304">
        <f t="shared" ca="1" si="434"/>
        <v>-7.5300625875001428</v>
      </c>
    </row>
    <row r="907" spans="1:34" x14ac:dyDescent="0.2">
      <c r="A907" s="347">
        <f t="shared" ca="1" si="412"/>
        <v>0.1</v>
      </c>
      <c r="B907" s="304">
        <f t="shared" ca="1" si="413"/>
        <v>45.30000000000031</v>
      </c>
      <c r="D907" s="306">
        <f t="shared" ca="1" si="414"/>
        <v>-0.4796210431612255</v>
      </c>
      <c r="E907" s="307">
        <f t="shared" ca="1" si="415"/>
        <v>-2.2611683346442222</v>
      </c>
      <c r="F907" s="304">
        <f t="shared" ca="1" si="416"/>
        <v>2.3114754125105437</v>
      </c>
      <c r="G907" s="306">
        <f t="shared" ca="1" si="417"/>
        <v>9.5226326217279063</v>
      </c>
      <c r="H907" s="307">
        <f t="shared" ca="1" si="418"/>
        <v>-150.85922510590996</v>
      </c>
      <c r="I907" s="304">
        <f t="shared" ca="1" si="419"/>
        <v>151.15947317850777</v>
      </c>
      <c r="J907" s="306">
        <f t="shared" ca="1" si="420"/>
        <v>812.66111775785259</v>
      </c>
      <c r="K907" s="307">
        <f t="shared" ca="1" si="421"/>
        <v>637.1496536991317</v>
      </c>
      <c r="L907" s="304">
        <f t="shared" ca="1" si="406"/>
        <v>1032.6556897264286</v>
      </c>
      <c r="M907" s="306">
        <f t="shared" ca="1" si="422"/>
        <v>-1.5077573232160024</v>
      </c>
      <c r="N907" s="304">
        <f t="shared" ca="1" si="423"/>
        <v>-86.38813115021928</v>
      </c>
      <c r="P907" s="310">
        <f t="shared" ca="1" si="424"/>
        <v>23</v>
      </c>
      <c r="Q907" s="304">
        <f t="shared" ca="1" si="425"/>
        <v>0</v>
      </c>
      <c r="R907" s="306">
        <f t="shared" ca="1" si="426"/>
        <v>0</v>
      </c>
      <c r="S907" s="307">
        <f t="shared" ca="1" si="427"/>
        <v>9.137999999999975</v>
      </c>
      <c r="T907" s="304">
        <f t="shared" ca="1" si="407"/>
        <v>89.643779999999765</v>
      </c>
      <c r="U907" s="311">
        <f t="shared" ca="1" si="408"/>
        <v>0</v>
      </c>
      <c r="V907" s="306">
        <f t="shared" ca="1" si="409"/>
        <v>1.1493589023795703</v>
      </c>
      <c r="W907" s="304">
        <f t="shared" ca="1" si="410"/>
        <v>69.42906343135455</v>
      </c>
      <c r="Y907" s="314" t="str">
        <f t="shared" ca="1" si="428"/>
        <v/>
      </c>
      <c r="Z907" s="315" t="str">
        <f t="shared" ca="1" si="429"/>
        <v/>
      </c>
      <c r="AA907" s="316" t="str">
        <f t="shared" ca="1" si="430"/>
        <v/>
      </c>
      <c r="AC907" s="310" t="e">
        <f t="shared" ca="1" si="431"/>
        <v>#N/A</v>
      </c>
      <c r="AD907" s="323" t="e">
        <f t="shared" ca="1" si="432"/>
        <v>#N/A</v>
      </c>
      <c r="AE907" s="324" t="e">
        <f t="shared" ca="1" si="411"/>
        <v>#N/A</v>
      </c>
      <c r="AG907" s="306">
        <f t="shared" ca="1" si="433"/>
        <v>2.2262063822418359</v>
      </c>
      <c r="AH907" s="304">
        <f t="shared" ca="1" si="434"/>
        <v>-7.564052872430306</v>
      </c>
    </row>
    <row r="908" spans="1:34" x14ac:dyDescent="0.2">
      <c r="A908" s="347">
        <f t="shared" ca="1" si="412"/>
        <v>0.1</v>
      </c>
      <c r="B908" s="304">
        <f t="shared" ca="1" si="413"/>
        <v>45.400000000000311</v>
      </c>
      <c r="D908" s="306">
        <f t="shared" ca="1" si="414"/>
        <v>-0.47864311175653229</v>
      </c>
      <c r="E908" s="307">
        <f t="shared" ca="1" si="415"/>
        <v>-2.2272514250823043</v>
      </c>
      <c r="F908" s="304">
        <f t="shared" ca="1" si="416"/>
        <v>2.2781018719458381</v>
      </c>
      <c r="G908" s="306">
        <f t="shared" ca="1" si="417"/>
        <v>9.4747683105522533</v>
      </c>
      <c r="H908" s="307">
        <f t="shared" ca="1" si="418"/>
        <v>-151.0819502484182</v>
      </c>
      <c r="I908" s="304">
        <f t="shared" ca="1" si="419"/>
        <v>151.37875321657316</v>
      </c>
      <c r="J908" s="306">
        <f t="shared" ca="1" si="420"/>
        <v>813.61098780446662</v>
      </c>
      <c r="K908" s="307">
        <f t="shared" ca="1" si="421"/>
        <v>622.05259493141534</v>
      </c>
      <c r="L908" s="304">
        <f t="shared" ca="1" si="406"/>
        <v>1024.16418133865</v>
      </c>
      <c r="M908" s="306">
        <f t="shared" ca="1" si="422"/>
        <v>-1.5081655728044583</v>
      </c>
      <c r="N908" s="304">
        <f t="shared" ca="1" si="423"/>
        <v>-86.411522128625748</v>
      </c>
      <c r="P908" s="310">
        <f t="shared" ca="1" si="424"/>
        <v>23</v>
      </c>
      <c r="Q908" s="304">
        <f t="shared" ca="1" si="425"/>
        <v>0</v>
      </c>
      <c r="R908" s="306">
        <f t="shared" ca="1" si="426"/>
        <v>0</v>
      </c>
      <c r="S908" s="307">
        <f t="shared" ca="1" si="427"/>
        <v>9.137999999999975</v>
      </c>
      <c r="T908" s="304">
        <f t="shared" ca="1" si="407"/>
        <v>89.643779999999765</v>
      </c>
      <c r="U908" s="311">
        <f t="shared" ca="1" si="408"/>
        <v>0</v>
      </c>
      <c r="V908" s="306">
        <f t="shared" ca="1" si="409"/>
        <v>1.15109713070189</v>
      </c>
      <c r="W908" s="304">
        <f t="shared" ca="1" si="410"/>
        <v>69.7359502088336</v>
      </c>
      <c r="Y908" s="314" t="str">
        <f t="shared" ca="1" si="428"/>
        <v/>
      </c>
      <c r="Z908" s="315" t="str">
        <f t="shared" ca="1" si="429"/>
        <v/>
      </c>
      <c r="AA908" s="316" t="str">
        <f t="shared" ca="1" si="430"/>
        <v/>
      </c>
      <c r="AC908" s="310" t="e">
        <f t="shared" ca="1" si="431"/>
        <v>#N/A</v>
      </c>
      <c r="AD908" s="323" t="e">
        <f t="shared" ca="1" si="432"/>
        <v>#N/A</v>
      </c>
      <c r="AE908" s="324" t="e">
        <f t="shared" ca="1" si="411"/>
        <v>#N/A</v>
      </c>
      <c r="AG908" s="306">
        <f t="shared" ca="1" si="433"/>
        <v>2.1926742308923162</v>
      </c>
      <c r="AH908" s="304">
        <f t="shared" ca="1" si="434"/>
        <v>-7.5978401653922889</v>
      </c>
    </row>
    <row r="909" spans="1:34" x14ac:dyDescent="0.2">
      <c r="A909" s="347">
        <f t="shared" ca="1" si="412"/>
        <v>0.1</v>
      </c>
      <c r="B909" s="304">
        <f t="shared" ca="1" si="413"/>
        <v>45.500000000000313</v>
      </c>
      <c r="D909" s="306">
        <f t="shared" ca="1" si="414"/>
        <v>-0.47764940822372709</v>
      </c>
      <c r="E909" s="307">
        <f t="shared" ca="1" si="415"/>
        <v>-2.1935389147117599</v>
      </c>
      <c r="F909" s="304">
        <f t="shared" ca="1" si="416"/>
        <v>2.2449414084851576</v>
      </c>
      <c r="G909" s="306">
        <f t="shared" ca="1" si="417"/>
        <v>9.4270033697298814</v>
      </c>
      <c r="H909" s="307">
        <f t="shared" ca="1" si="418"/>
        <v>-151.30130413988937</v>
      </c>
      <c r="I909" s="304">
        <f t="shared" ca="1" si="419"/>
        <v>151.59469986435607</v>
      </c>
      <c r="J909" s="306">
        <f t="shared" ca="1" si="420"/>
        <v>814.55607638848073</v>
      </c>
      <c r="K909" s="307">
        <f t="shared" ca="1" si="421"/>
        <v>606.93343221199996</v>
      </c>
      <c r="L909" s="304">
        <f t="shared" ca="1" si="406"/>
        <v>1015.8099195804473</v>
      </c>
      <c r="M909" s="306">
        <f t="shared" ca="1" si="422"/>
        <v>-1.508570604189015</v>
      </c>
      <c r="N909" s="304">
        <f t="shared" ca="1" si="423"/>
        <v>-86.434728717531186</v>
      </c>
      <c r="P909" s="310">
        <f t="shared" ca="1" si="424"/>
        <v>23</v>
      </c>
      <c r="Q909" s="304">
        <f t="shared" ca="1" si="425"/>
        <v>0</v>
      </c>
      <c r="R909" s="306">
        <f t="shared" ca="1" si="426"/>
        <v>0</v>
      </c>
      <c r="S909" s="307">
        <f t="shared" ca="1" si="427"/>
        <v>9.137999999999975</v>
      </c>
      <c r="T909" s="304">
        <f t="shared" ca="1" si="407"/>
        <v>89.643779999999765</v>
      </c>
      <c r="U909" s="311">
        <f t="shared" ca="1" si="408"/>
        <v>0</v>
      </c>
      <c r="V909" s="306">
        <f t="shared" ca="1" si="409"/>
        <v>1.1528404565234827</v>
      </c>
      <c r="W909" s="304">
        <f t="shared" ca="1" si="410"/>
        <v>70.040969244395285</v>
      </c>
      <c r="Y909" s="314" t="str">
        <f t="shared" ca="1" si="428"/>
        <v/>
      </c>
      <c r="Z909" s="315" t="str">
        <f t="shared" ca="1" si="429"/>
        <v/>
      </c>
      <c r="AA909" s="316" t="str">
        <f t="shared" ca="1" si="430"/>
        <v/>
      </c>
      <c r="AC909" s="310" t="e">
        <f t="shared" ca="1" si="431"/>
        <v>#N/A</v>
      </c>
      <c r="AD909" s="323" t="e">
        <f t="shared" ca="1" si="432"/>
        <v>#N/A</v>
      </c>
      <c r="AE909" s="324" t="e">
        <f t="shared" ca="1" si="411"/>
        <v>#N/A</v>
      </c>
      <c r="AG909" s="306">
        <f t="shared" ca="1" si="433"/>
        <v>2.1593421319582653</v>
      </c>
      <c r="AH909" s="304">
        <f t="shared" ca="1" si="434"/>
        <v>-7.6314237479572977</v>
      </c>
    </row>
    <row r="910" spans="1:34" x14ac:dyDescent="0.2">
      <c r="A910" s="347">
        <f t="shared" ca="1" si="412"/>
        <v>0.1</v>
      </c>
      <c r="B910" s="304">
        <f t="shared" ca="1" si="413"/>
        <v>45.600000000000314</v>
      </c>
      <c r="D910" s="306">
        <f t="shared" ca="1" si="414"/>
        <v>-0.47664016740921583</v>
      </c>
      <c r="E910" s="307">
        <f t="shared" ca="1" si="415"/>
        <v>-2.1600314886875873</v>
      </c>
      <c r="F910" s="304">
        <f t="shared" ca="1" si="416"/>
        <v>2.2119950002904165</v>
      </c>
      <c r="G910" s="306">
        <f t="shared" ca="1" si="417"/>
        <v>9.3793393529889606</v>
      </c>
      <c r="H910" s="307">
        <f t="shared" ca="1" si="418"/>
        <v>-151.51730728875813</v>
      </c>
      <c r="I910" s="304">
        <f t="shared" ca="1" si="419"/>
        <v>151.80733320473846</v>
      </c>
      <c r="J910" s="306">
        <f t="shared" ca="1" si="420"/>
        <v>815.49639352461668</v>
      </c>
      <c r="K910" s="307">
        <f t="shared" ca="1" si="421"/>
        <v>591.79250164056759</v>
      </c>
      <c r="L910" s="304">
        <f t="shared" ca="1" si="406"/>
        <v>1007.5975053808231</v>
      </c>
      <c r="M910" s="306">
        <f t="shared" ca="1" si="422"/>
        <v>-1.5089724559841897</v>
      </c>
      <c r="N910" s="304">
        <f t="shared" ca="1" si="423"/>
        <v>-86.457753129384457</v>
      </c>
      <c r="P910" s="310">
        <f t="shared" ca="1" si="424"/>
        <v>23</v>
      </c>
      <c r="Q910" s="304">
        <f t="shared" ca="1" si="425"/>
        <v>0</v>
      </c>
      <c r="R910" s="306">
        <f t="shared" ca="1" si="426"/>
        <v>0</v>
      </c>
      <c r="S910" s="307">
        <f t="shared" ca="1" si="427"/>
        <v>9.137999999999975</v>
      </c>
      <c r="T910" s="304">
        <f t="shared" ca="1" si="407"/>
        <v>89.643779999999765</v>
      </c>
      <c r="U910" s="311">
        <f t="shared" ca="1" si="408"/>
        <v>0</v>
      </c>
      <c r="V910" s="306">
        <f t="shared" ca="1" si="409"/>
        <v>1.154588857846937</v>
      </c>
      <c r="W910" s="304">
        <f t="shared" ca="1" si="410"/>
        <v>70.344114627199744</v>
      </c>
      <c r="Y910" s="314" t="str">
        <f t="shared" ca="1" si="428"/>
        <v/>
      </c>
      <c r="Z910" s="315" t="str">
        <f t="shared" ca="1" si="429"/>
        <v/>
      </c>
      <c r="AA910" s="316" t="str">
        <f t="shared" ca="1" si="430"/>
        <v/>
      </c>
      <c r="AC910" s="310" t="e">
        <f t="shared" ca="1" si="431"/>
        <v>#N/A</v>
      </c>
      <c r="AD910" s="323" t="e">
        <f t="shared" ca="1" si="432"/>
        <v>#N/A</v>
      </c>
      <c r="AE910" s="324" t="e">
        <f t="shared" ca="1" si="411"/>
        <v>#N/A</v>
      </c>
      <c r="AG910" s="306">
        <f t="shared" ca="1" si="433"/>
        <v>2.1262108308915231</v>
      </c>
      <c r="AH910" s="304">
        <f t="shared" ca="1" si="434"/>
        <v>-7.6648029376663906</v>
      </c>
    </row>
    <row r="911" spans="1:34" x14ac:dyDescent="0.2">
      <c r="A911" s="347">
        <f t="shared" ca="1" si="412"/>
        <v>0.1</v>
      </c>
      <c r="B911" s="304">
        <f t="shared" ca="1" si="413"/>
        <v>45.700000000000315</v>
      </c>
      <c r="D911" s="306">
        <f t="shared" ca="1" si="414"/>
        <v>-0.4756156235185755</v>
      </c>
      <c r="E911" s="307">
        <f t="shared" ca="1" si="415"/>
        <v>-2.1267297964292728</v>
      </c>
      <c r="F911" s="304">
        <f t="shared" ca="1" si="416"/>
        <v>2.1792636023104364</v>
      </c>
      <c r="G911" s="306">
        <f t="shared" ca="1" si="417"/>
        <v>9.3317777906371031</v>
      </c>
      <c r="H911" s="307">
        <f t="shared" ca="1" si="418"/>
        <v>-151.72998026840105</v>
      </c>
      <c r="I911" s="304">
        <f t="shared" ca="1" si="419"/>
        <v>152.01667339138558</v>
      </c>
      <c r="J911" s="306">
        <f t="shared" ca="1" si="420"/>
        <v>816.43194938179795</v>
      </c>
      <c r="K911" s="307">
        <f t="shared" ca="1" si="421"/>
        <v>576.63013726270958</v>
      </c>
      <c r="L911" s="304">
        <f t="shared" ca="1" si="406"/>
        <v>999.53161189177706</v>
      </c>
      <c r="M911" s="306">
        <f t="shared" ca="1" si="422"/>
        <v>-1.5093711661349898</v>
      </c>
      <c r="N911" s="304">
        <f t="shared" ca="1" si="423"/>
        <v>-86.480597538274324</v>
      </c>
      <c r="P911" s="310">
        <f t="shared" ca="1" si="424"/>
        <v>23</v>
      </c>
      <c r="Q911" s="304">
        <f t="shared" ca="1" si="425"/>
        <v>0</v>
      </c>
      <c r="R911" s="306">
        <f t="shared" ca="1" si="426"/>
        <v>0</v>
      </c>
      <c r="S911" s="307">
        <f t="shared" ca="1" si="427"/>
        <v>9.137999999999975</v>
      </c>
      <c r="T911" s="304">
        <f t="shared" ca="1" si="407"/>
        <v>89.643779999999765</v>
      </c>
      <c r="U911" s="311">
        <f t="shared" ca="1" si="408"/>
        <v>0</v>
      </c>
      <c r="V911" s="306">
        <f t="shared" ca="1" si="409"/>
        <v>1.156342312766012</v>
      </c>
      <c r="W911" s="304">
        <f t="shared" ca="1" si="410"/>
        <v>70.645380768618139</v>
      </c>
      <c r="Y911" s="314" t="str">
        <f t="shared" ca="1" si="428"/>
        <v/>
      </c>
      <c r="Z911" s="315" t="str">
        <f t="shared" ca="1" si="429"/>
        <v/>
      </c>
      <c r="AA911" s="316" t="str">
        <f t="shared" ca="1" si="430"/>
        <v/>
      </c>
      <c r="AC911" s="310" t="e">
        <f t="shared" ca="1" si="431"/>
        <v>#N/A</v>
      </c>
      <c r="AD911" s="323" t="e">
        <f t="shared" ca="1" si="432"/>
        <v>#N/A</v>
      </c>
      <c r="AE911" s="324" t="e">
        <f t="shared" ca="1" si="411"/>
        <v>#N/A</v>
      </c>
      <c r="AG911" s="306">
        <f t="shared" ca="1" si="433"/>
        <v>2.0932810361841554</v>
      </c>
      <c r="AH911" s="304">
        <f t="shared" ca="1" si="434"/>
        <v>-7.6979770876778222</v>
      </c>
    </row>
    <row r="912" spans="1:34" x14ac:dyDescent="0.2">
      <c r="A912" s="347">
        <f t="shared" ca="1" si="412"/>
        <v>0.1</v>
      </c>
      <c r="B912" s="304">
        <f t="shared" ca="1" si="413"/>
        <v>45.800000000000317</v>
      </c>
      <c r="D912" s="306">
        <f t="shared" ca="1" si="414"/>
        <v>-0.47457601008112105</v>
      </c>
      <c r="E912" s="307">
        <f t="shared" ca="1" si="415"/>
        <v>-2.0936344519784393</v>
      </c>
      <c r="F912" s="304">
        <f t="shared" ca="1" si="416"/>
        <v>2.1467481472812726</v>
      </c>
      <c r="G912" s="306">
        <f t="shared" ca="1" si="417"/>
        <v>9.2843201896289909</v>
      </c>
      <c r="H912" s="307">
        <f t="shared" ca="1" si="418"/>
        <v>-151.9393437135989</v>
      </c>
      <c r="I912" s="304">
        <f t="shared" ca="1" si="419"/>
        <v>152.22274064509119</v>
      </c>
      <c r="J912" s="306">
        <f t="shared" ca="1" si="420"/>
        <v>817.36275428081126</v>
      </c>
      <c r="K912" s="307">
        <f t="shared" ca="1" si="421"/>
        <v>561.44667106360953</v>
      </c>
      <c r="L912" s="304">
        <f t="shared" ca="1" si="406"/>
        <v>991.61698076118228</v>
      </c>
      <c r="M912" s="306">
        <f t="shared" ca="1" si="422"/>
        <v>-1.5097667719312995</v>
      </c>
      <c r="N912" s="304">
        <f t="shared" ca="1" si="423"/>
        <v>-86.50326408075378</v>
      </c>
      <c r="P912" s="310">
        <f t="shared" ca="1" si="424"/>
        <v>23</v>
      </c>
      <c r="Q912" s="304">
        <f t="shared" ca="1" si="425"/>
        <v>0</v>
      </c>
      <c r="R912" s="306">
        <f t="shared" ca="1" si="426"/>
        <v>0</v>
      </c>
      <c r="S912" s="307">
        <f t="shared" ca="1" si="427"/>
        <v>9.137999999999975</v>
      </c>
      <c r="T912" s="304">
        <f t="shared" ca="1" si="407"/>
        <v>89.643779999999765</v>
      </c>
      <c r="U912" s="311">
        <f t="shared" ca="1" si="408"/>
        <v>0</v>
      </c>
      <c r="V912" s="306">
        <f t="shared" ca="1" si="409"/>
        <v>1.1581007994665249</v>
      </c>
      <c r="W912" s="304">
        <f t="shared" ca="1" si="410"/>
        <v>70.944762398940327</v>
      </c>
      <c r="Y912" s="314" t="str">
        <f t="shared" ca="1" si="428"/>
        <v/>
      </c>
      <c r="Z912" s="315" t="str">
        <f t="shared" ca="1" si="429"/>
        <v/>
      </c>
      <c r="AA912" s="316" t="str">
        <f t="shared" ca="1" si="430"/>
        <v/>
      </c>
      <c r="AC912" s="310" t="e">
        <f t="shared" ca="1" si="431"/>
        <v>#N/A</v>
      </c>
      <c r="AD912" s="323" t="e">
        <f t="shared" ca="1" si="432"/>
        <v>#N/A</v>
      </c>
      <c r="AE912" s="324" t="e">
        <f t="shared" ca="1" si="411"/>
        <v>#N/A</v>
      </c>
      <c r="AG912" s="306">
        <f t="shared" ca="1" si="433"/>
        <v>2.0605534197595432</v>
      </c>
      <c r="AH912" s="304">
        <f t="shared" ca="1" si="434"/>
        <v>-7.7309455864104102</v>
      </c>
    </row>
    <row r="913" spans="1:34" x14ac:dyDescent="0.2">
      <c r="A913" s="347">
        <f t="shared" ca="1" si="412"/>
        <v>0.1</v>
      </c>
      <c r="B913" s="304">
        <f t="shared" ca="1" si="413"/>
        <v>45.900000000000318</v>
      </c>
      <c r="D913" s="306">
        <f t="shared" ca="1" si="414"/>
        <v>-0.47352155991518202</v>
      </c>
      <c r="E913" s="307">
        <f t="shared" ca="1" si="415"/>
        <v>-2.0607460343601858</v>
      </c>
      <c r="F913" s="304">
        <f t="shared" ca="1" si="416"/>
        <v>2.1144495467699715</v>
      </c>
      <c r="G913" s="306">
        <f t="shared" ca="1" si="417"/>
        <v>9.2369680336374724</v>
      </c>
      <c r="H913" s="307">
        <f t="shared" ca="1" si="418"/>
        <v>-152.14541831703491</v>
      </c>
      <c r="I913" s="304">
        <f t="shared" ca="1" si="419"/>
        <v>152.42555525016132</v>
      </c>
      <c r="J913" s="306">
        <f t="shared" ca="1" si="420"/>
        <v>818.2888186919746</v>
      </c>
      <c r="K913" s="307">
        <f t="shared" ca="1" si="421"/>
        <v>546.24243296207783</v>
      </c>
      <c r="L913" s="304">
        <f t="shared" ca="1" si="406"/>
        <v>983.85841784508682</v>
      </c>
      <c r="M913" s="306">
        <f t="shared" ca="1" si="422"/>
        <v>-1.5101593100219008</v>
      </c>
      <c r="N913" s="304">
        <f t="shared" ca="1" si="423"/>
        <v>-86.52575485664336</v>
      </c>
      <c r="P913" s="310">
        <f t="shared" ca="1" si="424"/>
        <v>23</v>
      </c>
      <c r="Q913" s="304">
        <f t="shared" ca="1" si="425"/>
        <v>0</v>
      </c>
      <c r="R913" s="306">
        <f t="shared" ca="1" si="426"/>
        <v>0</v>
      </c>
      <c r="S913" s="307">
        <f t="shared" ca="1" si="427"/>
        <v>9.137999999999975</v>
      </c>
      <c r="T913" s="304">
        <f t="shared" ca="1" si="407"/>
        <v>89.643779999999765</v>
      </c>
      <c r="U913" s="311">
        <f t="shared" ca="1" si="408"/>
        <v>0</v>
      </c>
      <c r="V913" s="306">
        <f t="shared" ca="1" si="409"/>
        <v>1.1598642962272225</v>
      </c>
      <c r="W913" s="304">
        <f t="shared" ca="1" si="410"/>
        <v>71.242254564049333</v>
      </c>
      <c r="Y913" s="314" t="str">
        <f t="shared" ca="1" si="428"/>
        <v/>
      </c>
      <c r="Z913" s="315" t="str">
        <f t="shared" ca="1" si="429"/>
        <v/>
      </c>
      <c r="AA913" s="316" t="str">
        <f t="shared" ca="1" si="430"/>
        <v/>
      </c>
      <c r="AC913" s="310" t="e">
        <f t="shared" ca="1" si="431"/>
        <v>#N/A</v>
      </c>
      <c r="AD913" s="323" t="e">
        <f t="shared" ca="1" si="432"/>
        <v>#N/A</v>
      </c>
      <c r="AE913" s="324" t="e">
        <f t="shared" ca="1" si="411"/>
        <v>#N/A</v>
      </c>
      <c r="AG913" s="306">
        <f t="shared" ca="1" si="433"/>
        <v>2.0280286173661031</v>
      </c>
      <c r="AH913" s="304">
        <f t="shared" ca="1" si="434"/>
        <v>-7.7637078571832481</v>
      </c>
    </row>
    <row r="914" spans="1:34" x14ac:dyDescent="0.2">
      <c r="A914" s="347">
        <f t="shared" ca="1" si="412"/>
        <v>0.1</v>
      </c>
      <c r="B914" s="304">
        <f t="shared" ca="1" si="413"/>
        <v>46.00000000000032</v>
      </c>
      <c r="D914" s="306">
        <f t="shared" ca="1" si="414"/>
        <v>-0.47245250509408826</v>
      </c>
      <c r="E914" s="307">
        <f t="shared" ca="1" si="415"/>
        <v>-2.0280650879480779</v>
      </c>
      <c r="F914" s="304">
        <f t="shared" ca="1" si="416"/>
        <v>2.0823686922645388</v>
      </c>
      <c r="G914" s="306">
        <f t="shared" ca="1" si="417"/>
        <v>9.1897227831280635</v>
      </c>
      <c r="H914" s="307">
        <f t="shared" ca="1" si="418"/>
        <v>-152.3482248258297</v>
      </c>
      <c r="I914" s="304">
        <f t="shared" ca="1" si="419"/>
        <v>152.62513755083825</v>
      </c>
      <c r="J914" s="306">
        <f t="shared" ca="1" si="420"/>
        <v>819.2101532328129</v>
      </c>
      <c r="K914" s="307">
        <f t="shared" ca="1" si="421"/>
        <v>531.01775080493462</v>
      </c>
      <c r="L914" s="304">
        <f t="shared" ca="1" si="406"/>
        <v>976.26078832946087</v>
      </c>
      <c r="M914" s="306">
        <f t="shared" ca="1" si="422"/>
        <v>-1.5105488164281429</v>
      </c>
      <c r="N914" s="304">
        <f t="shared" ca="1" si="423"/>
        <v>-86.548071929814341</v>
      </c>
      <c r="P914" s="310">
        <f t="shared" ca="1" si="424"/>
        <v>23</v>
      </c>
      <c r="Q914" s="304">
        <f t="shared" ca="1" si="425"/>
        <v>0</v>
      </c>
      <c r="R914" s="306">
        <f t="shared" ca="1" si="426"/>
        <v>0</v>
      </c>
      <c r="S914" s="307">
        <f t="shared" ca="1" si="427"/>
        <v>9.137999999999975</v>
      </c>
      <c r="T914" s="304">
        <f t="shared" ca="1" si="407"/>
        <v>89.643779999999765</v>
      </c>
      <c r="U914" s="311">
        <f t="shared" ca="1" si="408"/>
        <v>0</v>
      </c>
      <c r="V914" s="306">
        <f t="shared" ca="1" si="409"/>
        <v>1.1616327814206346</v>
      </c>
      <c r="W914" s="304">
        <f t="shared" ca="1" si="410"/>
        <v>71.537852622065571</v>
      </c>
      <c r="Y914" s="314" t="str">
        <f t="shared" ca="1" si="428"/>
        <v/>
      </c>
      <c r="Z914" s="315" t="str">
        <f t="shared" ca="1" si="429"/>
        <v/>
      </c>
      <c r="AA914" s="316" t="str">
        <f t="shared" ca="1" si="430"/>
        <v/>
      </c>
      <c r="AC914" s="310">
        <f t="shared" ca="1" si="431"/>
        <v>46.00000000000032</v>
      </c>
      <c r="AD914" s="323">
        <f t="shared" ca="1" si="432"/>
        <v>819.2101532328129</v>
      </c>
      <c r="AE914" s="324" t="e">
        <f t="shared" ca="1" si="411"/>
        <v>#N/A</v>
      </c>
      <c r="AG914" s="306">
        <f t="shared" ca="1" si="433"/>
        <v>1.9957072289736439</v>
      </c>
      <c r="AH914" s="304">
        <f t="shared" ca="1" si="434"/>
        <v>-7.7962633578517755</v>
      </c>
    </row>
    <row r="915" spans="1:34" x14ac:dyDescent="0.2">
      <c r="A915" s="347">
        <f t="shared" ca="1" si="412"/>
        <v>0.1</v>
      </c>
      <c r="B915" s="304">
        <f t="shared" ca="1" si="413"/>
        <v>46.100000000000321</v>
      </c>
      <c r="D915" s="306">
        <f t="shared" ca="1" si="414"/>
        <v>-0.47136907691284569</v>
      </c>
      <c r="E915" s="307">
        <f t="shared" ca="1" si="415"/>
        <v>-1.9955921228324502</v>
      </c>
      <c r="F915" s="304">
        <f t="shared" ca="1" si="416"/>
        <v>2.0505064563128284</v>
      </c>
      <c r="G915" s="306">
        <f t="shared" ca="1" si="417"/>
        <v>9.1425858754367795</v>
      </c>
      <c r="H915" s="307">
        <f t="shared" ca="1" si="418"/>
        <v>-152.54778403811295</v>
      </c>
      <c r="I915" s="304">
        <f t="shared" ca="1" si="419"/>
        <v>152.82150794776396</v>
      </c>
      <c r="J915" s="306">
        <f t="shared" ca="1" si="420"/>
        <v>820.12676866574111</v>
      </c>
      <c r="K915" s="307">
        <f t="shared" ca="1" si="421"/>
        <v>515.77295036173746</v>
      </c>
      <c r="L915" s="304">
        <f t="shared" ca="1" si="406"/>
        <v>968.82901123312843</v>
      </c>
      <c r="M915" s="306">
        <f t="shared" ca="1" si="422"/>
        <v>-1.5109353265572665</v>
      </c>
      <c r="N915" s="304">
        <f t="shared" ca="1" si="423"/>
        <v>-86.570217328952182</v>
      </c>
      <c r="P915" s="310">
        <f t="shared" ca="1" si="424"/>
        <v>23</v>
      </c>
      <c r="Q915" s="304">
        <f t="shared" ca="1" si="425"/>
        <v>0</v>
      </c>
      <c r="R915" s="306">
        <f t="shared" ca="1" si="426"/>
        <v>0</v>
      </c>
      <c r="S915" s="307">
        <f t="shared" ca="1" si="427"/>
        <v>9.137999999999975</v>
      </c>
      <c r="T915" s="304">
        <f t="shared" ca="1" si="407"/>
        <v>89.643779999999765</v>
      </c>
      <c r="U915" s="311">
        <f t="shared" ca="1" si="408"/>
        <v>0</v>
      </c>
      <c r="V915" s="306">
        <f t="shared" ca="1" si="409"/>
        <v>1.1634062335139084</v>
      </c>
      <c r="W915" s="304">
        <f t="shared" ca="1" si="410"/>
        <v>71.831552239961454</v>
      </c>
      <c r="Y915" s="314" t="str">
        <f t="shared" ca="1" si="428"/>
        <v/>
      </c>
      <c r="Z915" s="315" t="str">
        <f t="shared" ca="1" si="429"/>
        <v/>
      </c>
      <c r="AA915" s="316" t="str">
        <f t="shared" ca="1" si="430"/>
        <v/>
      </c>
      <c r="AC915" s="310" t="e">
        <f t="shared" ca="1" si="431"/>
        <v>#N/A</v>
      </c>
      <c r="AD915" s="323" t="e">
        <f t="shared" ca="1" si="432"/>
        <v>#N/A</v>
      </c>
      <c r="AE915" s="324" t="e">
        <f t="shared" ca="1" si="411"/>
        <v>#N/A</v>
      </c>
      <c r="AG915" s="306">
        <f t="shared" ca="1" si="433"/>
        <v>1.9635898191720846</v>
      </c>
      <c r="AH915" s="304">
        <f t="shared" ca="1" si="434"/>
        <v>-7.8286115804405521</v>
      </c>
    </row>
    <row r="916" spans="1:34" x14ac:dyDescent="0.2">
      <c r="A916" s="347">
        <f t="shared" ca="1" si="412"/>
        <v>0.1</v>
      </c>
      <c r="B916" s="304">
        <f t="shared" ca="1" si="413"/>
        <v>46.200000000000323</v>
      </c>
      <c r="D916" s="306">
        <f t="shared" ca="1" si="414"/>
        <v>-0.47027150585551836</v>
      </c>
      <c r="E916" s="307">
        <f t="shared" ca="1" si="415"/>
        <v>-1.963327615191977</v>
      </c>
      <c r="F916" s="304">
        <f t="shared" ca="1" si="416"/>
        <v>2.0188636937136275</v>
      </c>
      <c r="G916" s="306">
        <f t="shared" ca="1" si="417"/>
        <v>9.0955587248512284</v>
      </c>
      <c r="H916" s="307">
        <f t="shared" ca="1" si="418"/>
        <v>-152.74411679963214</v>
      </c>
      <c r="I916" s="304">
        <f t="shared" ca="1" si="419"/>
        <v>153.0146868944837</v>
      </c>
      <c r="J916" s="306">
        <f t="shared" ca="1" si="420"/>
        <v>821.03867589575555</v>
      </c>
      <c r="K916" s="307">
        <f t="shared" ca="1" si="421"/>
        <v>500.50835531985018</v>
      </c>
      <c r="L916" s="304">
        <f t="shared" ca="1" si="406"/>
        <v>961.56805326593337</v>
      </c>
      <c r="M916" s="306">
        <f t="shared" ca="1" si="422"/>
        <v>-1.5113188752153977</v>
      </c>
      <c r="N916" s="304">
        <f t="shared" ca="1" si="423"/>
        <v>-86.592193048300999</v>
      </c>
      <c r="P916" s="310">
        <f t="shared" ca="1" si="424"/>
        <v>23</v>
      </c>
      <c r="Q916" s="304">
        <f t="shared" ca="1" si="425"/>
        <v>0</v>
      </c>
      <c r="R916" s="306">
        <f t="shared" ca="1" si="426"/>
        <v>0</v>
      </c>
      <c r="S916" s="307">
        <f t="shared" ca="1" si="427"/>
        <v>9.137999999999975</v>
      </c>
      <c r="T916" s="304">
        <f t="shared" ca="1" si="407"/>
        <v>89.643779999999765</v>
      </c>
      <c r="U916" s="311">
        <f t="shared" ca="1" si="408"/>
        <v>0</v>
      </c>
      <c r="V916" s="306">
        <f t="shared" ca="1" si="409"/>
        <v>1.1651846310696281</v>
      </c>
      <c r="W916" s="304">
        <f t="shared" ca="1" si="410"/>
        <v>72.123349390148391</v>
      </c>
      <c r="Y916" s="314" t="str">
        <f t="shared" ca="1" si="428"/>
        <v/>
      </c>
      <c r="Z916" s="315" t="str">
        <f t="shared" ca="1" si="429"/>
        <v/>
      </c>
      <c r="AA916" s="316" t="str">
        <f t="shared" ca="1" si="430"/>
        <v/>
      </c>
      <c r="AC916" s="310" t="e">
        <f t="shared" ca="1" si="431"/>
        <v>#N/A</v>
      </c>
      <c r="AD916" s="323" t="e">
        <f t="shared" ca="1" si="432"/>
        <v>#N/A</v>
      </c>
      <c r="AE916" s="324" t="e">
        <f t="shared" ca="1" si="411"/>
        <v>#N/A</v>
      </c>
      <c r="AG916" s="306">
        <f t="shared" ca="1" si="433"/>
        <v>1.9316769175724753</v>
      </c>
      <c r="AH916" s="304">
        <f t="shared" ca="1" si="434"/>
        <v>-7.8607520507727786</v>
      </c>
    </row>
    <row r="917" spans="1:34" x14ac:dyDescent="0.2">
      <c r="A917" s="347">
        <f t="shared" ca="1" si="412"/>
        <v>0.1</v>
      </c>
      <c r="B917" s="304">
        <f t="shared" ca="1" si="413"/>
        <v>46.300000000000324</v>
      </c>
      <c r="D917" s="306">
        <f t="shared" ca="1" si="414"/>
        <v>-0.46916002156329839</v>
      </c>
      <c r="E917" s="307">
        <f t="shared" ca="1" si="415"/>
        <v>-1.9312720076682677</v>
      </c>
      <c r="F917" s="304">
        <f t="shared" ca="1" si="416"/>
        <v>1.9874412427632411</v>
      </c>
      <c r="G917" s="306">
        <f t="shared" ca="1" si="417"/>
        <v>9.0486427226948987</v>
      </c>
      <c r="H917" s="307">
        <f t="shared" ca="1" si="418"/>
        <v>-152.93724400039898</v>
      </c>
      <c r="I917" s="304">
        <f t="shared" ca="1" si="419"/>
        <v>153.20469489398994</v>
      </c>
      <c r="J917" s="306">
        <f t="shared" ca="1" si="420"/>
        <v>821.94588596813287</v>
      </c>
      <c r="K917" s="307">
        <f t="shared" ca="1" si="421"/>
        <v>485.22428727984862</v>
      </c>
      <c r="L917" s="304">
        <f t="shared" ca="1" si="406"/>
        <v>954.48292201912966</v>
      </c>
      <c r="M917" s="306">
        <f t="shared" ca="1" si="422"/>
        <v>-1.5116994966202144</v>
      </c>
      <c r="N917" s="304">
        <f t="shared" ca="1" si="423"/>
        <v>-86.614001048389341</v>
      </c>
      <c r="P917" s="310">
        <f t="shared" ca="1" si="424"/>
        <v>23</v>
      </c>
      <c r="Q917" s="304">
        <f t="shared" ca="1" si="425"/>
        <v>0</v>
      </c>
      <c r="R917" s="306">
        <f t="shared" ca="1" si="426"/>
        <v>0</v>
      </c>
      <c r="S917" s="307">
        <f t="shared" ca="1" si="427"/>
        <v>9.137999999999975</v>
      </c>
      <c r="T917" s="304">
        <f t="shared" ca="1" si="407"/>
        <v>89.643779999999765</v>
      </c>
      <c r="U917" s="311">
        <f t="shared" ca="1" si="408"/>
        <v>0</v>
      </c>
      <c r="V917" s="306">
        <f t="shared" ca="1" si="409"/>
        <v>1.1669679527466144</v>
      </c>
      <c r="W917" s="304">
        <f t="shared" ca="1" si="410"/>
        <v>72.413240347037856</v>
      </c>
      <c r="Y917" s="314" t="str">
        <f t="shared" ca="1" si="428"/>
        <v/>
      </c>
      <c r="Z917" s="315" t="str">
        <f t="shared" ca="1" si="429"/>
        <v/>
      </c>
      <c r="AA917" s="316" t="str">
        <f t="shared" ca="1" si="430"/>
        <v/>
      </c>
      <c r="AC917" s="310" t="e">
        <f t="shared" ca="1" si="431"/>
        <v>#N/A</v>
      </c>
      <c r="AD917" s="323" t="e">
        <f t="shared" ca="1" si="432"/>
        <v>#N/A</v>
      </c>
      <c r="AE917" s="324" t="e">
        <f t="shared" ca="1" si="411"/>
        <v>#N/A</v>
      </c>
      <c r="AG917" s="306">
        <f t="shared" ca="1" si="433"/>
        <v>1.899969019210153</v>
      </c>
      <c r="AH917" s="304">
        <f t="shared" ca="1" si="434"/>
        <v>-7.8926843280968031</v>
      </c>
    </row>
    <row r="918" spans="1:34" x14ac:dyDescent="0.2">
      <c r="A918" s="347">
        <f t="shared" ca="1" si="412"/>
        <v>0.1</v>
      </c>
      <c r="B918" s="304">
        <f t="shared" ca="1" si="413"/>
        <v>46.400000000000325</v>
      </c>
      <c r="D918" s="306">
        <f t="shared" ca="1" si="414"/>
        <v>-0.46803485280329554</v>
      </c>
      <c r="E918" s="307">
        <f t="shared" ca="1" si="415"/>
        <v>-1.8994257097433191</v>
      </c>
      <c r="F918" s="304">
        <f t="shared" ca="1" si="416"/>
        <v>1.9562399265612882</v>
      </c>
      <c r="G918" s="306">
        <f t="shared" ca="1" si="417"/>
        <v>9.0018392374145684</v>
      </c>
      <c r="H918" s="307">
        <f t="shared" ca="1" si="418"/>
        <v>-153.1271865713733</v>
      </c>
      <c r="I918" s="304">
        <f t="shared" ca="1" si="419"/>
        <v>153.39155249530668</v>
      </c>
      <c r="J918" s="306">
        <f t="shared" ca="1" si="420"/>
        <v>822.8484100661384</v>
      </c>
      <c r="K918" s="307">
        <f t="shared" ca="1" si="421"/>
        <v>469.92106575126002</v>
      </c>
      <c r="L918" s="304">
        <f t="shared" ca="1" si="406"/>
        <v>947.57865846861068</v>
      </c>
      <c r="M918" s="306">
        <f t="shared" ca="1" si="422"/>
        <v>-1.5120772244133032</v>
      </c>
      <c r="N918" s="304">
        <f t="shared" ca="1" si="423"/>
        <v>-86.63564325673812</v>
      </c>
      <c r="P918" s="310">
        <f t="shared" ca="1" si="424"/>
        <v>23</v>
      </c>
      <c r="Q918" s="304">
        <f t="shared" ca="1" si="425"/>
        <v>0</v>
      </c>
      <c r="R918" s="306">
        <f t="shared" ca="1" si="426"/>
        <v>0</v>
      </c>
      <c r="S918" s="307">
        <f t="shared" ca="1" si="427"/>
        <v>9.137999999999975</v>
      </c>
      <c r="T918" s="304">
        <f t="shared" ca="1" si="407"/>
        <v>89.643779999999765</v>
      </c>
      <c r="U918" s="311">
        <f t="shared" ca="1" si="408"/>
        <v>0</v>
      </c>
      <c r="V918" s="306">
        <f t="shared" ca="1" si="409"/>
        <v>1.1687561773007096</v>
      </c>
      <c r="W918" s="304">
        <f t="shared" ca="1" si="410"/>
        <v>72.70122168357787</v>
      </c>
      <c r="Y918" s="314" t="str">
        <f t="shared" ca="1" si="428"/>
        <v/>
      </c>
      <c r="Z918" s="315" t="str">
        <f t="shared" ca="1" si="429"/>
        <v/>
      </c>
      <c r="AA918" s="316" t="str">
        <f t="shared" ca="1" si="430"/>
        <v/>
      </c>
      <c r="AC918" s="310" t="e">
        <f t="shared" ca="1" si="431"/>
        <v>#N/A</v>
      </c>
      <c r="AD918" s="323" t="e">
        <f t="shared" ca="1" si="432"/>
        <v>#N/A</v>
      </c>
      <c r="AE918" s="324" t="e">
        <f t="shared" ca="1" si="411"/>
        <v>#N/A</v>
      </c>
      <c r="AG918" s="306">
        <f t="shared" ca="1" si="433"/>
        <v>1.8684665849498625</v>
      </c>
      <c r="AH918" s="304">
        <f t="shared" ca="1" si="434"/>
        <v>-7.9244080047097896</v>
      </c>
    </row>
    <row r="919" spans="1:34" x14ac:dyDescent="0.2">
      <c r="A919" s="347">
        <f t="shared" ca="1" si="412"/>
        <v>0.1</v>
      </c>
      <c r="B919" s="304">
        <f t="shared" ca="1" si="413"/>
        <v>46.500000000000327</v>
      </c>
      <c r="D919" s="306">
        <f t="shared" ca="1" si="414"/>
        <v>-0.46689622743799425</v>
      </c>
      <c r="E919" s="307">
        <f t="shared" ca="1" si="415"/>
        <v>-1.8677890981196734</v>
      </c>
      <c r="F919" s="304">
        <f t="shared" ca="1" si="416"/>
        <v>1.9252605543797272</v>
      </c>
      <c r="G919" s="306">
        <f t="shared" ca="1" si="417"/>
        <v>8.9551496146707681</v>
      </c>
      <c r="H919" s="307">
        <f t="shared" ca="1" si="418"/>
        <v>-153.31396548118528</v>
      </c>
      <c r="I919" s="304">
        <f t="shared" ca="1" si="419"/>
        <v>153.57528029011442</v>
      </c>
      <c r="J919" s="306">
        <f t="shared" ca="1" si="420"/>
        <v>823.7462595087427</v>
      </c>
      <c r="K919" s="307">
        <f t="shared" ca="1" si="421"/>
        <v>454.59900814863209</v>
      </c>
      <c r="L919" s="304">
        <f t="shared" ca="1" si="406"/>
        <v>940.86032877593743</v>
      </c>
      <c r="M919" s="306">
        <f t="shared" ca="1" si="422"/>
        <v>-1.5124520916722073</v>
      </c>
      <c r="N919" s="304">
        <f t="shared" ca="1" si="423"/>
        <v>-86.657121568550963</v>
      </c>
      <c r="P919" s="310">
        <f t="shared" ca="1" si="424"/>
        <v>23</v>
      </c>
      <c r="Q919" s="304">
        <f t="shared" ca="1" si="425"/>
        <v>0</v>
      </c>
      <c r="R919" s="306">
        <f t="shared" ca="1" si="426"/>
        <v>0</v>
      </c>
      <c r="S919" s="307">
        <f t="shared" ca="1" si="427"/>
        <v>9.137999999999975</v>
      </c>
      <c r="T919" s="304">
        <f t="shared" ca="1" si="407"/>
        <v>89.643779999999765</v>
      </c>
      <c r="U919" s="311">
        <f t="shared" ca="1" si="408"/>
        <v>0</v>
      </c>
      <c r="V919" s="306">
        <f t="shared" ca="1" si="409"/>
        <v>1.1705492835855427</v>
      </c>
      <c r="W919" s="304">
        <f t="shared" ca="1" si="410"/>
        <v>72.98729026776634</v>
      </c>
      <c r="Y919" s="314" t="str">
        <f t="shared" ca="1" si="428"/>
        <v/>
      </c>
      <c r="Z919" s="315" t="str">
        <f t="shared" ca="1" si="429"/>
        <v/>
      </c>
      <c r="AA919" s="316" t="str">
        <f t="shared" ca="1" si="430"/>
        <v/>
      </c>
      <c r="AC919" s="310" t="e">
        <f t="shared" ca="1" si="431"/>
        <v>#N/A</v>
      </c>
      <c r="AD919" s="323" t="e">
        <f t="shared" ca="1" si="432"/>
        <v>#N/A</v>
      </c>
      <c r="AE919" s="324" t="e">
        <f t="shared" ca="1" si="411"/>
        <v>#N/A</v>
      </c>
      <c r="AG919" s="306">
        <f t="shared" ca="1" si="433"/>
        <v>1.8371700418927492</v>
      </c>
      <c r="AH919" s="304">
        <f t="shared" ca="1" si="434"/>
        <v>-7.9559227055786899</v>
      </c>
    </row>
    <row r="920" spans="1:34" x14ac:dyDescent="0.2">
      <c r="A920" s="347">
        <f t="shared" ca="1" si="412"/>
        <v>0.1</v>
      </c>
      <c r="B920" s="304">
        <f t="shared" ca="1" si="413"/>
        <v>46.600000000000328</v>
      </c>
      <c r="D920" s="306">
        <f t="shared" ca="1" si="414"/>
        <v>-0.46574437239542477</v>
      </c>
      <c r="E920" s="307">
        <f t="shared" ca="1" si="415"/>
        <v>-1.836362517103109</v>
      </c>
      <c r="F920" s="304">
        <f t="shared" ca="1" si="416"/>
        <v>1.894503923099468</v>
      </c>
      <c r="G920" s="306">
        <f t="shared" ca="1" si="417"/>
        <v>8.9085751774312261</v>
      </c>
      <c r="H920" s="307">
        <f t="shared" ca="1" si="418"/>
        <v>-153.49760173289559</v>
      </c>
      <c r="I920" s="304">
        <f t="shared" ca="1" si="419"/>
        <v>153.75589890941609</v>
      </c>
      <c r="J920" s="306">
        <f t="shared" ca="1" si="420"/>
        <v>824.63944574834784</v>
      </c>
      <c r="K920" s="307">
        <f t="shared" ca="1" si="421"/>
        <v>439.25842978792804</v>
      </c>
      <c r="L920" s="304">
        <f t="shared" ca="1" si="406"/>
        <v>934.33301537722537</v>
      </c>
      <c r="M920" s="306">
        <f t="shared" ca="1" si="422"/>
        <v>-1.5128241309221799</v>
      </c>
      <c r="N920" s="304">
        <f t="shared" ca="1" si="423"/>
        <v>-86.678437847387613</v>
      </c>
      <c r="P920" s="310">
        <f t="shared" ca="1" si="424"/>
        <v>23</v>
      </c>
      <c r="Q920" s="304">
        <f t="shared" ca="1" si="425"/>
        <v>0</v>
      </c>
      <c r="R920" s="306">
        <f t="shared" ca="1" si="426"/>
        <v>0</v>
      </c>
      <c r="S920" s="307">
        <f t="shared" ca="1" si="427"/>
        <v>9.137999999999975</v>
      </c>
      <c r="T920" s="304">
        <f t="shared" ca="1" si="407"/>
        <v>89.643779999999765</v>
      </c>
      <c r="U920" s="311">
        <f t="shared" ca="1" si="408"/>
        <v>0</v>
      </c>
      <c r="V920" s="306">
        <f t="shared" ca="1" si="409"/>
        <v>1.1723472505532779</v>
      </c>
      <c r="W920" s="304">
        <f t="shared" ca="1" si="410"/>
        <v>73.271443259143254</v>
      </c>
      <c r="Y920" s="314" t="str">
        <f t="shared" ca="1" si="428"/>
        <v/>
      </c>
      <c r="Z920" s="315" t="str">
        <f t="shared" ca="1" si="429"/>
        <v/>
      </c>
      <c r="AA920" s="316" t="str">
        <f t="shared" ca="1" si="430"/>
        <v/>
      </c>
      <c r="AC920" s="310" t="e">
        <f t="shared" ca="1" si="431"/>
        <v>#N/A</v>
      </c>
      <c r="AD920" s="323" t="e">
        <f t="shared" ca="1" si="432"/>
        <v>#N/A</v>
      </c>
      <c r="AE920" s="324" t="e">
        <f t="shared" ca="1" si="411"/>
        <v>#N/A</v>
      </c>
      <c r="AG920" s="306">
        <f t="shared" ca="1" si="433"/>
        <v>1.80607978378504</v>
      </c>
      <c r="AH920" s="304">
        <f t="shared" ca="1" si="434"/>
        <v>-7.9872280879586937</v>
      </c>
    </row>
    <row r="921" spans="1:34" x14ac:dyDescent="0.2">
      <c r="A921" s="347">
        <f t="shared" ca="1" si="412"/>
        <v>0.1</v>
      </c>
      <c r="B921" s="304">
        <f t="shared" ca="1" si="413"/>
        <v>46.70000000000033</v>
      </c>
      <c r="D921" s="306">
        <f t="shared" ca="1" si="414"/>
        <v>-0.46457951364002276</v>
      </c>
      <c r="E921" s="307">
        <f t="shared" ca="1" si="415"/>
        <v>-1.8051462789876691</v>
      </c>
      <c r="F921" s="304">
        <f t="shared" ca="1" si="416"/>
        <v>1.8639708187192812</v>
      </c>
      <c r="G921" s="306">
        <f t="shared" ca="1" si="417"/>
        <v>8.8621172260672232</v>
      </c>
      <c r="H921" s="307">
        <f t="shared" ca="1" si="418"/>
        <v>-153.67811636079435</v>
      </c>
      <c r="I921" s="304">
        <f t="shared" ca="1" si="419"/>
        <v>153.93342902024369</v>
      </c>
      <c r="J921" s="306">
        <f t="shared" ca="1" si="420"/>
        <v>825.52798036852278</v>
      </c>
      <c r="K921" s="307">
        <f t="shared" ca="1" si="421"/>
        <v>423.89964388324353</v>
      </c>
      <c r="L921" s="304">
        <f t="shared" ca="1" si="406"/>
        <v>928.00180735582239</v>
      </c>
      <c r="M921" s="306">
        <f t="shared" ca="1" si="422"/>
        <v>-1.5131933741476502</v>
      </c>
      <c r="N921" s="304">
        <f t="shared" ca="1" si="423"/>
        <v>-86.699593925820849</v>
      </c>
      <c r="P921" s="310">
        <f t="shared" ca="1" si="424"/>
        <v>23</v>
      </c>
      <c r="Q921" s="304">
        <f t="shared" ca="1" si="425"/>
        <v>0</v>
      </c>
      <c r="R921" s="306">
        <f t="shared" ca="1" si="426"/>
        <v>0</v>
      </c>
      <c r="S921" s="307">
        <f t="shared" ca="1" si="427"/>
        <v>9.137999999999975</v>
      </c>
      <c r="T921" s="304">
        <f t="shared" ca="1" si="407"/>
        <v>89.643779999999765</v>
      </c>
      <c r="U921" s="311">
        <f t="shared" ca="1" si="408"/>
        <v>0</v>
      </c>
      <c r="V921" s="306">
        <f t="shared" ca="1" si="409"/>
        <v>1.1741500572553498</v>
      </c>
      <c r="W921" s="304">
        <f t="shared" ca="1" si="410"/>
        <v>73.553678105262605</v>
      </c>
      <c r="Y921" s="314" t="str">
        <f t="shared" ca="1" si="428"/>
        <v/>
      </c>
      <c r="Z921" s="315" t="str">
        <f t="shared" ca="1" si="429"/>
        <v/>
      </c>
      <c r="AA921" s="316" t="str">
        <f t="shared" ca="1" si="430"/>
        <v/>
      </c>
      <c r="AC921" s="310" t="e">
        <f t="shared" ca="1" si="431"/>
        <v>#N/A</v>
      </c>
      <c r="AD921" s="323" t="e">
        <f t="shared" ca="1" si="432"/>
        <v>#N/A</v>
      </c>
      <c r="AE921" s="324" t="e">
        <f t="shared" ca="1" si="411"/>
        <v>#N/A</v>
      </c>
      <c r="AG921" s="306">
        <f t="shared" ca="1" si="433"/>
        <v>1.7751961714282949</v>
      </c>
      <c r="AH921" s="304">
        <f t="shared" ca="1" si="434"/>
        <v>-8.0183238410093516</v>
      </c>
    </row>
    <row r="922" spans="1:34" x14ac:dyDescent="0.2">
      <c r="A922" s="347">
        <f t="shared" ca="1" si="412"/>
        <v>0.1</v>
      </c>
      <c r="B922" s="304">
        <f t="shared" ca="1" si="413"/>
        <v>46.800000000000331</v>
      </c>
      <c r="D922" s="306">
        <f t="shared" ca="1" si="414"/>
        <v>-0.46340187614416684</v>
      </c>
      <c r="E922" s="307">
        <f t="shared" ca="1" si="415"/>
        <v>-1.7741406644429158</v>
      </c>
      <c r="F922" s="304">
        <f t="shared" ca="1" si="416"/>
        <v>1.8336620179422065</v>
      </c>
      <c r="G922" s="306">
        <f t="shared" ca="1" si="417"/>
        <v>8.815777038452806</v>
      </c>
      <c r="H922" s="307">
        <f t="shared" ca="1" si="418"/>
        <v>-153.85553042723865</v>
      </c>
      <c r="I922" s="304">
        <f t="shared" ca="1" si="419"/>
        <v>154.10789132240657</v>
      </c>
      <c r="J922" s="306">
        <f t="shared" ca="1" si="420"/>
        <v>826.4118750817488</v>
      </c>
      <c r="K922" s="307">
        <f t="shared" ca="1" si="421"/>
        <v>408.52296154384186</v>
      </c>
      <c r="L922" s="304">
        <f t="shared" ca="1" si="406"/>
        <v>921.87179010135856</v>
      </c>
      <c r="M922" s="306">
        <f t="shared" ca="1" si="422"/>
        <v>-1.5135598528034078</v>
      </c>
      <c r="N922" s="304">
        <f t="shared" ca="1" si="423"/>
        <v>-86.720591606077392</v>
      </c>
      <c r="P922" s="310">
        <f t="shared" ca="1" si="424"/>
        <v>23</v>
      </c>
      <c r="Q922" s="304">
        <f t="shared" ca="1" si="425"/>
        <v>0</v>
      </c>
      <c r="R922" s="306">
        <f t="shared" ca="1" si="426"/>
        <v>0</v>
      </c>
      <c r="S922" s="307">
        <f t="shared" ca="1" si="427"/>
        <v>9.137999999999975</v>
      </c>
      <c r="T922" s="304">
        <f t="shared" ca="1" si="407"/>
        <v>89.643779999999765</v>
      </c>
      <c r="U922" s="311">
        <f t="shared" ca="1" si="408"/>
        <v>0</v>
      </c>
      <c r="V922" s="306">
        <f t="shared" ca="1" si="409"/>
        <v>1.1759576828431737</v>
      </c>
      <c r="W922" s="304">
        <f t="shared" ca="1" si="410"/>
        <v>73.833992538146305</v>
      </c>
      <c r="Y922" s="314" t="str">
        <f t="shared" ca="1" si="428"/>
        <v/>
      </c>
      <c r="Z922" s="315" t="str">
        <f t="shared" ca="1" si="429"/>
        <v/>
      </c>
      <c r="AA922" s="316" t="str">
        <f t="shared" ca="1" si="430"/>
        <v/>
      </c>
      <c r="AC922" s="310" t="e">
        <f t="shared" ca="1" si="431"/>
        <v>#N/A</v>
      </c>
      <c r="AD922" s="323" t="e">
        <f t="shared" ca="1" si="432"/>
        <v>#N/A</v>
      </c>
      <c r="AE922" s="324" t="e">
        <f t="shared" ca="1" si="411"/>
        <v>#N/A</v>
      </c>
      <c r="AG922" s="306">
        <f t="shared" ca="1" si="433"/>
        <v>1.7445195330910934</v>
      </c>
      <c r="AH922" s="304">
        <f t="shared" ca="1" si="434"/>
        <v>-8.049209685408492</v>
      </c>
    </row>
    <row r="923" spans="1:34" x14ac:dyDescent="0.2">
      <c r="A923" s="347">
        <f t="shared" ca="1" si="412"/>
        <v>0.1</v>
      </c>
      <c r="B923" s="304">
        <f t="shared" ca="1" si="413"/>
        <v>46.900000000000333</v>
      </c>
      <c r="D923" s="306">
        <f t="shared" ca="1" si="414"/>
        <v>-0.4622116838604205</v>
      </c>
      <c r="E923" s="307">
        <f t="shared" ca="1" si="415"/>
        <v>-1.743345922903158</v>
      </c>
      <c r="F923" s="304">
        <f t="shared" ca="1" si="416"/>
        <v>1.8035782898449817</v>
      </c>
      <c r="G923" s="306">
        <f t="shared" ca="1" si="417"/>
        <v>8.769555870066764</v>
      </c>
      <c r="H923" s="307">
        <f t="shared" ca="1" si="418"/>
        <v>-154.02986501952896</v>
      </c>
      <c r="I923" s="304">
        <f t="shared" ca="1" si="419"/>
        <v>154.27930654528018</v>
      </c>
      <c r="J923" s="306">
        <f t="shared" ca="1" si="420"/>
        <v>827.29114172717482</v>
      </c>
      <c r="K923" s="307">
        <f t="shared" ca="1" si="421"/>
        <v>393.1286917715035</v>
      </c>
      <c r="L923" s="304">
        <f t="shared" ca="1" si="406"/>
        <v>915.94803426516853</v>
      </c>
      <c r="M923" s="306">
        <f t="shared" ca="1" si="422"/>
        <v>-1.5139235978255168</v>
      </c>
      <c r="N923" s="304">
        <f t="shared" ca="1" si="423"/>
        <v>-86.741432660663122</v>
      </c>
      <c r="P923" s="310">
        <f t="shared" ca="1" si="424"/>
        <v>23</v>
      </c>
      <c r="Q923" s="304">
        <f t="shared" ca="1" si="425"/>
        <v>0</v>
      </c>
      <c r="R923" s="306">
        <f t="shared" ca="1" si="426"/>
        <v>0</v>
      </c>
      <c r="S923" s="307">
        <f t="shared" ca="1" si="427"/>
        <v>9.137999999999975</v>
      </c>
      <c r="T923" s="304">
        <f t="shared" ca="1" si="407"/>
        <v>89.643779999999765</v>
      </c>
      <c r="U923" s="311">
        <f t="shared" ca="1" si="408"/>
        <v>0</v>
      </c>
      <c r="V923" s="306">
        <f t="shared" ca="1" si="409"/>
        <v>1.1777701065688457</v>
      </c>
      <c r="W923" s="304">
        <f t="shared" ca="1" si="410"/>
        <v>74.112384570720266</v>
      </c>
      <c r="Y923" s="314" t="str">
        <f t="shared" ca="1" si="428"/>
        <v/>
      </c>
      <c r="Z923" s="315" t="str">
        <f t="shared" ca="1" si="429"/>
        <v/>
      </c>
      <c r="AA923" s="316" t="str">
        <f t="shared" ca="1" si="430"/>
        <v/>
      </c>
      <c r="AC923" s="310" t="e">
        <f t="shared" ca="1" si="431"/>
        <v>#N/A</v>
      </c>
      <c r="AD923" s="323" t="e">
        <f t="shared" ca="1" si="432"/>
        <v>#N/A</v>
      </c>
      <c r="AE923" s="324" t="e">
        <f t="shared" ca="1" si="411"/>
        <v>#N/A</v>
      </c>
      <c r="AG923" s="306">
        <f t="shared" ca="1" si="433"/>
        <v>1.7140501649219697</v>
      </c>
      <c r="AH923" s="304">
        <f t="shared" ca="1" si="434"/>
        <v>-8.0798853729641618</v>
      </c>
    </row>
    <row r="924" spans="1:34" x14ac:dyDescent="0.2">
      <c r="A924" s="347">
        <f t="shared" ca="1" si="412"/>
        <v>0.1</v>
      </c>
      <c r="B924" s="304">
        <f t="shared" ca="1" si="413"/>
        <v>47.000000000000334</v>
      </c>
      <c r="D924" s="306">
        <f t="shared" ca="1" si="414"/>
        <v>-0.46100915969444334</v>
      </c>
      <c r="E924" s="307">
        <f t="shared" ca="1" si="415"/>
        <v>-1.7127622729586491</v>
      </c>
      <c r="F924" s="304">
        <f t="shared" ca="1" si="416"/>
        <v>1.7737203976367455</v>
      </c>
      <c r="G924" s="306">
        <f t="shared" ca="1" si="417"/>
        <v>8.7234549540973187</v>
      </c>
      <c r="H924" s="307">
        <f t="shared" ca="1" si="418"/>
        <v>-154.20114124682482</v>
      </c>
      <c r="I924" s="304">
        <f t="shared" ca="1" si="419"/>
        <v>154.44769544463713</v>
      </c>
      <c r="J924" s="306">
        <f t="shared" ca="1" si="420"/>
        <v>828.16579226838303</v>
      </c>
      <c r="K924" s="307">
        <f t="shared" ca="1" si="421"/>
        <v>377.71714145818578</v>
      </c>
      <c r="L924" s="304">
        <f t="shared" ca="1" si="406"/>
        <v>910.23558403023435</v>
      </c>
      <c r="M924" s="306">
        <f t="shared" ca="1" si="422"/>
        <v>-1.5142846396419656</v>
      </c>
      <c r="N924" s="304">
        <f t="shared" ca="1" si="423"/>
        <v>-86.762118832973385</v>
      </c>
      <c r="P924" s="310">
        <f t="shared" ca="1" si="424"/>
        <v>23</v>
      </c>
      <c r="Q924" s="304">
        <f t="shared" ca="1" si="425"/>
        <v>0</v>
      </c>
      <c r="R924" s="306">
        <f t="shared" ca="1" si="426"/>
        <v>0</v>
      </c>
      <c r="S924" s="307">
        <f t="shared" ca="1" si="427"/>
        <v>9.137999999999975</v>
      </c>
      <c r="T924" s="304">
        <f t="shared" ca="1" si="407"/>
        <v>89.643779999999765</v>
      </c>
      <c r="U924" s="311">
        <f t="shared" ca="1" si="408"/>
        <v>0</v>
      </c>
      <c r="V924" s="306">
        <f t="shared" ca="1" si="409"/>
        <v>1.1795873077858252</v>
      </c>
      <c r="W924" s="304">
        <f t="shared" ca="1" si="410"/>
        <v>74.388852493236186</v>
      </c>
      <c r="Y924" s="314" t="str">
        <f t="shared" ca="1" si="428"/>
        <v/>
      </c>
      <c r="Z924" s="315" t="str">
        <f t="shared" ca="1" si="429"/>
        <v/>
      </c>
      <c r="AA924" s="316" t="str">
        <f t="shared" ca="1" si="430"/>
        <v/>
      </c>
      <c r="AC924" s="310">
        <f t="shared" ca="1" si="431"/>
        <v>47.000000000000334</v>
      </c>
      <c r="AD924" s="323">
        <f t="shared" ca="1" si="432"/>
        <v>828.16579226838303</v>
      </c>
      <c r="AE924" s="324" t="e">
        <f t="shared" ca="1" si="411"/>
        <v>#N/A</v>
      </c>
      <c r="AG924" s="306">
        <f t="shared" ca="1" si="433"/>
        <v>1.6837883313635924</v>
      </c>
      <c r="AH924" s="304">
        <f t="shared" ca="1" si="434"/>
        <v>-8.1103506862246082</v>
      </c>
    </row>
    <row r="925" spans="1:34" x14ac:dyDescent="0.2">
      <c r="A925" s="347">
        <f t="shared" ca="1" si="412"/>
        <v>0.1</v>
      </c>
      <c r="B925" s="304">
        <f t="shared" ca="1" si="413"/>
        <v>47.100000000000335</v>
      </c>
      <c r="D925" s="306">
        <f t="shared" ca="1" si="414"/>
        <v>-0.45979452547859295</v>
      </c>
      <c r="E925" s="307">
        <f t="shared" ca="1" si="415"/>
        <v>-1.6823899027483549</v>
      </c>
      <c r="F925" s="304">
        <f t="shared" ca="1" si="416"/>
        <v>1.744089100513418</v>
      </c>
      <c r="G925" s="306">
        <f t="shared" ca="1" si="417"/>
        <v>8.6774755015494591</v>
      </c>
      <c r="H925" s="307">
        <f t="shared" ca="1" si="418"/>
        <v>-154.36938023709965</v>
      </c>
      <c r="I925" s="304">
        <f t="shared" ca="1" si="419"/>
        <v>154.61307879951892</v>
      </c>
      <c r="J925" s="306">
        <f t="shared" ca="1" si="420"/>
        <v>829.03583879116536</v>
      </c>
      <c r="K925" s="307">
        <f t="shared" ca="1" si="421"/>
        <v>362.28861538398957</v>
      </c>
      <c r="L925" s="304">
        <f t="shared" ca="1" si="406"/>
        <v>904.73944472263361</v>
      </c>
      <c r="M925" s="306">
        <f t="shared" ca="1" si="422"/>
        <v>-1.5146430081830595</v>
      </c>
      <c r="N925" s="304">
        <f t="shared" ca="1" si="423"/>
        <v>-86.782651837888324</v>
      </c>
      <c r="P925" s="310">
        <f t="shared" ca="1" si="424"/>
        <v>23</v>
      </c>
      <c r="Q925" s="304">
        <f t="shared" ca="1" si="425"/>
        <v>0</v>
      </c>
      <c r="R925" s="306">
        <f t="shared" ca="1" si="426"/>
        <v>0</v>
      </c>
      <c r="S925" s="307">
        <f t="shared" ca="1" si="427"/>
        <v>9.137999999999975</v>
      </c>
      <c r="T925" s="304">
        <f t="shared" ca="1" si="407"/>
        <v>89.643779999999765</v>
      </c>
      <c r="U925" s="311">
        <f t="shared" ca="1" si="408"/>
        <v>0</v>
      </c>
      <c r="V925" s="306">
        <f t="shared" ca="1" si="409"/>
        <v>1.1814092659495961</v>
      </c>
      <c r="W925" s="304">
        <f t="shared" ca="1" si="410"/>
        <v>74.66339486967793</v>
      </c>
      <c r="Y925" s="314" t="str">
        <f t="shared" ca="1" si="428"/>
        <v/>
      </c>
      <c r="Z925" s="315" t="str">
        <f t="shared" ca="1" si="429"/>
        <v/>
      </c>
      <c r="AA925" s="316" t="str">
        <f t="shared" ca="1" si="430"/>
        <v/>
      </c>
      <c r="AC925" s="310" t="e">
        <f t="shared" ca="1" si="431"/>
        <v>#N/A</v>
      </c>
      <c r="AD925" s="323" t="e">
        <f t="shared" ca="1" si="432"/>
        <v>#N/A</v>
      </c>
      <c r="AE925" s="324" t="e">
        <f t="shared" ca="1" si="411"/>
        <v>#N/A</v>
      </c>
      <c r="AG925" s="306">
        <f t="shared" ca="1" si="433"/>
        <v>1.6537342655678113</v>
      </c>
      <c r="AH925" s="304">
        <f t="shared" ca="1" si="434"/>
        <v>-8.1406054380867143</v>
      </c>
    </row>
    <row r="926" spans="1:34" x14ac:dyDescent="0.2">
      <c r="A926" s="347">
        <f t="shared" ca="1" si="412"/>
        <v>0.1</v>
      </c>
      <c r="B926" s="304">
        <f t="shared" ca="1" si="413"/>
        <v>47.200000000000337</v>
      </c>
      <c r="D926" s="306">
        <f t="shared" ca="1" si="414"/>
        <v>-0.45856800194619712</v>
      </c>
      <c r="E926" s="307">
        <f t="shared" ca="1" si="415"/>
        <v>-1.6522289703544164</v>
      </c>
      <c r="F926" s="304">
        <f t="shared" ca="1" si="416"/>
        <v>1.714685155615264</v>
      </c>
      <c r="G926" s="306">
        <f t="shared" ca="1" si="417"/>
        <v>8.6316187013548387</v>
      </c>
      <c r="H926" s="307">
        <f t="shared" ca="1" si="418"/>
        <v>-154.5346031341351</v>
      </c>
      <c r="I926" s="304">
        <f t="shared" ca="1" si="419"/>
        <v>154.77547740914972</v>
      </c>
      <c r="J926" s="306">
        <f t="shared" ca="1" si="420"/>
        <v>829.90129350131053</v>
      </c>
      <c r="K926" s="307">
        <f t="shared" ca="1" si="421"/>
        <v>346.84341621542785</v>
      </c>
      <c r="L926" s="304">
        <f t="shared" ca="1" si="406"/>
        <v>899.46456980091045</v>
      </c>
      <c r="M926" s="306">
        <f t="shared" ca="1" si="422"/>
        <v>-1.5149987328915644</v>
      </c>
      <c r="N926" s="304">
        <f t="shared" ca="1" si="423"/>
        <v>-86.803033362354171</v>
      </c>
      <c r="P926" s="310">
        <f t="shared" ca="1" si="424"/>
        <v>23</v>
      </c>
      <c r="Q926" s="304">
        <f t="shared" ca="1" si="425"/>
        <v>0</v>
      </c>
      <c r="R926" s="306">
        <f t="shared" ca="1" si="426"/>
        <v>0</v>
      </c>
      <c r="S926" s="307">
        <f t="shared" ca="1" si="427"/>
        <v>9.137999999999975</v>
      </c>
      <c r="T926" s="304">
        <f t="shared" ca="1" si="407"/>
        <v>89.643779999999765</v>
      </c>
      <c r="U926" s="311">
        <f t="shared" ca="1" si="408"/>
        <v>0</v>
      </c>
      <c r="V926" s="306">
        <f t="shared" ca="1" si="409"/>
        <v>1.1832359606183154</v>
      </c>
      <c r="W926" s="304">
        <f t="shared" ca="1" si="410"/>
        <v>74.936010534156082</v>
      </c>
      <c r="Y926" s="314" t="str">
        <f t="shared" ca="1" si="428"/>
        <v/>
      </c>
      <c r="Z926" s="315" t="str">
        <f t="shared" ca="1" si="429"/>
        <v/>
      </c>
      <c r="AA926" s="316" t="str">
        <f t="shared" ca="1" si="430"/>
        <v/>
      </c>
      <c r="AC926" s="310" t="e">
        <f t="shared" ca="1" si="431"/>
        <v>#N/A</v>
      </c>
      <c r="AD926" s="323" t="e">
        <f t="shared" ca="1" si="432"/>
        <v>#N/A</v>
      </c>
      <c r="AE926" s="324" t="e">
        <f t="shared" ca="1" si="411"/>
        <v>#N/A</v>
      </c>
      <c r="AG926" s="306">
        <f t="shared" ca="1" si="433"/>
        <v>1.623888169811746</v>
      </c>
      <c r="AH926" s="304">
        <f t="shared" ca="1" si="434"/>
        <v>-8.1706494714027293</v>
      </c>
    </row>
    <row r="927" spans="1:34" x14ac:dyDescent="0.2">
      <c r="A927" s="347">
        <f t="shared" ca="1" si="412"/>
        <v>0.1</v>
      </c>
      <c r="B927" s="304">
        <f t="shared" ca="1" si="413"/>
        <v>47.300000000000338</v>
      </c>
      <c r="D927" s="306">
        <f t="shared" ca="1" si="414"/>
        <v>-0.45732980870650525</v>
      </c>
      <c r="E927" s="307">
        <f t="shared" ca="1" si="415"/>
        <v>-1.6222796041979084</v>
      </c>
      <c r="F927" s="304">
        <f t="shared" ca="1" si="416"/>
        <v>1.6855093200952793</v>
      </c>
      <c r="G927" s="306">
        <f t="shared" ca="1" si="417"/>
        <v>8.585885720484189</v>
      </c>
      <c r="H927" s="307">
        <f t="shared" ca="1" si="418"/>
        <v>-154.69683109455488</v>
      </c>
      <c r="I927" s="304">
        <f t="shared" ca="1" si="419"/>
        <v>154.93491208989167</v>
      </c>
      <c r="J927" s="306">
        <f t="shared" ca="1" si="420"/>
        <v>830.76216872240252</v>
      </c>
      <c r="K927" s="307">
        <f t="shared" ca="1" si="421"/>
        <v>331.38184450399336</v>
      </c>
      <c r="L927" s="304">
        <f t="shared" ca="1" si="406"/>
        <v>894.41584726972417</v>
      </c>
      <c r="M927" s="306">
        <f t="shared" ca="1" si="422"/>
        <v>-1.5153518427326065</v>
      </c>
      <c r="N927" s="304">
        <f t="shared" ca="1" si="423"/>
        <v>-86.823265065950423</v>
      </c>
      <c r="P927" s="310">
        <f t="shared" ca="1" si="424"/>
        <v>23</v>
      </c>
      <c r="Q927" s="304">
        <f t="shared" ca="1" si="425"/>
        <v>0</v>
      </c>
      <c r="R927" s="306">
        <f t="shared" ca="1" si="426"/>
        <v>0</v>
      </c>
      <c r="S927" s="307">
        <f t="shared" ca="1" si="427"/>
        <v>9.137999999999975</v>
      </c>
      <c r="T927" s="304">
        <f t="shared" ca="1" si="407"/>
        <v>89.643779999999765</v>
      </c>
      <c r="U927" s="311">
        <f t="shared" ca="1" si="408"/>
        <v>0</v>
      </c>
      <c r="V927" s="306">
        <f t="shared" ca="1" si="409"/>
        <v>1.1850673714534434</v>
      </c>
      <c r="W927" s="304">
        <f t="shared" ca="1" si="410"/>
        <v>75.20669858729083</v>
      </c>
      <c r="Y927" s="314" t="str">
        <f t="shared" ca="1" si="428"/>
        <v/>
      </c>
      <c r="Z927" s="315" t="str">
        <f t="shared" ca="1" si="429"/>
        <v/>
      </c>
      <c r="AA927" s="316" t="str">
        <f t="shared" ca="1" si="430"/>
        <v/>
      </c>
      <c r="AC927" s="310" t="e">
        <f t="shared" ca="1" si="431"/>
        <v>#N/A</v>
      </c>
      <c r="AD927" s="323" t="e">
        <f t="shared" ca="1" si="432"/>
        <v>#N/A</v>
      </c>
      <c r="AE927" s="324" t="e">
        <f t="shared" ca="1" si="411"/>
        <v>#N/A</v>
      </c>
      <c r="AG927" s="306">
        <f t="shared" ca="1" si="433"/>
        <v>1.5942502159145047</v>
      </c>
      <c r="AH927" s="304">
        <f t="shared" ca="1" si="434"/>
        <v>-8.2004826585857185</v>
      </c>
    </row>
    <row r="928" spans="1:34" x14ac:dyDescent="0.2">
      <c r="A928" s="347">
        <f t="shared" ca="1" si="412"/>
        <v>0.1</v>
      </c>
      <c r="B928" s="304">
        <f t="shared" ca="1" si="413"/>
        <v>47.40000000000034</v>
      </c>
      <c r="D928" s="306">
        <f t="shared" ca="1" si="414"/>
        <v>-0.45608016422031433</v>
      </c>
      <c r="E928" s="307">
        <f t="shared" ca="1" si="415"/>
        <v>-1.5925419034358939</v>
      </c>
      <c r="F928" s="304">
        <f t="shared" ca="1" si="416"/>
        <v>1.6565623533071276</v>
      </c>
      <c r="G928" s="306">
        <f t="shared" ca="1" si="417"/>
        <v>8.5402777040621576</v>
      </c>
      <c r="H928" s="307">
        <f t="shared" ca="1" si="418"/>
        <v>-154.85608528489848</v>
      </c>
      <c r="I928" s="304">
        <f t="shared" ca="1" si="419"/>
        <v>155.0914036722418</v>
      </c>
      <c r="J928" s="306">
        <f t="shared" ca="1" si="420"/>
        <v>831.6184768936298</v>
      </c>
      <c r="K928" s="307">
        <f t="shared" ca="1" si="421"/>
        <v>315.90419868502067</v>
      </c>
      <c r="L928" s="304">
        <f t="shared" ca="1" si="406"/>
        <v>889.5980855744383</v>
      </c>
      <c r="M928" s="306">
        <f t="shared" ca="1" si="422"/>
        <v>-1.5157023662033382</v>
      </c>
      <c r="N928" s="304">
        <f t="shared" ca="1" si="423"/>
        <v>-86.843348581443621</v>
      </c>
      <c r="P928" s="310">
        <f t="shared" ca="1" si="424"/>
        <v>23</v>
      </c>
      <c r="Q928" s="304">
        <f t="shared" ca="1" si="425"/>
        <v>0</v>
      </c>
      <c r="R928" s="306">
        <f t="shared" ca="1" si="426"/>
        <v>0</v>
      </c>
      <c r="S928" s="307">
        <f t="shared" ca="1" si="427"/>
        <v>9.137999999999975</v>
      </c>
      <c r="T928" s="304">
        <f t="shared" ca="1" si="407"/>
        <v>89.643779999999765</v>
      </c>
      <c r="U928" s="311">
        <f t="shared" ca="1" si="408"/>
        <v>0</v>
      </c>
      <c r="V928" s="306">
        <f t="shared" ca="1" si="409"/>
        <v>1.1869034782203591</v>
      </c>
      <c r="W928" s="304">
        <f t="shared" ca="1" si="410"/>
        <v>75.475458392584898</v>
      </c>
      <c r="Y928" s="314" t="str">
        <f t="shared" ca="1" si="428"/>
        <v/>
      </c>
      <c r="Z928" s="315" t="str">
        <f t="shared" ca="1" si="429"/>
        <v/>
      </c>
      <c r="AA928" s="316" t="str">
        <f t="shared" ca="1" si="430"/>
        <v/>
      </c>
      <c r="AC928" s="310" t="e">
        <f t="shared" ca="1" si="431"/>
        <v>#N/A</v>
      </c>
      <c r="AD928" s="323" t="e">
        <f t="shared" ca="1" si="432"/>
        <v>#N/A</v>
      </c>
      <c r="AE928" s="324" t="e">
        <f t="shared" ca="1" si="411"/>
        <v>#N/A</v>
      </c>
      <c r="AG928" s="306">
        <f t="shared" ca="1" si="433"/>
        <v>1.5648205456545785</v>
      </c>
      <c r="AH928" s="304">
        <f t="shared" ca="1" si="434"/>
        <v>-8.2301049012137266</v>
      </c>
    </row>
    <row r="929" spans="1:34" x14ac:dyDescent="0.2">
      <c r="A929" s="347">
        <f t="shared" ca="1" si="412"/>
        <v>0.1</v>
      </c>
      <c r="B929" s="304">
        <f t="shared" ca="1" si="413"/>
        <v>47.500000000000341</v>
      </c>
      <c r="D929" s="306">
        <f t="shared" ca="1" si="414"/>
        <v>-0.4548192857762513</v>
      </c>
      <c r="E929" s="307">
        <f t="shared" ca="1" si="415"/>
        <v>-1.5630159383595625</v>
      </c>
      <c r="F929" s="304">
        <f t="shared" ca="1" si="416"/>
        <v>1.6278450191219198</v>
      </c>
      <c r="G929" s="306">
        <f t="shared" ca="1" si="417"/>
        <v>8.4947957754845316</v>
      </c>
      <c r="H929" s="307">
        <f t="shared" ca="1" si="418"/>
        <v>-155.01238687873445</v>
      </c>
      <c r="I929" s="304">
        <f t="shared" ca="1" si="419"/>
        <v>155.2449729978708</v>
      </c>
      <c r="J929" s="306">
        <f t="shared" ca="1" si="420"/>
        <v>832.47023056760713</v>
      </c>
      <c r="K929" s="307">
        <f t="shared" ca="1" si="421"/>
        <v>300.410775076839</v>
      </c>
      <c r="L929" s="304">
        <f t="shared" ca="1" si="406"/>
        <v>885.01599904383204</v>
      </c>
      <c r="M929" s="306">
        <f t="shared" ca="1" si="422"/>
        <v>-1.5160503313423734</v>
      </c>
      <c r="N929" s="304">
        <f t="shared" ca="1" si="423"/>
        <v>-86.86328551532803</v>
      </c>
      <c r="P929" s="310">
        <f t="shared" ca="1" si="424"/>
        <v>23</v>
      </c>
      <c r="Q929" s="304">
        <f t="shared" ca="1" si="425"/>
        <v>0</v>
      </c>
      <c r="R929" s="306">
        <f t="shared" ca="1" si="426"/>
        <v>0</v>
      </c>
      <c r="S929" s="307">
        <f t="shared" ca="1" si="427"/>
        <v>9.137999999999975</v>
      </c>
      <c r="T929" s="304">
        <f t="shared" ca="1" si="407"/>
        <v>89.643779999999765</v>
      </c>
      <c r="U929" s="311">
        <f t="shared" ca="1" si="408"/>
        <v>0</v>
      </c>
      <c r="V929" s="306">
        <f t="shared" ca="1" si="409"/>
        <v>1.1887442607889562</v>
      </c>
      <c r="W929" s="304">
        <f t="shared" ca="1" si="410"/>
        <v>75.742289572788053</v>
      </c>
      <c r="Y929" s="314" t="str">
        <f t="shared" ca="1" si="428"/>
        <v/>
      </c>
      <c r="Z929" s="315" t="str">
        <f t="shared" ca="1" si="429"/>
        <v/>
      </c>
      <c r="AA929" s="316" t="str">
        <f t="shared" ca="1" si="430"/>
        <v/>
      </c>
      <c r="AC929" s="310" t="e">
        <f t="shared" ca="1" si="431"/>
        <v>#N/A</v>
      </c>
      <c r="AD929" s="323" t="e">
        <f t="shared" ca="1" si="432"/>
        <v>#N/A</v>
      </c>
      <c r="AE929" s="324" t="e">
        <f t="shared" ca="1" si="411"/>
        <v>#N/A</v>
      </c>
      <c r="AG929" s="306">
        <f t="shared" ca="1" si="433"/>
        <v>1.5355992711876976</v>
      </c>
      <c r="AH929" s="304">
        <f t="shared" ca="1" si="434"/>
        <v>-8.2595161296328641</v>
      </c>
    </row>
    <row r="930" spans="1:34" x14ac:dyDescent="0.2">
      <c r="A930" s="347">
        <f t="shared" ca="1" si="412"/>
        <v>0.1</v>
      </c>
      <c r="B930" s="304">
        <f t="shared" ca="1" si="413"/>
        <v>47.600000000000342</v>
      </c>
      <c r="D930" s="306">
        <f t="shared" ca="1" si="414"/>
        <v>-0.45354738946772588</v>
      </c>
      <c r="E930" s="307">
        <f t="shared" ca="1" si="415"/>
        <v>-1.5337017507933055</v>
      </c>
      <c r="F930" s="304">
        <f t="shared" ca="1" si="416"/>
        <v>1.5993580883840366</v>
      </c>
      <c r="G930" s="306">
        <f t="shared" ca="1" si="417"/>
        <v>8.4494410365377597</v>
      </c>
      <c r="H930" s="307">
        <f t="shared" ca="1" si="418"/>
        <v>-155.16575705381376</v>
      </c>
      <c r="I930" s="304">
        <f t="shared" ca="1" si="419"/>
        <v>155.3956409167036</v>
      </c>
      <c r="J930" s="306">
        <f t="shared" ca="1" si="420"/>
        <v>833.31744240820819</v>
      </c>
      <c r="K930" s="307">
        <f t="shared" ca="1" si="421"/>
        <v>284.90186788021157</v>
      </c>
      <c r="L930" s="304">
        <f t="shared" ca="1" si="406"/>
        <v>880.67419295866216</v>
      </c>
      <c r="M930" s="306">
        <f t="shared" ca="1" si="422"/>
        <v>-1.5163957657390001</v>
      </c>
      <c r="N930" s="304">
        <f t="shared" ca="1" si="423"/>
        <v>-86.88307744835339</v>
      </c>
      <c r="P930" s="310">
        <f t="shared" ca="1" si="424"/>
        <v>23</v>
      </c>
      <c r="Q930" s="304">
        <f t="shared" ca="1" si="425"/>
        <v>0</v>
      </c>
      <c r="R930" s="306">
        <f t="shared" ca="1" si="426"/>
        <v>0</v>
      </c>
      <c r="S930" s="307">
        <f t="shared" ca="1" si="427"/>
        <v>9.137999999999975</v>
      </c>
      <c r="T930" s="304">
        <f t="shared" ca="1" si="407"/>
        <v>89.643779999999765</v>
      </c>
      <c r="U930" s="311">
        <f t="shared" ca="1" si="408"/>
        <v>0</v>
      </c>
      <c r="V930" s="306">
        <f t="shared" ca="1" si="409"/>
        <v>1.1905896991342231</v>
      </c>
      <c r="W930" s="304">
        <f t="shared" ca="1" si="410"/>
        <v>76.007192006253902</v>
      </c>
      <c r="Y930" s="314" t="str">
        <f t="shared" ca="1" si="428"/>
        <v/>
      </c>
      <c r="Z930" s="315" t="str">
        <f t="shared" ca="1" si="429"/>
        <v/>
      </c>
      <c r="AA930" s="316" t="str">
        <f t="shared" ca="1" si="430"/>
        <v/>
      </c>
      <c r="AC930" s="310" t="e">
        <f t="shared" ca="1" si="431"/>
        <v>#N/A</v>
      </c>
      <c r="AD930" s="323" t="e">
        <f t="shared" ca="1" si="432"/>
        <v>#N/A</v>
      </c>
      <c r="AE930" s="324" t="e">
        <f t="shared" ca="1" si="411"/>
        <v>#N/A</v>
      </c>
      <c r="AG930" s="306">
        <f t="shared" ca="1" si="433"/>
        <v>1.5065864754650686</v>
      </c>
      <c r="AH930" s="304">
        <f t="shared" ca="1" si="434"/>
        <v>-8.2887163025594504</v>
      </c>
    </row>
    <row r="931" spans="1:34" x14ac:dyDescent="0.2">
      <c r="A931" s="347">
        <f t="shared" ca="1" si="412"/>
        <v>0.1</v>
      </c>
      <c r="B931" s="304">
        <f t="shared" ca="1" si="413"/>
        <v>47.700000000000344</v>
      </c>
      <c r="D931" s="306">
        <f t="shared" ca="1" si="414"/>
        <v>-0.4522646901705385</v>
      </c>
      <c r="E931" s="307">
        <f t="shared" ca="1" si="415"/>
        <v>-1.5045993544946317</v>
      </c>
      <c r="F931" s="304">
        <f t="shared" ca="1" si="416"/>
        <v>1.5711023415171639</v>
      </c>
      <c r="G931" s="306">
        <f t="shared" ca="1" si="417"/>
        <v>8.4042145675207056</v>
      </c>
      <c r="H931" s="307">
        <f t="shared" ca="1" si="418"/>
        <v>-155.31621698926324</v>
      </c>
      <c r="I931" s="304">
        <f t="shared" ca="1" si="419"/>
        <v>155.54342828404174</v>
      </c>
      <c r="J931" s="306">
        <f t="shared" ca="1" si="420"/>
        <v>834.16012518841114</v>
      </c>
      <c r="K931" s="307">
        <f t="shared" ca="1" si="421"/>
        <v>269.37776917805775</v>
      </c>
      <c r="L931" s="304">
        <f t="shared" ca="1" si="406"/>
        <v>876.57714833418549</v>
      </c>
      <c r="M931" s="306">
        <f t="shared" ca="1" si="422"/>
        <v>-1.516738696542175</v>
      </c>
      <c r="N931" s="304">
        <f t="shared" ca="1" si="423"/>
        <v>-86.902725936040341</v>
      </c>
      <c r="P931" s="310">
        <f t="shared" ca="1" si="424"/>
        <v>23</v>
      </c>
      <c r="Q931" s="304">
        <f t="shared" ca="1" si="425"/>
        <v>0</v>
      </c>
      <c r="R931" s="306">
        <f t="shared" ca="1" si="426"/>
        <v>0</v>
      </c>
      <c r="S931" s="307">
        <f t="shared" ca="1" si="427"/>
        <v>9.137999999999975</v>
      </c>
      <c r="T931" s="304">
        <f t="shared" ca="1" si="407"/>
        <v>89.643779999999765</v>
      </c>
      <c r="U931" s="311">
        <f t="shared" ca="1" si="408"/>
        <v>0</v>
      </c>
      <c r="V931" s="306">
        <f t="shared" ca="1" si="409"/>
        <v>1.1924397733368113</v>
      </c>
      <c r="W931" s="304">
        <f t="shared" ca="1" si="410"/>
        <v>76.270165823291492</v>
      </c>
      <c r="Y931" s="314" t="str">
        <f t="shared" ca="1" si="428"/>
        <v/>
      </c>
      <c r="Z931" s="315" t="str">
        <f t="shared" ca="1" si="429"/>
        <v/>
      </c>
      <c r="AA931" s="316" t="str">
        <f t="shared" ca="1" si="430"/>
        <v/>
      </c>
      <c r="AC931" s="310" t="e">
        <f t="shared" ca="1" si="431"/>
        <v>#N/A</v>
      </c>
      <c r="AD931" s="323" t="e">
        <f t="shared" ca="1" si="432"/>
        <v>#N/A</v>
      </c>
      <c r="AE931" s="324" t="e">
        <f t="shared" ca="1" si="411"/>
        <v>#N/A</v>
      </c>
      <c r="AG931" s="306">
        <f t="shared" ca="1" si="433"/>
        <v>1.4777822126518281</v>
      </c>
      <c r="AH931" s="304">
        <f t="shared" ca="1" si="434"/>
        <v>-8.317705406681343</v>
      </c>
    </row>
    <row r="932" spans="1:34" x14ac:dyDescent="0.2">
      <c r="A932" s="347">
        <f t="shared" ca="1" si="412"/>
        <v>0.1</v>
      </c>
      <c r="B932" s="304">
        <f t="shared" ca="1" si="413"/>
        <v>47.800000000000345</v>
      </c>
      <c r="D932" s="306">
        <f t="shared" ca="1" si="414"/>
        <v>-0.4509714015211555</v>
      </c>
      <c r="E932" s="307">
        <f t="shared" ca="1" si="415"/>
        <v>-1.4757087355546741</v>
      </c>
      <c r="F932" s="304">
        <f t="shared" ca="1" si="416"/>
        <v>1.5430785712925736</v>
      </c>
      <c r="G932" s="306">
        <f t="shared" ca="1" si="417"/>
        <v>8.3591174273685898</v>
      </c>
      <c r="H932" s="307">
        <f t="shared" ca="1" si="418"/>
        <v>-155.46378786281872</v>
      </c>
      <c r="I932" s="304">
        <f t="shared" ca="1" si="419"/>
        <v>155.68835595772742</v>
      </c>
      <c r="J932" s="306">
        <f t="shared" ca="1" si="420"/>
        <v>834.9982917881556</v>
      </c>
      <c r="K932" s="307">
        <f t="shared" ca="1" si="421"/>
        <v>253.83876893545366</v>
      </c>
      <c r="L932" s="304">
        <f t="shared" ca="1" si="406"/>
        <v>872.7292065147152</v>
      </c>
      <c r="M932" s="306">
        <f t="shared" ca="1" si="422"/>
        <v>-1.5170791504693095</v>
      </c>
      <c r="N932" s="304">
        <f t="shared" ca="1" si="423"/>
        <v>-86.9222325091838</v>
      </c>
      <c r="P932" s="310">
        <f t="shared" ca="1" si="424"/>
        <v>23</v>
      </c>
      <c r="Q932" s="304">
        <f t="shared" ca="1" si="425"/>
        <v>0</v>
      </c>
      <c r="R932" s="306">
        <f t="shared" ca="1" si="426"/>
        <v>0</v>
      </c>
      <c r="S932" s="307">
        <f t="shared" ca="1" si="427"/>
        <v>9.137999999999975</v>
      </c>
      <c r="T932" s="304">
        <f t="shared" ca="1" si="407"/>
        <v>89.643779999999765</v>
      </c>
      <c r="U932" s="311">
        <f t="shared" ca="1" si="408"/>
        <v>0</v>
      </c>
      <c r="V932" s="306">
        <f t="shared" ca="1" si="409"/>
        <v>1.1942944635835795</v>
      </c>
      <c r="W932" s="304">
        <f t="shared" ca="1" si="410"/>
        <v>76.531211402511119</v>
      </c>
      <c r="Y932" s="314" t="str">
        <f t="shared" ca="1" si="428"/>
        <v/>
      </c>
      <c r="Z932" s="315" t="str">
        <f t="shared" ca="1" si="429"/>
        <v/>
      </c>
      <c r="AA932" s="316" t="str">
        <f t="shared" ca="1" si="430"/>
        <v/>
      </c>
      <c r="AC932" s="310" t="e">
        <f t="shared" ca="1" si="431"/>
        <v>#N/A</v>
      </c>
      <c r="AD932" s="323" t="e">
        <f t="shared" ca="1" si="432"/>
        <v>#N/A</v>
      </c>
      <c r="AE932" s="324" t="e">
        <f t="shared" ca="1" si="411"/>
        <v>#N/A</v>
      </c>
      <c r="AG932" s="306">
        <f t="shared" ca="1" si="433"/>
        <v>1.4491865085455906</v>
      </c>
      <c r="AH932" s="304">
        <f t="shared" ca="1" si="434"/>
        <v>-8.3464834562586674</v>
      </c>
    </row>
    <row r="933" spans="1:34" x14ac:dyDescent="0.2">
      <c r="A933" s="347">
        <f t="shared" ca="1" si="412"/>
        <v>0.1</v>
      </c>
      <c r="B933" s="304">
        <f t="shared" ca="1" si="413"/>
        <v>47.900000000000347</v>
      </c>
      <c r="D933" s="306">
        <f t="shared" ca="1" si="414"/>
        <v>-0.44966773589560582</v>
      </c>
      <c r="E933" s="307">
        <f t="shared" ca="1" si="415"/>
        <v>-1.4470298527993073</v>
      </c>
      <c r="F933" s="304">
        <f t="shared" ca="1" si="416"/>
        <v>1.5152875857730326</v>
      </c>
      <c r="G933" s="306">
        <f t="shared" ca="1" si="417"/>
        <v>8.3141506537790288</v>
      </c>
      <c r="H933" s="307">
        <f t="shared" ca="1" si="418"/>
        <v>-155.60849084809865</v>
      </c>
      <c r="I933" s="304">
        <f t="shared" ca="1" si="419"/>
        <v>155.83044479534971</v>
      </c>
      <c r="J933" s="306">
        <f t="shared" ca="1" si="420"/>
        <v>835.83195519221294</v>
      </c>
      <c r="K933" s="307">
        <f t="shared" ca="1" si="421"/>
        <v>238.28515499990777</v>
      </c>
      <c r="L933" s="304">
        <f t="shared" ca="1" si="406"/>
        <v>869.13455368761379</v>
      </c>
      <c r="M933" s="306">
        <f t="shared" ca="1" si="422"/>
        <v>-1.5174171538148482</v>
      </c>
      <c r="N933" s="304">
        <f t="shared" ca="1" si="423"/>
        <v>-86.941598674344462</v>
      </c>
      <c r="P933" s="310">
        <f t="shared" ca="1" si="424"/>
        <v>23</v>
      </c>
      <c r="Q933" s="304">
        <f t="shared" ca="1" si="425"/>
        <v>0</v>
      </c>
      <c r="R933" s="306">
        <f t="shared" ca="1" si="426"/>
        <v>0</v>
      </c>
      <c r="S933" s="307">
        <f t="shared" ca="1" si="427"/>
        <v>9.137999999999975</v>
      </c>
      <c r="T933" s="304">
        <f t="shared" ca="1" si="407"/>
        <v>89.643779999999765</v>
      </c>
      <c r="U933" s="311">
        <f t="shared" ca="1" si="408"/>
        <v>0</v>
      </c>
      <c r="V933" s="306">
        <f t="shared" ca="1" si="409"/>
        <v>1.1961537501681292</v>
      </c>
      <c r="W933" s="304">
        <f t="shared" ca="1" si="410"/>
        <v>76.790329367167772</v>
      </c>
      <c r="Y933" s="314" t="str">
        <f t="shared" ca="1" si="428"/>
        <v/>
      </c>
      <c r="Z933" s="315" t="str">
        <f t="shared" ca="1" si="429"/>
        <v/>
      </c>
      <c r="AA933" s="316" t="str">
        <f t="shared" ca="1" si="430"/>
        <v/>
      </c>
      <c r="AC933" s="310" t="e">
        <f t="shared" ca="1" si="431"/>
        <v>#N/A</v>
      </c>
      <c r="AD933" s="323" t="e">
        <f t="shared" ca="1" si="432"/>
        <v>#N/A</v>
      </c>
      <c r="AE933" s="324" t="e">
        <f t="shared" ca="1" si="411"/>
        <v>#N/A</v>
      </c>
      <c r="AG933" s="306">
        <f t="shared" ca="1" si="433"/>
        <v>1.4207993609950389</v>
      </c>
      <c r="AH933" s="304">
        <f t="shared" ca="1" si="434"/>
        <v>-8.3750504927239362</v>
      </c>
    </row>
    <row r="934" spans="1:34" x14ac:dyDescent="0.2">
      <c r="A934" s="347">
        <f t="shared" ca="1" si="412"/>
        <v>0.1</v>
      </c>
      <c r="B934" s="304">
        <f t="shared" ca="1" si="413"/>
        <v>48.000000000000348</v>
      </c>
      <c r="D934" s="306">
        <f t="shared" ca="1" si="414"/>
        <v>-0.44835390438905642</v>
      </c>
      <c r="E934" s="307">
        <f t="shared" ca="1" si="415"/>
        <v>-1.4185626381905561</v>
      </c>
      <c r="F934" s="304">
        <f t="shared" ca="1" si="416"/>
        <v>1.4877302114466391</v>
      </c>
      <c r="G934" s="306">
        <f t="shared" ca="1" si="417"/>
        <v>8.2693152633401237</v>
      </c>
      <c r="H934" s="307">
        <f t="shared" ca="1" si="418"/>
        <v>-155.7503471119177</v>
      </c>
      <c r="I934" s="304">
        <f t="shared" ca="1" si="419"/>
        <v>155.96971565149229</v>
      </c>
      <c r="J934" s="306">
        <f t="shared" ca="1" si="420"/>
        <v>836.66112848806893</v>
      </c>
      <c r="K934" s="307">
        <f t="shared" ca="1" si="421"/>
        <v>222.71721310190696</v>
      </c>
      <c r="L934" s="304">
        <f t="shared" ca="1" si="406"/>
        <v>865.79720543254768</v>
      </c>
      <c r="M934" s="306">
        <f t="shared" ca="1" si="422"/>
        <v>-1.5177527324586491</v>
      </c>
      <c r="N934" s="304">
        <f t="shared" ca="1" si="423"/>
        <v>-86.960825914328979</v>
      </c>
      <c r="P934" s="310">
        <f t="shared" ca="1" si="424"/>
        <v>23</v>
      </c>
      <c r="Q934" s="304">
        <f t="shared" ca="1" si="425"/>
        <v>0</v>
      </c>
      <c r="R934" s="306">
        <f t="shared" ca="1" si="426"/>
        <v>0</v>
      </c>
      <c r="S934" s="307">
        <f t="shared" ca="1" si="427"/>
        <v>9.137999999999975</v>
      </c>
      <c r="T934" s="304">
        <f t="shared" ca="1" si="407"/>
        <v>89.643779999999765</v>
      </c>
      <c r="U934" s="311">
        <f t="shared" ca="1" si="408"/>
        <v>0</v>
      </c>
      <c r="V934" s="306">
        <f t="shared" ca="1" si="409"/>
        <v>1.1980176134913192</v>
      </c>
      <c r="W934" s="304">
        <f t="shared" ca="1" si="410"/>
        <v>77.047520581501672</v>
      </c>
      <c r="Y934" s="314" t="str">
        <f t="shared" ca="1" si="428"/>
        <v/>
      </c>
      <c r="Z934" s="315" t="str">
        <f t="shared" ca="1" si="429"/>
        <v/>
      </c>
      <c r="AA934" s="316" t="str">
        <f t="shared" ca="1" si="430"/>
        <v/>
      </c>
      <c r="AC934" s="310">
        <f t="shared" ca="1" si="431"/>
        <v>48.000000000000348</v>
      </c>
      <c r="AD934" s="323">
        <f t="shared" ca="1" si="432"/>
        <v>836.66112848806893</v>
      </c>
      <c r="AE934" s="324" t="e">
        <f t="shared" ca="1" si="411"/>
        <v>#N/A</v>
      </c>
      <c r="AG934" s="306">
        <f t="shared" ca="1" si="433"/>
        <v>1.3926207403182982</v>
      </c>
      <c r="AH934" s="304">
        <f t="shared" ca="1" si="434"/>
        <v>-8.4034065842818979</v>
      </c>
    </row>
    <row r="935" spans="1:34" x14ac:dyDescent="0.2">
      <c r="A935" s="347">
        <f t="shared" ca="1" si="412"/>
        <v>0.1</v>
      </c>
      <c r="B935" s="304">
        <f t="shared" ca="1" si="413"/>
        <v>48.10000000000035</v>
      </c>
      <c r="D935" s="306">
        <f t="shared" ca="1" si="414"/>
        <v>-0.44703011679599991</v>
      </c>
      <c r="E935" s="307">
        <f t="shared" ca="1" si="415"/>
        <v>-1.3903069972283024</v>
      </c>
      <c r="F935" s="304">
        <f t="shared" ca="1" si="416"/>
        <v>1.4604072965664832</v>
      </c>
      <c r="G935" s="306">
        <f t="shared" ca="1" si="417"/>
        <v>8.224612251660524</v>
      </c>
      <c r="H935" s="307">
        <f t="shared" ca="1" si="418"/>
        <v>-155.88937781164054</v>
      </c>
      <c r="I935" s="304">
        <f t="shared" ca="1" si="419"/>
        <v>156.10618937502309</v>
      </c>
      <c r="J935" s="306">
        <f t="shared" ca="1" si="420"/>
        <v>837.48582486381895</v>
      </c>
      <c r="K935" s="307">
        <f t="shared" ca="1" si="421"/>
        <v>207.13522685572906</v>
      </c>
      <c r="L935" s="304">
        <f t="shared" ca="1" si="406"/>
        <v>862.72099142909781</v>
      </c>
      <c r="M935" s="306">
        <f t="shared" ca="1" si="422"/>
        <v>-1.5180859118741685</v>
      </c>
      <c r="N935" s="304">
        <f t="shared" ca="1" si="423"/>
        <v>-86.979915688658878</v>
      </c>
      <c r="P935" s="310">
        <f t="shared" ca="1" si="424"/>
        <v>23</v>
      </c>
      <c r="Q935" s="304">
        <f t="shared" ca="1" si="425"/>
        <v>0</v>
      </c>
      <c r="R935" s="306">
        <f t="shared" ca="1" si="426"/>
        <v>0</v>
      </c>
      <c r="S935" s="307">
        <f t="shared" ca="1" si="427"/>
        <v>9.137999999999975</v>
      </c>
      <c r="T935" s="304">
        <f t="shared" ca="1" si="407"/>
        <v>89.643779999999765</v>
      </c>
      <c r="U935" s="311">
        <f t="shared" ca="1" si="408"/>
        <v>0</v>
      </c>
      <c r="V935" s="306">
        <f t="shared" ca="1" si="409"/>
        <v>1.1998860340617665</v>
      </c>
      <c r="W935" s="304">
        <f t="shared" ca="1" si="410"/>
        <v>77.30278614707801</v>
      </c>
      <c r="Y935" s="314" t="str">
        <f t="shared" ca="1" si="428"/>
        <v/>
      </c>
      <c r="Z935" s="315" t="str">
        <f t="shared" ca="1" si="429"/>
        <v/>
      </c>
      <c r="AA935" s="316" t="str">
        <f t="shared" ca="1" si="430"/>
        <v/>
      </c>
      <c r="AC935" s="310" t="e">
        <f t="shared" ca="1" si="431"/>
        <v>#N/A</v>
      </c>
      <c r="AD935" s="323" t="e">
        <f t="shared" ca="1" si="432"/>
        <v>#N/A</v>
      </c>
      <c r="AE935" s="324" t="e">
        <f t="shared" ca="1" si="411"/>
        <v>#N/A</v>
      </c>
      <c r="AG935" s="306">
        <f t="shared" ca="1" si="433"/>
        <v>1.3646505897211085</v>
      </c>
      <c r="AH935" s="304">
        <f t="shared" ca="1" si="434"/>
        <v>-8.4315518255090698</v>
      </c>
    </row>
    <row r="936" spans="1:34" x14ac:dyDescent="0.2">
      <c r="A936" s="347">
        <f t="shared" ca="1" si="412"/>
        <v>0.1</v>
      </c>
      <c r="B936" s="304">
        <f t="shared" ca="1" si="413"/>
        <v>48.200000000000351</v>
      </c>
      <c r="D936" s="306">
        <f t="shared" ca="1" si="414"/>
        <v>-0.44569658159109465</v>
      </c>
      <c r="E936" s="307">
        <f t="shared" ca="1" si="415"/>
        <v>-1.3622628093521012</v>
      </c>
      <c r="F936" s="304">
        <f t="shared" ca="1" si="416"/>
        <v>1.4333197147133179</v>
      </c>
      <c r="G936" s="306">
        <f t="shared" ca="1" si="417"/>
        <v>8.1800425935014154</v>
      </c>
      <c r="H936" s="307">
        <f t="shared" ca="1" si="418"/>
        <v>-156.02560409257575</v>
      </c>
      <c r="I936" s="304">
        <f t="shared" ca="1" si="419"/>
        <v>156.2398868064256</v>
      </c>
      <c r="J936" s="306">
        <f t="shared" ca="1" si="420"/>
        <v>838.30605760607705</v>
      </c>
      <c r="K936" s="307">
        <f t="shared" ca="1" si="421"/>
        <v>191.53947776051825</v>
      </c>
      <c r="L936" s="304">
        <f t="shared" ca="1" si="406"/>
        <v>859.90954045167757</v>
      </c>
      <c r="M936" s="306">
        <f t="shared" ca="1" si="422"/>
        <v>-1.5184167171364573</v>
      </c>
      <c r="N936" s="304">
        <f t="shared" ca="1" si="423"/>
        <v>-86.998869434028748</v>
      </c>
      <c r="P936" s="310">
        <f t="shared" ca="1" si="424"/>
        <v>23</v>
      </c>
      <c r="Q936" s="304">
        <f t="shared" ca="1" si="425"/>
        <v>0</v>
      </c>
      <c r="R936" s="306">
        <f t="shared" ca="1" si="426"/>
        <v>0</v>
      </c>
      <c r="S936" s="307">
        <f t="shared" ca="1" si="427"/>
        <v>9.137999999999975</v>
      </c>
      <c r="T936" s="304">
        <f t="shared" ca="1" si="407"/>
        <v>89.643779999999765</v>
      </c>
      <c r="U936" s="311">
        <f t="shared" ca="1" si="408"/>
        <v>0</v>
      </c>
      <c r="V936" s="306">
        <f t="shared" ca="1" si="409"/>
        <v>1.2017589924963308</v>
      </c>
      <c r="W936" s="304">
        <f t="shared" ca="1" si="410"/>
        <v>77.55612739912695</v>
      </c>
      <c r="Y936" s="314" t="str">
        <f t="shared" ca="1" si="428"/>
        <v/>
      </c>
      <c r="Z936" s="315" t="str">
        <f t="shared" ca="1" si="429"/>
        <v/>
      </c>
      <c r="AA936" s="316" t="str">
        <f t="shared" ca="1" si="430"/>
        <v/>
      </c>
      <c r="AC936" s="310" t="e">
        <f t="shared" ca="1" si="431"/>
        <v>#N/A</v>
      </c>
      <c r="AD936" s="323" t="e">
        <f t="shared" ca="1" si="432"/>
        <v>#N/A</v>
      </c>
      <c r="AE936" s="324" t="e">
        <f t="shared" ca="1" si="411"/>
        <v>#N/A</v>
      </c>
      <c r="AG936" s="306">
        <f t="shared" ca="1" si="433"/>
        <v>1.3368888257146239</v>
      </c>
      <c r="AH936" s="304">
        <f t="shared" ca="1" si="434"/>
        <v>-8.4594863369531872</v>
      </c>
    </row>
    <row r="937" spans="1:34" x14ac:dyDescent="0.2">
      <c r="A937" s="347">
        <f t="shared" ca="1" si="412"/>
        <v>0.1</v>
      </c>
      <c r="B937" s="304">
        <f t="shared" ca="1" si="413"/>
        <v>48.300000000000352</v>
      </c>
      <c r="D937" s="306">
        <f t="shared" ca="1" si="414"/>
        <v>-0.44435350591063277</v>
      </c>
      <c r="E937" s="307">
        <f t="shared" ca="1" si="415"/>
        <v>-1.3344299283429581</v>
      </c>
      <c r="F937" s="304">
        <f t="shared" ca="1" si="416"/>
        <v>1.4064683686000419</v>
      </c>
      <c r="G937" s="306">
        <f t="shared" ca="1" si="417"/>
        <v>8.1356072429103516</v>
      </c>
      <c r="H937" s="307">
        <f t="shared" ca="1" si="418"/>
        <v>-156.15904708541004</v>
      </c>
      <c r="I937" s="304">
        <f t="shared" ca="1" si="419"/>
        <v>156.37082877517213</v>
      </c>
      <c r="J937" s="306">
        <f t="shared" ca="1" si="420"/>
        <v>839.12184009789769</v>
      </c>
      <c r="K937" s="307">
        <f t="shared" ca="1" si="421"/>
        <v>175.93024520161896</v>
      </c>
      <c r="L937" s="304">
        <f t="shared" ca="1" si="406"/>
        <v>857.36626578492314</v>
      </c>
      <c r="M937" s="306">
        <f t="shared" ca="1" si="422"/>
        <v>-1.5187451729299739</v>
      </c>
      <c r="N937" s="304">
        <f t="shared" ca="1" si="423"/>
        <v>-87.017688564753868</v>
      </c>
      <c r="P937" s="310">
        <f t="shared" ca="1" si="424"/>
        <v>23</v>
      </c>
      <c r="Q937" s="304">
        <f t="shared" ca="1" si="425"/>
        <v>0</v>
      </c>
      <c r="R937" s="306">
        <f t="shared" ca="1" si="426"/>
        <v>0</v>
      </c>
      <c r="S937" s="307">
        <f t="shared" ca="1" si="427"/>
        <v>9.137999999999975</v>
      </c>
      <c r="T937" s="304">
        <f t="shared" ca="1" si="407"/>
        <v>89.643779999999765</v>
      </c>
      <c r="U937" s="311">
        <f t="shared" ca="1" si="408"/>
        <v>0</v>
      </c>
      <c r="V937" s="306">
        <f t="shared" ca="1" si="409"/>
        <v>1.2036364695205823</v>
      </c>
      <c r="W937" s="304">
        <f t="shared" ca="1" si="410"/>
        <v>77.807545902884982</v>
      </c>
      <c r="Y937" s="314" t="str">
        <f t="shared" ca="1" si="428"/>
        <v/>
      </c>
      <c r="Z937" s="315" t="str">
        <f t="shared" ca="1" si="429"/>
        <v/>
      </c>
      <c r="AA937" s="316" t="str">
        <f t="shared" ca="1" si="430"/>
        <v/>
      </c>
      <c r="AC937" s="310" t="e">
        <f t="shared" ca="1" si="431"/>
        <v>#N/A</v>
      </c>
      <c r="AD937" s="323" t="e">
        <f t="shared" ca="1" si="432"/>
        <v>#N/A</v>
      </c>
      <c r="AE937" s="324" t="e">
        <f t="shared" ca="1" si="411"/>
        <v>#N/A</v>
      </c>
      <c r="AG937" s="306">
        <f t="shared" ca="1" si="433"/>
        <v>1.3093353385326996</v>
      </c>
      <c r="AH937" s="304">
        <f t="shared" ca="1" si="434"/>
        <v>-8.4872102647326724</v>
      </c>
    </row>
    <row r="938" spans="1:34" x14ac:dyDescent="0.2">
      <c r="A938" s="347">
        <f t="shared" ca="1" si="412"/>
        <v>0.1</v>
      </c>
      <c r="B938" s="304">
        <f t="shared" ca="1" si="413"/>
        <v>48.400000000000354</v>
      </c>
      <c r="D938" s="306">
        <f t="shared" ca="1" si="414"/>
        <v>-0.44300109553461953</v>
      </c>
      <c r="E938" s="307">
        <f t="shared" ca="1" si="415"/>
        <v>-1.3068081827249642</v>
      </c>
      <c r="F938" s="304">
        <f t="shared" ca="1" si="416"/>
        <v>1.3798541941385678</v>
      </c>
      <c r="G938" s="306">
        <f t="shared" ca="1" si="417"/>
        <v>8.0913071333568904</v>
      </c>
      <c r="H938" s="307">
        <f t="shared" ca="1" si="418"/>
        <v>-156.28972790368255</v>
      </c>
      <c r="I938" s="304">
        <f t="shared" ca="1" si="419"/>
        <v>156.49903609713843</v>
      </c>
      <c r="J938" s="306">
        <f t="shared" ca="1" si="420"/>
        <v>839.9331858167111</v>
      </c>
      <c r="K938" s="307">
        <f t="shared" ca="1" si="421"/>
        <v>160.30780645216433</v>
      </c>
      <c r="L938" s="304">
        <f t="shared" ca="1" si="406"/>
        <v>855.09435119506804</v>
      </c>
      <c r="M938" s="306">
        <f t="shared" ca="1" si="422"/>
        <v>-1.5190713035562169</v>
      </c>
      <c r="N938" s="304">
        <f t="shared" ca="1" si="423"/>
        <v>-87.036374473207545</v>
      </c>
      <c r="P938" s="310">
        <f t="shared" ca="1" si="424"/>
        <v>23</v>
      </c>
      <c r="Q938" s="304">
        <f t="shared" ca="1" si="425"/>
        <v>0</v>
      </c>
      <c r="R938" s="306">
        <f t="shared" ca="1" si="426"/>
        <v>0</v>
      </c>
      <c r="S938" s="307">
        <f t="shared" ca="1" si="427"/>
        <v>9.137999999999975</v>
      </c>
      <c r="T938" s="304">
        <f t="shared" ca="1" si="407"/>
        <v>89.643779999999765</v>
      </c>
      <c r="U938" s="311">
        <f t="shared" ca="1" si="408"/>
        <v>0</v>
      </c>
      <c r="V938" s="306">
        <f t="shared" ca="1" si="409"/>
        <v>1.2055184459692574</v>
      </c>
      <c r="W938" s="304">
        <f t="shared" ca="1" si="410"/>
        <v>78.057043449938789</v>
      </c>
      <c r="Y938" s="314" t="str">
        <f t="shared" ca="1" si="428"/>
        <v/>
      </c>
      <c r="Z938" s="315" t="str">
        <f t="shared" ca="1" si="429"/>
        <v/>
      </c>
      <c r="AA938" s="316" t="str">
        <f t="shared" ca="1" si="430"/>
        <v/>
      </c>
      <c r="AC938" s="310" t="e">
        <f t="shared" ca="1" si="431"/>
        <v>#N/A</v>
      </c>
      <c r="AD938" s="323" t="e">
        <f t="shared" ca="1" si="432"/>
        <v>#N/A</v>
      </c>
      <c r="AE938" s="324" t="e">
        <f t="shared" ca="1" si="411"/>
        <v>#N/A</v>
      </c>
      <c r="AG938" s="306">
        <f t="shared" ca="1" si="433"/>
        <v>1.2819899925485796</v>
      </c>
      <c r="AH938" s="304">
        <f t="shared" ca="1" si="434"/>
        <v>-8.514723780136265</v>
      </c>
    </row>
    <row r="939" spans="1:34" x14ac:dyDescent="0.2">
      <c r="A939" s="347">
        <f t="shared" ca="1" si="412"/>
        <v>0.1</v>
      </c>
      <c r="B939" s="304">
        <f t="shared" ca="1" si="413"/>
        <v>48.500000000000355</v>
      </c>
      <c r="D939" s="306">
        <f t="shared" ca="1" si="414"/>
        <v>-0.44163955486948842</v>
      </c>
      <c r="E939" s="307">
        <f t="shared" ca="1" si="415"/>
        <v>-1.2793973761666617</v>
      </c>
      <c r="F939" s="304">
        <f t="shared" ca="1" si="416"/>
        <v>1.3534781647915337</v>
      </c>
      <c r="G939" s="306">
        <f t="shared" ca="1" si="417"/>
        <v>8.0471431778699412</v>
      </c>
      <c r="H939" s="307">
        <f t="shared" ca="1" si="418"/>
        <v>-156.4176676412992</v>
      </c>
      <c r="I939" s="304">
        <f t="shared" ca="1" si="419"/>
        <v>156.62452957205994</v>
      </c>
      <c r="J939" s="306">
        <f t="shared" ca="1" si="420"/>
        <v>840.74010833227248</v>
      </c>
      <c r="K939" s="307">
        <f t="shared" ca="1" si="421"/>
        <v>144.67243667491525</v>
      </c>
      <c r="L939" s="304">
        <f t="shared" ca="1" si="406"/>
        <v>853.09673759311647</v>
      </c>
      <c r="M939" s="306">
        <f t="shared" ca="1" si="422"/>
        <v>-1.5193951329411841</v>
      </c>
      <c r="N939" s="304">
        <f t="shared" ca="1" si="423"/>
        <v>-87.054928530248489</v>
      </c>
      <c r="P939" s="310">
        <f t="shared" ca="1" si="424"/>
        <v>23</v>
      </c>
      <c r="Q939" s="304">
        <f t="shared" ca="1" si="425"/>
        <v>0</v>
      </c>
      <c r="R939" s="306">
        <f t="shared" ca="1" si="426"/>
        <v>0</v>
      </c>
      <c r="S939" s="307">
        <f t="shared" ca="1" si="427"/>
        <v>9.137999999999975</v>
      </c>
      <c r="T939" s="304">
        <f t="shared" ca="1" si="407"/>
        <v>89.643779999999765</v>
      </c>
      <c r="U939" s="311">
        <f t="shared" ca="1" si="408"/>
        <v>0</v>
      </c>
      <c r="V939" s="306">
        <f t="shared" ca="1" si="409"/>
        <v>1.207404902786692</v>
      </c>
      <c r="W939" s="304">
        <f t="shared" ca="1" si="410"/>
        <v>78.304622054572391</v>
      </c>
      <c r="Y939" s="314" t="str">
        <f t="shared" ca="1" si="428"/>
        <v/>
      </c>
      <c r="Z939" s="315" t="str">
        <f t="shared" ca="1" si="429"/>
        <v/>
      </c>
      <c r="AA939" s="316" t="str">
        <f t="shared" ca="1" si="430"/>
        <v/>
      </c>
      <c r="AC939" s="310" t="e">
        <f t="shared" ca="1" si="431"/>
        <v>#N/A</v>
      </c>
      <c r="AD939" s="323" t="e">
        <f t="shared" ca="1" si="432"/>
        <v>#N/A</v>
      </c>
      <c r="AE939" s="324" t="e">
        <f t="shared" ca="1" si="411"/>
        <v>#N/A</v>
      </c>
      <c r="AG939" s="306">
        <f t="shared" ca="1" si="433"/>
        <v>1.2548526266908784</v>
      </c>
      <c r="AH939" s="304">
        <f t="shared" ca="1" si="434"/>
        <v>-8.5420270792229154</v>
      </c>
    </row>
    <row r="940" spans="1:34" x14ac:dyDescent="0.2">
      <c r="A940" s="347">
        <f t="shared" ca="1" si="412"/>
        <v>0.1</v>
      </c>
      <c r="B940" s="304">
        <f t="shared" ca="1" si="413"/>
        <v>48.600000000000357</v>
      </c>
      <c r="D940" s="306">
        <f t="shared" ca="1" si="414"/>
        <v>-0.4402690869314177</v>
      </c>
      <c r="E940" s="307">
        <f t="shared" ca="1" si="415"/>
        <v>-1.2521972878820442</v>
      </c>
      <c r="F940" s="304">
        <f t="shared" ca="1" si="416"/>
        <v>1.3273412962334032</v>
      </c>
      <c r="G940" s="306">
        <f t="shared" ca="1" si="417"/>
        <v>8.0031162691767985</v>
      </c>
      <c r="H940" s="307">
        <f t="shared" ca="1" si="418"/>
        <v>-156.54288737008741</v>
      </c>
      <c r="I940" s="304">
        <f t="shared" ca="1" si="419"/>
        <v>156.74732998102979</v>
      </c>
      <c r="J940" s="306">
        <f t="shared" ca="1" si="420"/>
        <v>841.54262130462484</v>
      </c>
      <c r="K940" s="307">
        <f t="shared" ca="1" si="421"/>
        <v>129.02440892434592</v>
      </c>
      <c r="L940" s="304">
        <f t="shared" ca="1" si="406"/>
        <v>851.37611052374268</v>
      </c>
      <c r="M940" s="306">
        <f t="shared" ca="1" si="422"/>
        <v>-1.5197166846426611</v>
      </c>
      <c r="N940" s="304">
        <f t="shared" ca="1" si="423"/>
        <v>-87.073352085638376</v>
      </c>
      <c r="P940" s="310">
        <f t="shared" ca="1" si="424"/>
        <v>23</v>
      </c>
      <c r="Q940" s="304">
        <f t="shared" ca="1" si="425"/>
        <v>0</v>
      </c>
      <c r="R940" s="306">
        <f t="shared" ca="1" si="426"/>
        <v>0</v>
      </c>
      <c r="S940" s="307">
        <f t="shared" ca="1" si="427"/>
        <v>9.137999999999975</v>
      </c>
      <c r="T940" s="304">
        <f t="shared" ca="1" si="407"/>
        <v>89.643779999999765</v>
      </c>
      <c r="U940" s="311">
        <f t="shared" ca="1" si="408"/>
        <v>0</v>
      </c>
      <c r="V940" s="306">
        <f t="shared" ca="1" si="409"/>
        <v>1.2092958210272478</v>
      </c>
      <c r="W940" s="304">
        <f t="shared" ca="1" si="410"/>
        <v>78.550283950119805</v>
      </c>
      <c r="Y940" s="314" t="str">
        <f t="shared" ca="1" si="428"/>
        <v/>
      </c>
      <c r="Z940" s="315" t="str">
        <f t="shared" ca="1" si="429"/>
        <v/>
      </c>
      <c r="AA940" s="316" t="str">
        <f t="shared" ca="1" si="430"/>
        <v/>
      </c>
      <c r="AC940" s="310" t="e">
        <f t="shared" ca="1" si="431"/>
        <v>#N/A</v>
      </c>
      <c r="AD940" s="323" t="e">
        <f t="shared" ca="1" si="432"/>
        <v>#N/A</v>
      </c>
      <c r="AE940" s="324" t="e">
        <f t="shared" ca="1" si="411"/>
        <v>#N/A</v>
      </c>
      <c r="AG940" s="306">
        <f t="shared" ca="1" si="433"/>
        <v>1.2279230548587794</v>
      </c>
      <c r="AH940" s="304">
        <f t="shared" ca="1" si="434"/>
        <v>-8.5691203824220405</v>
      </c>
    </row>
    <row r="941" spans="1:34" x14ac:dyDescent="0.2">
      <c r="A941" s="347">
        <f t="shared" ca="1" si="412"/>
        <v>0.1</v>
      </c>
      <c r="B941" s="304">
        <f t="shared" ca="1" si="413"/>
        <v>48.700000000000358</v>
      </c>
      <c r="D941" s="306">
        <f t="shared" ca="1" si="414"/>
        <v>-0.43888989333026895</v>
      </c>
      <c r="E941" s="307">
        <f t="shared" ca="1" si="415"/>
        <v>-1.2252076730309671</v>
      </c>
      <c r="F941" s="304">
        <f t="shared" ca="1" si="416"/>
        <v>1.3014446513476523</v>
      </c>
      <c r="G941" s="306">
        <f t="shared" ca="1" si="417"/>
        <v>7.9592272798437715</v>
      </c>
      <c r="H941" s="307">
        <f t="shared" ca="1" si="418"/>
        <v>-156.6654081373905</v>
      </c>
      <c r="I941" s="304">
        <f t="shared" ca="1" si="419"/>
        <v>156.86745808403779</v>
      </c>
      <c r="J941" s="306">
        <f t="shared" ca="1" si="420"/>
        <v>842.34073848207584</v>
      </c>
      <c r="K941" s="307">
        <f t="shared" ca="1" si="421"/>
        <v>113.36399414897203</v>
      </c>
      <c r="L941" s="304">
        <f t="shared" ca="1" si="406"/>
        <v>849.93488860967284</v>
      </c>
      <c r="M941" s="306">
        <f t="shared" ca="1" si="422"/>
        <v>-1.5200359818573461</v>
      </c>
      <c r="N941" s="304">
        <f t="shared" ca="1" si="423"/>
        <v>-87.091646468450108</v>
      </c>
      <c r="P941" s="310">
        <f t="shared" ca="1" si="424"/>
        <v>23</v>
      </c>
      <c r="Q941" s="304">
        <f t="shared" ca="1" si="425"/>
        <v>0</v>
      </c>
      <c r="R941" s="306">
        <f t="shared" ca="1" si="426"/>
        <v>0</v>
      </c>
      <c r="S941" s="307">
        <f t="shared" ca="1" si="427"/>
        <v>9.137999999999975</v>
      </c>
      <c r="T941" s="304">
        <f t="shared" ca="1" si="407"/>
        <v>89.643779999999765</v>
      </c>
      <c r="U941" s="311">
        <f t="shared" ca="1" si="408"/>
        <v>0</v>
      </c>
      <c r="V941" s="306">
        <f t="shared" ca="1" si="409"/>
        <v>1.2111911818557168</v>
      </c>
      <c r="W941" s="304">
        <f t="shared" ca="1" si="410"/>
        <v>78.794031585322713</v>
      </c>
      <c r="Y941" s="314" t="str">
        <f t="shared" ca="1" si="428"/>
        <v/>
      </c>
      <c r="Z941" s="315" t="str">
        <f t="shared" ca="1" si="429"/>
        <v/>
      </c>
      <c r="AA941" s="316" t="str">
        <f t="shared" ca="1" si="430"/>
        <v/>
      </c>
      <c r="AC941" s="310" t="e">
        <f t="shared" ca="1" si="431"/>
        <v>#N/A</v>
      </c>
      <c r="AD941" s="323" t="e">
        <f t="shared" ca="1" si="432"/>
        <v>#N/A</v>
      </c>
      <c r="AE941" s="324" t="e">
        <f t="shared" ca="1" si="411"/>
        <v>#N/A</v>
      </c>
      <c r="AG941" s="306">
        <f t="shared" ca="1" si="433"/>
        <v>1.2012010663361981</v>
      </c>
      <c r="AH941" s="304">
        <f t="shared" ca="1" si="434"/>
        <v>-8.5960039341343855</v>
      </c>
    </row>
    <row r="942" spans="1:34" x14ac:dyDescent="0.2">
      <c r="A942" s="347">
        <f t="shared" ca="1" si="412"/>
        <v>0.1</v>
      </c>
      <c r="B942" s="304">
        <f t="shared" ca="1" si="413"/>
        <v>48.80000000000036</v>
      </c>
      <c r="D942" s="306">
        <f t="shared" ca="1" si="414"/>
        <v>-0.43750217425410409</v>
      </c>
      <c r="E942" s="307">
        <f t="shared" ca="1" si="415"/>
        <v>-1.1984282631189895</v>
      </c>
      <c r="F942" s="304">
        <f t="shared" ca="1" si="416"/>
        <v>1.2757893455894145</v>
      </c>
      <c r="G942" s="306">
        <f t="shared" ca="1" si="417"/>
        <v>7.9154770624183612</v>
      </c>
      <c r="H942" s="307">
        <f t="shared" ca="1" si="418"/>
        <v>-156.7852509637024</v>
      </c>
      <c r="I942" s="304">
        <f t="shared" ca="1" si="419"/>
        <v>156.98493461755118</v>
      </c>
      <c r="J942" s="306">
        <f t="shared" ca="1" si="420"/>
        <v>843.1344736991889</v>
      </c>
      <c r="K942" s="307">
        <f t="shared" ca="1" si="421"/>
        <v>97.691461193917377</v>
      </c>
      <c r="L942" s="304">
        <f t="shared" ca="1" si="406"/>
        <v>848.77521307482289</v>
      </c>
      <c r="M942" s="306">
        <f t="shared" ca="1" si="422"/>
        <v>-1.5203530474278124</v>
      </c>
      <c r="N942" s="304">
        <f t="shared" ca="1" si="423"/>
        <v>-87.109812987466725</v>
      </c>
      <c r="P942" s="310">
        <f t="shared" ca="1" si="424"/>
        <v>23</v>
      </c>
      <c r="Q942" s="304">
        <f t="shared" ca="1" si="425"/>
        <v>0</v>
      </c>
      <c r="R942" s="306">
        <f t="shared" ca="1" si="426"/>
        <v>0</v>
      </c>
      <c r="S942" s="307">
        <f t="shared" ca="1" si="427"/>
        <v>9.137999999999975</v>
      </c>
      <c r="T942" s="304">
        <f t="shared" ca="1" si="407"/>
        <v>89.643779999999765</v>
      </c>
      <c r="U942" s="311">
        <f t="shared" ca="1" si="408"/>
        <v>0</v>
      </c>
      <c r="V942" s="306">
        <f t="shared" ca="1" si="409"/>
        <v>1.2130909665477132</v>
      </c>
      <c r="W942" s="304">
        <f t="shared" ca="1" si="410"/>
        <v>79.035867620695427</v>
      </c>
      <c r="Y942" s="314" t="str">
        <f t="shared" ca="1" si="428"/>
        <v/>
      </c>
      <c r="Z942" s="315" t="str">
        <f t="shared" ca="1" si="429"/>
        <v/>
      </c>
      <c r="AA942" s="316" t="str">
        <f t="shared" ca="1" si="430"/>
        <v/>
      </c>
      <c r="AC942" s="310" t="e">
        <f t="shared" ca="1" si="431"/>
        <v>#N/A</v>
      </c>
      <c r="AD942" s="323" t="e">
        <f t="shared" ca="1" si="432"/>
        <v>#N/A</v>
      </c>
      <c r="AE942" s="324" t="e">
        <f t="shared" ca="1" si="411"/>
        <v>#N/A</v>
      </c>
      <c r="AG942" s="306">
        <f t="shared" ca="1" si="433"/>
        <v>1.1746864262050316</v>
      </c>
      <c r="AH942" s="304">
        <f t="shared" ca="1" si="434"/>
        <v>-8.6226780023334353</v>
      </c>
    </row>
    <row r="943" spans="1:34" x14ac:dyDescent="0.2">
      <c r="A943" s="347">
        <f t="shared" ca="1" si="412"/>
        <v>0.1</v>
      </c>
      <c r="B943" s="304">
        <f t="shared" ca="1" si="413"/>
        <v>48.900000000000361</v>
      </c>
      <c r="D943" s="306">
        <f t="shared" ca="1" si="414"/>
        <v>-0.43610612845432017</v>
      </c>
      <c r="E943" s="307">
        <f t="shared" ca="1" si="415"/>
        <v>-1.1718587663964364</v>
      </c>
      <c r="F943" s="304">
        <f t="shared" ca="1" si="416"/>
        <v>1.2503765527454493</v>
      </c>
      <c r="G943" s="306">
        <f t="shared" ca="1" si="417"/>
        <v>7.8718664495729289</v>
      </c>
      <c r="H943" s="307">
        <f t="shared" ca="1" si="418"/>
        <v>-156.90243684034203</v>
      </c>
      <c r="I943" s="304">
        <f t="shared" ca="1" si="419"/>
        <v>157.0997802921361</v>
      </c>
      <c r="J943" s="306">
        <f t="shared" ca="1" si="420"/>
        <v>843.92384087478843</v>
      </c>
      <c r="K943" s="307">
        <f t="shared" ca="1" si="421"/>
        <v>82.007076803715151</v>
      </c>
      <c r="L943" s="304">
        <f t="shared" ca="1" si="406"/>
        <v>847.89893846067855</v>
      </c>
      <c r="M943" s="306">
        <f t="shared" ca="1" si="422"/>
        <v>-1.5206679038493143</v>
      </c>
      <c r="N943" s="304">
        <f t="shared" ca="1" si="423"/>
        <v>-87.127852931571383</v>
      </c>
      <c r="P943" s="310">
        <f t="shared" ca="1" si="424"/>
        <v>23</v>
      </c>
      <c r="Q943" s="304">
        <f t="shared" ca="1" si="425"/>
        <v>0</v>
      </c>
      <c r="R943" s="306">
        <f t="shared" ca="1" si="426"/>
        <v>0</v>
      </c>
      <c r="S943" s="307">
        <f t="shared" ca="1" si="427"/>
        <v>9.137999999999975</v>
      </c>
      <c r="T943" s="304">
        <f t="shared" ca="1" si="407"/>
        <v>89.643779999999765</v>
      </c>
      <c r="U943" s="311">
        <f t="shared" ca="1" si="408"/>
        <v>0</v>
      </c>
      <c r="V943" s="306">
        <f t="shared" ca="1" si="409"/>
        <v>1.2149951564900514</v>
      </c>
      <c r="W943" s="304">
        <f t="shared" ca="1" si="410"/>
        <v>79.275794924897681</v>
      </c>
      <c r="Y943" s="314" t="str">
        <f t="shared" ca="1" si="428"/>
        <v/>
      </c>
      <c r="Z943" s="315" t="str">
        <f t="shared" ca="1" si="429"/>
        <v/>
      </c>
      <c r="AA943" s="316" t="str">
        <f t="shared" ca="1" si="430"/>
        <v/>
      </c>
      <c r="AC943" s="310" t="e">
        <f t="shared" ca="1" si="431"/>
        <v>#N/A</v>
      </c>
      <c r="AD943" s="323" t="e">
        <f t="shared" ca="1" si="432"/>
        <v>#N/A</v>
      </c>
      <c r="AE943" s="324" t="e">
        <f t="shared" ca="1" si="411"/>
        <v>#N/A</v>
      </c>
      <c r="AG943" s="306">
        <f t="shared" ca="1" si="433"/>
        <v>1.1483788757571904</v>
      </c>
      <c r="AH943" s="304">
        <f t="shared" ca="1" si="434"/>
        <v>-8.6491428781676127</v>
      </c>
    </row>
    <row r="944" spans="1:34" x14ac:dyDescent="0.2">
      <c r="A944" s="347">
        <f t="shared" ca="1" si="412"/>
        <v>0.1</v>
      </c>
      <c r="B944" s="304">
        <f t="shared" ca="1" si="413"/>
        <v>49.000000000000362</v>
      </c>
      <c r="D944" s="306">
        <f t="shared" ca="1" si="414"/>
        <v>-0.43470195323136535</v>
      </c>
      <c r="E944" s="307">
        <f t="shared" ca="1" si="415"/>
        <v>-1.145498868256599</v>
      </c>
      <c r="F944" s="304">
        <f t="shared" ca="1" si="416"/>
        <v>1.2252075111263043</v>
      </c>
      <c r="G944" s="306">
        <f t="shared" ca="1" si="417"/>
        <v>7.8283962542497925</v>
      </c>
      <c r="H944" s="307">
        <f t="shared" ca="1" si="418"/>
        <v>-157.0169867271677</v>
      </c>
      <c r="I944" s="304">
        <f t="shared" ca="1" si="419"/>
        <v>157.21201579012055</v>
      </c>
      <c r="J944" s="306">
        <f t="shared" ca="1" si="420"/>
        <v>844.70885400997952</v>
      </c>
      <c r="K944" s="307">
        <f t="shared" ca="1" si="421"/>
        <v>66.311105625339664</v>
      </c>
      <c r="L944" s="304">
        <f t="shared" ca="1" si="406"/>
        <v>847.30762463942688</v>
      </c>
      <c r="M944" s="306">
        <f t="shared" ca="1" si="422"/>
        <v>-1.5209805732764414</v>
      </c>
      <c r="N944" s="304">
        <f t="shared" ca="1" si="423"/>
        <v>-87.145767570128541</v>
      </c>
      <c r="P944" s="310">
        <f t="shared" ca="1" si="424"/>
        <v>23</v>
      </c>
      <c r="Q944" s="304">
        <f t="shared" ca="1" si="425"/>
        <v>0</v>
      </c>
      <c r="R944" s="306">
        <f t="shared" ca="1" si="426"/>
        <v>0</v>
      </c>
      <c r="S944" s="307">
        <f t="shared" ca="1" si="427"/>
        <v>9.137999999999975</v>
      </c>
      <c r="T944" s="304">
        <f t="shared" ca="1" si="407"/>
        <v>89.643779999999765</v>
      </c>
      <c r="U944" s="311">
        <f t="shared" ca="1" si="408"/>
        <v>0</v>
      </c>
      <c r="V944" s="306">
        <f t="shared" ca="1" si="409"/>
        <v>1.2169037331811057</v>
      </c>
      <c r="W944" s="304">
        <f t="shared" ca="1" si="410"/>
        <v>79.513816571116209</v>
      </c>
      <c r="Y944" s="314" t="str">
        <f t="shared" ca="1" si="428"/>
        <v/>
      </c>
      <c r="Z944" s="315" t="str">
        <f t="shared" ca="1" si="429"/>
        <v/>
      </c>
      <c r="AA944" s="316" t="str">
        <f t="shared" ca="1" si="430"/>
        <v/>
      </c>
      <c r="AC944" s="310">
        <f t="shared" ca="1" si="431"/>
        <v>49.000000000000362</v>
      </c>
      <c r="AD944" s="323">
        <f t="shared" ca="1" si="432"/>
        <v>844.70885400997952</v>
      </c>
      <c r="AE944" s="324" t="e">
        <f t="shared" ca="1" si="411"/>
        <v>#N/A</v>
      </c>
      <c r="AG944" s="306">
        <f t="shared" ca="1" si="433"/>
        <v>1.122278132905409</v>
      </c>
      <c r="AH944" s="304">
        <f t="shared" ca="1" si="434"/>
        <v>-8.6753988755633511</v>
      </c>
    </row>
    <row r="945" spans="1:34" x14ac:dyDescent="0.2">
      <c r="A945" s="347">
        <f t="shared" ca="1" si="412"/>
        <v>0.1</v>
      </c>
      <c r="B945" s="304">
        <f t="shared" ca="1" si="413"/>
        <v>49.100000000000364</v>
      </c>
      <c r="D945" s="306">
        <f t="shared" ca="1" si="414"/>
        <v>-0.43328984442103208</v>
      </c>
      <c r="E945" s="307">
        <f t="shared" ca="1" si="415"/>
        <v>-1.1193482316329675</v>
      </c>
      <c r="F945" s="304">
        <f t="shared" ca="1" si="416"/>
        <v>1.2002835302286929</v>
      </c>
      <c r="G945" s="306">
        <f t="shared" ca="1" si="417"/>
        <v>7.7850672698076888</v>
      </c>
      <c r="H945" s="307">
        <f t="shared" ca="1" si="418"/>
        <v>-157.128921550331</v>
      </c>
      <c r="I945" s="304">
        <f t="shared" ca="1" si="419"/>
        <v>157.3216617632979</v>
      </c>
      <c r="J945" s="306">
        <f t="shared" ca="1" si="420"/>
        <v>845.48952718618239</v>
      </c>
      <c r="K945" s="307">
        <f t="shared" ca="1" si="421"/>
        <v>50.603810211464726</v>
      </c>
      <c r="L945" s="304">
        <f t="shared" ca="1" si="406"/>
        <v>847.00253021430353</v>
      </c>
      <c r="M945" s="306">
        <f t="shared" ca="1" si="422"/>
        <v>-1.5212910775296229</v>
      </c>
      <c r="N945" s="304">
        <f t="shared" ca="1" si="423"/>
        <v>-87.163558153356703</v>
      </c>
      <c r="P945" s="310">
        <f t="shared" ca="1" si="424"/>
        <v>23</v>
      </c>
      <c r="Q945" s="304">
        <f t="shared" ca="1" si="425"/>
        <v>0</v>
      </c>
      <c r="R945" s="306">
        <f t="shared" ca="1" si="426"/>
        <v>0</v>
      </c>
      <c r="S945" s="307">
        <f t="shared" ca="1" si="427"/>
        <v>9.137999999999975</v>
      </c>
      <c r="T945" s="304">
        <f t="shared" ca="1" si="407"/>
        <v>89.643779999999765</v>
      </c>
      <c r="U945" s="311">
        <f t="shared" ca="1" si="408"/>
        <v>0</v>
      </c>
      <c r="V945" s="306">
        <f t="shared" ca="1" si="409"/>
        <v>1.2188166782311589</v>
      </c>
      <c r="W945" s="304">
        <f t="shared" ca="1" si="410"/>
        <v>79.749935833456334</v>
      </c>
      <c r="Y945" s="314" t="str">
        <f t="shared" ca="1" si="428"/>
        <v/>
      </c>
      <c r="Z945" s="315" t="str">
        <f t="shared" ca="1" si="429"/>
        <v/>
      </c>
      <c r="AA945" s="316" t="str">
        <f t="shared" ca="1" si="430"/>
        <v/>
      </c>
      <c r="AC945" s="310" t="e">
        <f t="shared" ca="1" si="431"/>
        <v>#N/A</v>
      </c>
      <c r="AD945" s="323" t="e">
        <f t="shared" ca="1" si="432"/>
        <v>#N/A</v>
      </c>
      <c r="AE945" s="324" t="e">
        <f t="shared" ca="1" si="411"/>
        <v>#N/A</v>
      </c>
      <c r="AG945" s="306">
        <f t="shared" ca="1" si="433"/>
        <v>1.0963838925927316</v>
      </c>
      <c r="AH945" s="304">
        <f t="shared" ca="1" si="434"/>
        <v>-8.7014463308291123</v>
      </c>
    </row>
    <row r="946" spans="1:34" x14ac:dyDescent="0.2">
      <c r="A946" s="347">
        <f t="shared" ca="1" si="412"/>
        <v>0.1</v>
      </c>
      <c r="B946" s="304">
        <f t="shared" ca="1" si="413"/>
        <v>49.200000000000365</v>
      </c>
      <c r="D946" s="306">
        <f t="shared" ca="1" si="414"/>
        <v>-0.4318699963813426</v>
      </c>
      <c r="E946" s="307">
        <f t="shared" ca="1" si="415"/>
        <v>-1.0934064973953728</v>
      </c>
      <c r="F946" s="304">
        <f t="shared" ca="1" si="416"/>
        <v>1.1756059979095199</v>
      </c>
      <c r="G946" s="306">
        <f t="shared" ca="1" si="417"/>
        <v>7.7418802701695544</v>
      </c>
      <c r="H946" s="307">
        <f t="shared" ca="1" si="418"/>
        <v>-157.23826220007055</v>
      </c>
      <c r="I946" s="304">
        <f t="shared" ca="1" si="419"/>
        <v>157.42873883067151</v>
      </c>
      <c r="J946" s="306">
        <f t="shared" ca="1" si="420"/>
        <v>846.26587456318123</v>
      </c>
      <c r="K946" s="307">
        <f t="shared" ca="1" si="421"/>
        <v>34.885451023944647</v>
      </c>
      <c r="L946" s="304">
        <f t="shared" ca="1" si="406"/>
        <v>846.98460738276117</v>
      </c>
      <c r="M946" s="306">
        <f t="shared" ca="1" si="422"/>
        <v>-1.5215994381014883</v>
      </c>
      <c r="N946" s="304">
        <f t="shared" ca="1" si="423"/>
        <v>-87.181225912692824</v>
      </c>
      <c r="P946" s="310">
        <f t="shared" ca="1" si="424"/>
        <v>23</v>
      </c>
      <c r="Q946" s="304">
        <f t="shared" ca="1" si="425"/>
        <v>0</v>
      </c>
      <c r="R946" s="306">
        <f t="shared" ca="1" si="426"/>
        <v>0</v>
      </c>
      <c r="S946" s="307">
        <f t="shared" ca="1" si="427"/>
        <v>9.137999999999975</v>
      </c>
      <c r="T946" s="304">
        <f t="shared" ca="1" si="407"/>
        <v>89.643779999999765</v>
      </c>
      <c r="U946" s="311">
        <f t="shared" ca="1" si="408"/>
        <v>0</v>
      </c>
      <c r="V946" s="306">
        <f t="shared" ca="1" si="409"/>
        <v>1.2207339733627329</v>
      </c>
      <c r="W946" s="304">
        <f t="shared" ca="1" si="410"/>
        <v>79.984156183344226</v>
      </c>
      <c r="Y946" s="314" t="str">
        <f t="shared" ca="1" si="428"/>
        <v/>
      </c>
      <c r="Z946" s="315" t="str">
        <f t="shared" ca="1" si="429"/>
        <v/>
      </c>
      <c r="AA946" s="316" t="str">
        <f t="shared" ca="1" si="430"/>
        <v/>
      </c>
      <c r="AC946" s="310" t="e">
        <f t="shared" ca="1" si="431"/>
        <v>#N/A</v>
      </c>
      <c r="AD946" s="323" t="e">
        <f t="shared" ca="1" si="432"/>
        <v>#N/A</v>
      </c>
      <c r="AE946" s="324" t="e">
        <f t="shared" ca="1" si="411"/>
        <v>#N/A</v>
      </c>
      <c r="AG946" s="306">
        <f t="shared" ca="1" si="433"/>
        <v>1.0706958272005522</v>
      </c>
      <c r="AH946" s="304">
        <f t="shared" ca="1" si="434"/>
        <v>-8.7272856022605119</v>
      </c>
    </row>
    <row r="947" spans="1:34" x14ac:dyDescent="0.2">
      <c r="A947" s="347">
        <f t="shared" ca="1" si="412"/>
        <v>0.1</v>
      </c>
      <c r="B947" s="304">
        <f t="shared" ca="1" si="413"/>
        <v>49.300000000000367</v>
      </c>
      <c r="D947" s="306">
        <f t="shared" ca="1" si="414"/>
        <v>-0.43044260197998435</v>
      </c>
      <c r="E947" s="307">
        <f t="shared" ca="1" si="415"/>
        <v>-1.0676732847449522</v>
      </c>
      <c r="F947" s="304">
        <f t="shared" ca="1" si="416"/>
        <v>1.1511763881166843</v>
      </c>
      <c r="G947" s="306">
        <f t="shared" ca="1" si="417"/>
        <v>7.698836009971556</v>
      </c>
      <c r="H947" s="307">
        <f t="shared" ca="1" si="418"/>
        <v>-157.34502952854504</v>
      </c>
      <c r="I947" s="304">
        <f t="shared" ca="1" si="419"/>
        <v>157.53326757623972</v>
      </c>
      <c r="J947" s="306">
        <f t="shared" ca="1" si="420"/>
        <v>847.03791037718827</v>
      </c>
      <c r="K947" s="307">
        <f t="shared" ca="1" si="421"/>
        <v>19.15628643751387</v>
      </c>
      <c r="L947" s="304">
        <f t="shared" ca="1" si="406"/>
        <v>847.25449832162565</v>
      </c>
      <c r="M947" s="306">
        <f t="shared" ca="1" si="422"/>
        <v>-1.5219056761630865</v>
      </c>
      <c r="N947" s="304">
        <f t="shared" ca="1" si="423"/>
        <v>-87.198772061148674</v>
      </c>
      <c r="P947" s="310">
        <f t="shared" ca="1" si="424"/>
        <v>23</v>
      </c>
      <c r="Q947" s="304">
        <f t="shared" ca="1" si="425"/>
        <v>0</v>
      </c>
      <c r="R947" s="306">
        <f t="shared" ca="1" si="426"/>
        <v>0</v>
      </c>
      <c r="S947" s="307">
        <f t="shared" ca="1" si="427"/>
        <v>9.137999999999975</v>
      </c>
      <c r="T947" s="304">
        <f t="shared" ca="1" si="407"/>
        <v>89.643779999999765</v>
      </c>
      <c r="U947" s="311">
        <f t="shared" ca="1" si="408"/>
        <v>0</v>
      </c>
      <c r="V947" s="306">
        <f t="shared" ca="1" si="409"/>
        <v>1.222655600410907</v>
      </c>
      <c r="W947" s="304">
        <f t="shared" ca="1" si="410"/>
        <v>80.216481285941143</v>
      </c>
      <c r="Y947" s="314" t="str">
        <f t="shared" ca="1" si="428"/>
        <v/>
      </c>
      <c r="Z947" s="315" t="str">
        <f t="shared" ca="1" si="429"/>
        <v/>
      </c>
      <c r="AA947" s="316" t="str">
        <f t="shared" ca="1" si="430"/>
        <v/>
      </c>
      <c r="AC947" s="310" t="e">
        <f t="shared" ca="1" si="431"/>
        <v>#N/A</v>
      </c>
      <c r="AD947" s="323" t="e">
        <f t="shared" ca="1" si="432"/>
        <v>#N/A</v>
      </c>
      <c r="AE947" s="324" t="e">
        <f t="shared" ca="1" si="411"/>
        <v>#N/A</v>
      </c>
      <c r="AG947" s="306">
        <f t="shared" ca="1" si="433"/>
        <v>1.0452135869551284</v>
      </c>
      <c r="AH947" s="304">
        <f t="shared" ca="1" si="434"/>
        <v>-8.7529170697466014</v>
      </c>
    </row>
    <row r="948" spans="1:34" x14ac:dyDescent="0.2">
      <c r="A948" s="347">
        <f t="shared" ca="1" si="412"/>
        <v>0.1</v>
      </c>
      <c r="B948" s="304">
        <f t="shared" ca="1" si="413"/>
        <v>49.400000000000368</v>
      </c>
      <c r="D948" s="306">
        <f t="shared" ca="1" si="414"/>
        <v>-0.42900785258232788</v>
      </c>
      <c r="E948" s="307">
        <f t="shared" ca="1" si="415"/>
        <v>-1.0421481916078061</v>
      </c>
      <c r="F948" s="304">
        <f t="shared" ca="1" si="416"/>
        <v>1.1269962692257331</v>
      </c>
      <c r="G948" s="306">
        <f t="shared" ca="1" si="417"/>
        <v>7.655935224713323</v>
      </c>
      <c r="H948" s="307">
        <f t="shared" ca="1" si="418"/>
        <v>-157.44924434770581</v>
      </c>
      <c r="I948" s="304">
        <f t="shared" ca="1" si="419"/>
        <v>157.63526854682164</v>
      </c>
      <c r="J948" s="306">
        <f t="shared" ca="1" si="420"/>
        <v>847.80564893892256</v>
      </c>
      <c r="K948" s="307">
        <f t="shared" ca="1" si="421"/>
        <v>3.4165727437013285</v>
      </c>
      <c r="L948" s="304">
        <f t="shared" ca="1" si="406"/>
        <v>847.81253313575201</v>
      </c>
      <c r="M948" s="306">
        <f t="shared" ca="1" si="422"/>
        <v>-1.5222098125699666</v>
      </c>
      <c r="N948" s="304">
        <f t="shared" ca="1" si="423"/>
        <v>-87.216197793659177</v>
      </c>
      <c r="P948" s="310">
        <f t="shared" ca="1" si="424"/>
        <v>23</v>
      </c>
      <c r="Q948" s="304">
        <f t="shared" ca="1" si="425"/>
        <v>0</v>
      </c>
      <c r="R948" s="306">
        <f t="shared" ca="1" si="426"/>
        <v>0</v>
      </c>
      <c r="S948" s="307">
        <f t="shared" ca="1" si="427"/>
        <v>9.137999999999975</v>
      </c>
      <c r="T948" s="304">
        <f t="shared" ca="1" si="407"/>
        <v>89.643779999999765</v>
      </c>
      <c r="U948" s="311">
        <f t="shared" ca="1" si="408"/>
        <v>0</v>
      </c>
      <c r="V948" s="306">
        <f t="shared" ca="1" si="409"/>
        <v>1.2245815413236221</v>
      </c>
      <c r="W948" s="304">
        <f t="shared" ca="1" si="410"/>
        <v>80.446914996570413</v>
      </c>
      <c r="Y948" s="314" t="str">
        <f t="shared" ca="1" si="428"/>
        <v/>
      </c>
      <c r="Z948" s="315" t="str">
        <f t="shared" ca="1" si="429"/>
        <v/>
      </c>
      <c r="AA948" s="316" t="str">
        <f t="shared" ca="1" si="430"/>
        <v/>
      </c>
      <c r="AC948" s="310" t="e">
        <f t="shared" ca="1" si="431"/>
        <v>#N/A</v>
      </c>
      <c r="AD948" s="323" t="e">
        <f t="shared" ca="1" si="432"/>
        <v>#N/A</v>
      </c>
      <c r="AE948" s="324" t="e">
        <f t="shared" ca="1" si="411"/>
        <v>#N/A</v>
      </c>
      <c r="AG948" s="306">
        <f t="shared" ca="1" si="433"/>
        <v>1.0199368003324683</v>
      </c>
      <c r="AH948" s="304">
        <f t="shared" ca="1" si="434"/>
        <v>-8.7783411343774738</v>
      </c>
    </row>
    <row r="949" spans="1:34" x14ac:dyDescent="0.2">
      <c r="A949" s="347">
        <f t="shared" ca="1" si="412"/>
        <v>0.1</v>
      </c>
      <c r="B949" s="304">
        <f t="shared" ca="1" si="413"/>
        <v>49.500000000000369</v>
      </c>
      <c r="D949" s="306">
        <f t="shared" ca="1" si="414"/>
        <v>-0.42756593803999515</v>
      </c>
      <c r="E949" s="307">
        <f t="shared" ca="1" si="415"/>
        <v>-1.016830795027257</v>
      </c>
      <c r="F949" s="304">
        <f t="shared" ca="1" si="416"/>
        <v>1.1030673130356934</v>
      </c>
      <c r="G949" s="306">
        <f t="shared" ca="1" si="417"/>
        <v>7.6131786309093235</v>
      </c>
      <c r="H949" s="307">
        <f t="shared" ca="1" si="418"/>
        <v>-157.55092742720853</v>
      </c>
      <c r="I949" s="304">
        <f t="shared" ca="1" si="419"/>
        <v>157.73476224992277</v>
      </c>
      <c r="J949" s="306">
        <f t="shared" ca="1" si="420"/>
        <v>848.56910463170368</v>
      </c>
      <c r="K949" s="307">
        <f t="shared" ca="1" si="421"/>
        <v>-12.33343584504439</v>
      </c>
      <c r="L949" s="304">
        <f t="shared" ca="1" si="406"/>
        <v>848.65872939314966</v>
      </c>
      <c r="M949" s="306">
        <f t="shared" ca="1" si="422"/>
        <v>-1.5225118678681266</v>
      </c>
      <c r="N949" s="304">
        <f t="shared" ca="1" si="423"/>
        <v>-87.233504287423315</v>
      </c>
      <c r="P949" s="310">
        <f t="shared" ca="1" si="424"/>
        <v>23</v>
      </c>
      <c r="Q949" s="304">
        <f t="shared" ca="1" si="425"/>
        <v>0</v>
      </c>
      <c r="R949" s="306">
        <f t="shared" ca="1" si="426"/>
        <v>0</v>
      </c>
      <c r="S949" s="307">
        <f t="shared" ca="1" si="427"/>
        <v>9.137999999999975</v>
      </c>
      <c r="T949" s="304">
        <f t="shared" ca="1" si="407"/>
        <v>89.643779999999765</v>
      </c>
      <c r="U949" s="311">
        <f t="shared" ca="1" si="408"/>
        <v>0</v>
      </c>
      <c r="V949" s="306">
        <f t="shared" ca="1" si="409"/>
        <v>1.2265117781619668</v>
      </c>
      <c r="W949" s="304">
        <f t="shared" ca="1" si="410"/>
        <v>80.675461357157488</v>
      </c>
      <c r="Y949" s="314" t="str">
        <f t="shared" ca="1" si="428"/>
        <v>Impact balistique</v>
      </c>
      <c r="Z949" s="315" t="str">
        <f t="shared" ca="1" si="429"/>
        <v/>
      </c>
      <c r="AA949" s="316" t="str">
        <f t="shared" ca="1" si="430"/>
        <v/>
      </c>
      <c r="AC949" s="310" t="e">
        <f t="shared" ca="1" si="431"/>
        <v>#N/A</v>
      </c>
      <c r="AD949" s="323" t="e">
        <f t="shared" ca="1" si="432"/>
        <v>#N/A</v>
      </c>
      <c r="AE949" s="324" t="e">
        <f t="shared" ca="1" si="411"/>
        <v>#N/A</v>
      </c>
      <c r="AG949" s="306">
        <f t="shared" ca="1" si="433"/>
        <v>0.99486507446149197</v>
      </c>
      <c r="AH949" s="304">
        <f t="shared" ca="1" si="434"/>
        <v>-8.8035582180532543</v>
      </c>
    </row>
    <row r="950" spans="1:34" x14ac:dyDescent="0.2">
      <c r="A950" s="347">
        <f t="shared" ca="1" si="412"/>
        <v>1E-4</v>
      </c>
      <c r="B950" s="304">
        <f t="shared" ca="1" si="413"/>
        <v>49.500100000000373</v>
      </c>
      <c r="D950" s="306">
        <f t="shared" ca="1" si="414"/>
        <v>-0.42611704667997191</v>
      </c>
      <c r="E950" s="307">
        <f t="shared" ca="1" si="415"/>
        <v>-0.99172065155469369</v>
      </c>
      <c r="F950" s="304">
        <f t="shared" ca="1" si="416"/>
        <v>1.0793913044819878</v>
      </c>
      <c r="G950" s="306">
        <f t="shared" ca="1" si="417"/>
        <v>7.6131360192046555</v>
      </c>
      <c r="H950" s="307">
        <f t="shared" ca="1" si="418"/>
        <v>-157.55102659927368</v>
      </c>
      <c r="I950" s="304">
        <f t="shared" ca="1" si="419"/>
        <v>157.73485924972942</v>
      </c>
      <c r="J950" s="306">
        <f t="shared" ca="1" si="420"/>
        <v>848.56910463170368</v>
      </c>
      <c r="K950" s="307">
        <f t="shared" ca="1" si="421"/>
        <v>-12.349190942745714</v>
      </c>
      <c r="L950" s="304">
        <f t="shared" ca="1" si="406"/>
        <v>848.65895850594279</v>
      </c>
      <c r="M950" s="306">
        <f t="shared" ca="1" si="422"/>
        <v>-1.5225121680468658</v>
      </c>
      <c r="N950" s="304">
        <f t="shared" ca="1" si="423"/>
        <v>-87.233521486398161</v>
      </c>
      <c r="P950" s="310">
        <f t="shared" ca="1" si="424"/>
        <v>23</v>
      </c>
      <c r="Q950" s="304">
        <f t="shared" ca="1" si="425"/>
        <v>0</v>
      </c>
      <c r="R950" s="306">
        <f t="shared" ca="1" si="426"/>
        <v>0</v>
      </c>
      <c r="S950" s="307">
        <f t="shared" ca="1" si="427"/>
        <v>9.137999999999975</v>
      </c>
      <c r="T950" s="304">
        <f t="shared" ca="1" si="407"/>
        <v>89.643779999999765</v>
      </c>
      <c r="U950" s="311">
        <f t="shared" ca="1" si="408"/>
        <v>0</v>
      </c>
      <c r="V950" s="306">
        <f t="shared" ca="1" si="409"/>
        <v>1.2265137105455144</v>
      </c>
      <c r="W950" s="304">
        <f t="shared" ca="1" si="410"/>
        <v>80.675687686053621</v>
      </c>
      <c r="Y950" s="314" t="str">
        <f t="shared" ca="1" si="428"/>
        <v/>
      </c>
      <c r="Z950" s="315" t="str">
        <f t="shared" ca="1" si="429"/>
        <v/>
      </c>
      <c r="AA950" s="316" t="str">
        <f t="shared" ca="1" si="430"/>
        <v/>
      </c>
      <c r="AC950" s="310" t="e">
        <f t="shared" ca="1" si="431"/>
        <v>#N/A</v>
      </c>
      <c r="AD950" s="323" t="e">
        <f t="shared" ca="1" si="432"/>
        <v>#N/A</v>
      </c>
      <c r="AE950" s="324" t="e">
        <f t="shared" ca="1" si="411"/>
        <v>#N/A</v>
      </c>
      <c r="AG950" s="306">
        <f t="shared" ca="1" si="433"/>
        <v>0.96999799552544097</v>
      </c>
      <c r="AH950" s="304">
        <f t="shared" ca="1" si="434"/>
        <v>-8.828568763094518</v>
      </c>
    </row>
    <row r="951" spans="1:34" x14ac:dyDescent="0.2">
      <c r="A951" s="347">
        <f t="shared" ca="1" si="412"/>
        <v>1E-4</v>
      </c>
      <c r="B951" s="304">
        <f t="shared" ca="1" si="413"/>
        <v>49.500200000000376</v>
      </c>
      <c r="D951" s="306">
        <f t="shared" ca="1" si="414"/>
        <v>-0.42611559505164842</v>
      </c>
      <c r="E951" s="307">
        <f t="shared" ca="1" si="415"/>
        <v>-0.99169578462867491</v>
      </c>
      <c r="F951" s="304">
        <f t="shared" ca="1" si="416"/>
        <v>1.0793678842713932</v>
      </c>
      <c r="G951" s="306">
        <f t="shared" ca="1" si="417"/>
        <v>7.6130934076451506</v>
      </c>
      <c r="H951" s="307">
        <f t="shared" ca="1" si="418"/>
        <v>-157.55112576885216</v>
      </c>
      <c r="I951" s="304">
        <f t="shared" ca="1" si="419"/>
        <v>157.73495624707354</v>
      </c>
      <c r="J951" s="306">
        <f t="shared" ca="1" si="420"/>
        <v>848.56910463170368</v>
      </c>
      <c r="K951" s="307">
        <f t="shared" ca="1" si="421"/>
        <v>-12.364946050364122</v>
      </c>
      <c r="L951" s="304">
        <f t="shared" ca="1" si="406"/>
        <v>848.6591879113073</v>
      </c>
      <c r="M951" s="306">
        <f t="shared" ca="1" si="422"/>
        <v>-1.5225124682235558</v>
      </c>
      <c r="N951" s="304">
        <f t="shared" ca="1" si="423"/>
        <v>-87.23353868525561</v>
      </c>
      <c r="P951" s="310">
        <f t="shared" ca="1" si="424"/>
        <v>23</v>
      </c>
      <c r="Q951" s="304">
        <f t="shared" ca="1" si="425"/>
        <v>0</v>
      </c>
      <c r="R951" s="306">
        <f t="shared" ca="1" si="426"/>
        <v>0</v>
      </c>
      <c r="S951" s="307">
        <f t="shared" ca="1" si="427"/>
        <v>9.137999999999975</v>
      </c>
      <c r="T951" s="304">
        <f t="shared" ca="1" si="407"/>
        <v>89.643779999999765</v>
      </c>
      <c r="U951" s="311">
        <f t="shared" ca="1" si="408"/>
        <v>0</v>
      </c>
      <c r="V951" s="306">
        <f t="shared" ca="1" si="409"/>
        <v>1.2265156429333248</v>
      </c>
      <c r="W951" s="304">
        <f t="shared" ca="1" si="410"/>
        <v>80.675914013084835</v>
      </c>
      <c r="Y951" s="314" t="str">
        <f t="shared" ca="1" si="428"/>
        <v/>
      </c>
      <c r="Z951" s="315" t="str">
        <f t="shared" ca="1" si="429"/>
        <v/>
      </c>
      <c r="AA951" s="316" t="str">
        <f t="shared" ca="1" si="430"/>
        <v/>
      </c>
      <c r="AC951" s="310" t="e">
        <f t="shared" ca="1" si="431"/>
        <v>#N/A</v>
      </c>
      <c r="AD951" s="323" t="e">
        <f t="shared" ca="1" si="432"/>
        <v>#N/A</v>
      </c>
      <c r="AE951" s="324" t="e">
        <f t="shared" ca="1" si="411"/>
        <v>#N/A</v>
      </c>
      <c r="AG951" s="306">
        <f t="shared" ca="1" si="433"/>
        <v>0.96997336977463355</v>
      </c>
      <c r="AH951" s="304">
        <f t="shared" ca="1" si="434"/>
        <v>-8.8285935309754695</v>
      </c>
    </row>
    <row r="952" spans="1:34" x14ac:dyDescent="0.2">
      <c r="A952" s="347">
        <f t="shared" ca="1" si="412"/>
        <v>1E-4</v>
      </c>
      <c r="B952" s="304">
        <f t="shared" ca="1" si="413"/>
        <v>49.500300000000379</v>
      </c>
      <c r="D952" s="306">
        <f t="shared" ca="1" si="414"/>
        <v>-0.42611414341665516</v>
      </c>
      <c r="E952" s="307">
        <f t="shared" ca="1" si="415"/>
        <v>-0.9916709179074541</v>
      </c>
      <c r="F952" s="304">
        <f t="shared" ca="1" si="416"/>
        <v>1.0793444643130023</v>
      </c>
      <c r="G952" s="306">
        <f t="shared" ca="1" si="417"/>
        <v>7.6130507962308087</v>
      </c>
      <c r="H952" s="307">
        <f t="shared" ca="1" si="418"/>
        <v>-157.55122493594396</v>
      </c>
      <c r="I952" s="304">
        <f t="shared" ca="1" si="419"/>
        <v>157.73505324195506</v>
      </c>
      <c r="J952" s="306">
        <f t="shared" ca="1" si="420"/>
        <v>848.56910463170368</v>
      </c>
      <c r="K952" s="307">
        <f t="shared" ca="1" si="421"/>
        <v>-12.380701167899362</v>
      </c>
      <c r="L952" s="304">
        <f t="shared" ca="1" si="406"/>
        <v>848.65941760924329</v>
      </c>
      <c r="M952" s="306">
        <f t="shared" ca="1" si="422"/>
        <v>-1.5225127683981963</v>
      </c>
      <c r="N952" s="304">
        <f t="shared" ca="1" si="423"/>
        <v>-87.233555883995621</v>
      </c>
      <c r="P952" s="310">
        <f t="shared" ca="1" si="424"/>
        <v>23</v>
      </c>
      <c r="Q952" s="304">
        <f t="shared" ca="1" si="425"/>
        <v>0</v>
      </c>
      <c r="R952" s="306">
        <f t="shared" ca="1" si="426"/>
        <v>0</v>
      </c>
      <c r="S952" s="307">
        <f t="shared" ca="1" si="427"/>
        <v>9.137999999999975</v>
      </c>
      <c r="T952" s="304">
        <f t="shared" ca="1" si="407"/>
        <v>89.643779999999765</v>
      </c>
      <c r="U952" s="311">
        <f t="shared" ca="1" si="408"/>
        <v>0</v>
      </c>
      <c r="V952" s="306">
        <f t="shared" ca="1" si="409"/>
        <v>1.2265175753253978</v>
      </c>
      <c r="W952" s="304">
        <f t="shared" ca="1" si="410"/>
        <v>80.676140338251003</v>
      </c>
      <c r="Y952" s="314" t="str">
        <f t="shared" ca="1" si="428"/>
        <v/>
      </c>
      <c r="Z952" s="315" t="str">
        <f t="shared" ca="1" si="429"/>
        <v/>
      </c>
      <c r="AA952" s="316" t="str">
        <f t="shared" ca="1" si="430"/>
        <v/>
      </c>
      <c r="AC952" s="310" t="e">
        <f t="shared" ca="1" si="431"/>
        <v>#N/A</v>
      </c>
      <c r="AD952" s="323" t="e">
        <f t="shared" ca="1" si="432"/>
        <v>#N/A</v>
      </c>
      <c r="AE952" s="324" t="e">
        <f t="shared" ca="1" si="411"/>
        <v>#N/A</v>
      </c>
      <c r="AG952" s="306">
        <f t="shared" ca="1" si="433"/>
        <v>0.96994874422605548</v>
      </c>
      <c r="AH952" s="304">
        <f t="shared" ca="1" si="434"/>
        <v>-8.8286182986523372</v>
      </c>
    </row>
    <row r="953" spans="1:34" x14ac:dyDescent="0.2">
      <c r="A953" s="347">
        <f t="shared" ca="1" si="412"/>
        <v>1E-4</v>
      </c>
      <c r="B953" s="304">
        <f t="shared" ca="1" si="413"/>
        <v>49.500400000000383</v>
      </c>
      <c r="D953" s="306">
        <f t="shared" ca="1" si="414"/>
        <v>-0.42611269177499356</v>
      </c>
      <c r="E953" s="307">
        <f t="shared" ca="1" si="415"/>
        <v>-0.99164605139104367</v>
      </c>
      <c r="F953" s="304">
        <f t="shared" ca="1" si="416"/>
        <v>1.0793210446068302</v>
      </c>
      <c r="G953" s="306">
        <f t="shared" ca="1" si="417"/>
        <v>7.6130081849616316</v>
      </c>
      <c r="H953" s="307">
        <f t="shared" ca="1" si="418"/>
        <v>-157.5513241005491</v>
      </c>
      <c r="I953" s="304">
        <f t="shared" ca="1" si="419"/>
        <v>157.73515023437406</v>
      </c>
      <c r="J953" s="306">
        <f t="shared" ca="1" si="420"/>
        <v>848.56910463170368</v>
      </c>
      <c r="K953" s="307">
        <f t="shared" ca="1" si="421"/>
        <v>-12.396456295351188</v>
      </c>
      <c r="L953" s="304">
        <f t="shared" ca="1" si="406"/>
        <v>848.65964759975122</v>
      </c>
      <c r="M953" s="306">
        <f t="shared" ca="1" si="422"/>
        <v>-1.5225130685707877</v>
      </c>
      <c r="N953" s="304">
        <f t="shared" ca="1" si="423"/>
        <v>-87.233573082618236</v>
      </c>
      <c r="P953" s="310">
        <f t="shared" ca="1" si="424"/>
        <v>23</v>
      </c>
      <c r="Q953" s="304">
        <f t="shared" ca="1" si="425"/>
        <v>0</v>
      </c>
      <c r="R953" s="306">
        <f t="shared" ca="1" si="426"/>
        <v>0</v>
      </c>
      <c r="S953" s="307">
        <f t="shared" ca="1" si="427"/>
        <v>9.137999999999975</v>
      </c>
      <c r="T953" s="304">
        <f t="shared" ca="1" si="407"/>
        <v>89.643779999999765</v>
      </c>
      <c r="U953" s="311">
        <f t="shared" ca="1" si="408"/>
        <v>0</v>
      </c>
      <c r="V953" s="306">
        <f t="shared" ca="1" si="409"/>
        <v>1.2265195077217339</v>
      </c>
      <c r="W953" s="304">
        <f t="shared" ca="1" si="410"/>
        <v>80.676366661552265</v>
      </c>
      <c r="Y953" s="314" t="str">
        <f t="shared" ca="1" si="428"/>
        <v/>
      </c>
      <c r="Z953" s="315" t="str">
        <f t="shared" ca="1" si="429"/>
        <v/>
      </c>
      <c r="AA953" s="316" t="str">
        <f t="shared" ca="1" si="430"/>
        <v/>
      </c>
      <c r="AC953" s="310" t="e">
        <f t="shared" ca="1" si="431"/>
        <v>#N/A</v>
      </c>
      <c r="AD953" s="323" t="e">
        <f t="shared" ca="1" si="432"/>
        <v>#N/A</v>
      </c>
      <c r="AE953" s="324" t="e">
        <f t="shared" ca="1" si="411"/>
        <v>#N/A</v>
      </c>
      <c r="AG953" s="306">
        <f t="shared" ca="1" si="433"/>
        <v>0.96992411887972274</v>
      </c>
      <c r="AH953" s="304">
        <f t="shared" ca="1" si="434"/>
        <v>-8.8286430661251067</v>
      </c>
    </row>
    <row r="954" spans="1:34" x14ac:dyDescent="0.2">
      <c r="A954" s="347">
        <f t="shared" ca="1" si="412"/>
        <v>1E-4</v>
      </c>
      <c r="B954" s="304">
        <f t="shared" ca="1" si="413"/>
        <v>49.500500000000386</v>
      </c>
      <c r="D954" s="306">
        <f t="shared" ca="1" si="414"/>
        <v>-0.42611124012666102</v>
      </c>
      <c r="E954" s="307">
        <f t="shared" ca="1" si="415"/>
        <v>-0.99162118507942587</v>
      </c>
      <c r="F954" s="304">
        <f t="shared" ca="1" si="416"/>
        <v>1.0792976251528612</v>
      </c>
      <c r="G954" s="306">
        <f t="shared" ca="1" si="417"/>
        <v>7.6129655738376192</v>
      </c>
      <c r="H954" s="307">
        <f t="shared" ca="1" si="418"/>
        <v>-157.55142326266761</v>
      </c>
      <c r="I954" s="304">
        <f t="shared" ca="1" si="419"/>
        <v>157.73524722433055</v>
      </c>
      <c r="J954" s="306">
        <f t="shared" ca="1" si="420"/>
        <v>848.56910463170368</v>
      </c>
      <c r="K954" s="307">
        <f t="shared" ca="1" si="421"/>
        <v>-12.412211432719349</v>
      </c>
      <c r="L954" s="304">
        <f t="shared" ca="1" si="406"/>
        <v>848.6598778828311</v>
      </c>
      <c r="M954" s="306">
        <f t="shared" ca="1" si="422"/>
        <v>-1.5225133687413297</v>
      </c>
      <c r="N954" s="304">
        <f t="shared" ca="1" si="423"/>
        <v>-87.233590281123426</v>
      </c>
      <c r="P954" s="310">
        <f t="shared" ca="1" si="424"/>
        <v>23</v>
      </c>
      <c r="Q954" s="304">
        <f t="shared" ca="1" si="425"/>
        <v>0</v>
      </c>
      <c r="R954" s="306">
        <f t="shared" ca="1" si="426"/>
        <v>0</v>
      </c>
      <c r="S954" s="307">
        <f t="shared" ca="1" si="427"/>
        <v>9.137999999999975</v>
      </c>
      <c r="T954" s="304">
        <f t="shared" ca="1" si="407"/>
        <v>89.643779999999765</v>
      </c>
      <c r="U954" s="311">
        <f t="shared" ca="1" si="408"/>
        <v>0</v>
      </c>
      <c r="V954" s="306">
        <f t="shared" ca="1" si="409"/>
        <v>1.2265214401223321</v>
      </c>
      <c r="W954" s="304">
        <f t="shared" ca="1" si="410"/>
        <v>80.676592982988495</v>
      </c>
      <c r="Y954" s="314" t="str">
        <f t="shared" ca="1" si="428"/>
        <v/>
      </c>
      <c r="Z954" s="315" t="str">
        <f t="shared" ca="1" si="429"/>
        <v/>
      </c>
      <c r="AA954" s="316" t="str">
        <f t="shared" ca="1" si="430"/>
        <v/>
      </c>
      <c r="AC954" s="310" t="e">
        <f t="shared" ca="1" si="431"/>
        <v>#N/A</v>
      </c>
      <c r="AD954" s="323" t="e">
        <f t="shared" ca="1" si="432"/>
        <v>#N/A</v>
      </c>
      <c r="AE954" s="324" t="e">
        <f t="shared" ca="1" si="411"/>
        <v>#N/A</v>
      </c>
      <c r="AG954" s="306">
        <f t="shared" ca="1" si="433"/>
        <v>0.96989949373561757</v>
      </c>
      <c r="AH954" s="304">
        <f t="shared" ca="1" si="434"/>
        <v>-8.8286678333937942</v>
      </c>
    </row>
    <row r="955" spans="1:34" x14ac:dyDescent="0.2">
      <c r="A955" s="347">
        <f t="shared" ca="1" si="412"/>
        <v>1E-4</v>
      </c>
      <c r="B955" s="304">
        <f t="shared" ca="1" si="413"/>
        <v>49.500600000000389</v>
      </c>
      <c r="D955" s="306">
        <f t="shared" ca="1" si="414"/>
        <v>-0.42610978847166092</v>
      </c>
      <c r="E955" s="307">
        <f t="shared" ca="1" si="415"/>
        <v>-0.99159631897262024</v>
      </c>
      <c r="F955" s="304">
        <f t="shared" ca="1" si="416"/>
        <v>1.0792742059511171</v>
      </c>
      <c r="G955" s="306">
        <f t="shared" ca="1" si="417"/>
        <v>7.6129229628587725</v>
      </c>
      <c r="H955" s="307">
        <f t="shared" ca="1" si="418"/>
        <v>-157.55152242229951</v>
      </c>
      <c r="I955" s="304">
        <f t="shared" ca="1" si="419"/>
        <v>157.73534421182453</v>
      </c>
      <c r="J955" s="306">
        <f t="shared" ca="1" si="420"/>
        <v>848.56910463170368</v>
      </c>
      <c r="K955" s="307">
        <f t="shared" ca="1" si="421"/>
        <v>-12.427966580003599</v>
      </c>
      <c r="L955" s="304">
        <f t="shared" ca="1" si="406"/>
        <v>848.66010845848348</v>
      </c>
      <c r="M955" s="306">
        <f t="shared" ca="1" si="422"/>
        <v>-1.5225136689098226</v>
      </c>
      <c r="N955" s="304">
        <f t="shared" ca="1" si="423"/>
        <v>-87.233607479511221</v>
      </c>
      <c r="P955" s="310">
        <f t="shared" ca="1" si="424"/>
        <v>23</v>
      </c>
      <c r="Q955" s="304">
        <f t="shared" ca="1" si="425"/>
        <v>0</v>
      </c>
      <c r="R955" s="306">
        <f t="shared" ca="1" si="426"/>
        <v>0</v>
      </c>
      <c r="S955" s="307">
        <f t="shared" ca="1" si="427"/>
        <v>9.137999999999975</v>
      </c>
      <c r="T955" s="304">
        <f t="shared" ca="1" si="407"/>
        <v>89.643779999999765</v>
      </c>
      <c r="U955" s="311">
        <f t="shared" ca="1" si="408"/>
        <v>0</v>
      </c>
      <c r="V955" s="306">
        <f t="shared" ca="1" si="409"/>
        <v>1.2265233725271933</v>
      </c>
      <c r="W955" s="304">
        <f t="shared" ca="1" si="410"/>
        <v>80.676819302559778</v>
      </c>
      <c r="Y955" s="314" t="str">
        <f t="shared" ca="1" si="428"/>
        <v/>
      </c>
      <c r="Z955" s="315" t="str">
        <f t="shared" ca="1" si="429"/>
        <v/>
      </c>
      <c r="AA955" s="316" t="str">
        <f t="shared" ca="1" si="430"/>
        <v/>
      </c>
      <c r="AC955" s="310" t="e">
        <f t="shared" ca="1" si="431"/>
        <v>#N/A</v>
      </c>
      <c r="AD955" s="323" t="e">
        <f t="shared" ca="1" si="432"/>
        <v>#N/A</v>
      </c>
      <c r="AE955" s="324" t="e">
        <f t="shared" ca="1" si="411"/>
        <v>#N/A</v>
      </c>
      <c r="AG955" s="306">
        <f t="shared" ca="1" si="433"/>
        <v>0.96987486879375773</v>
      </c>
      <c r="AH955" s="304">
        <f t="shared" ca="1" si="434"/>
        <v>-8.8286926004583837</v>
      </c>
    </row>
    <row r="956" spans="1:34" x14ac:dyDescent="0.2">
      <c r="A956" s="347">
        <f t="shared" ca="1" si="412"/>
        <v>1E-4</v>
      </c>
      <c r="B956" s="304">
        <f t="shared" ca="1" si="413"/>
        <v>49.500700000000393</v>
      </c>
      <c r="D956" s="306">
        <f t="shared" ca="1" si="414"/>
        <v>-0.42610833680999038</v>
      </c>
      <c r="E956" s="307">
        <f t="shared" ca="1" si="415"/>
        <v>-0.99157145307061079</v>
      </c>
      <c r="F956" s="304">
        <f t="shared" ca="1" si="416"/>
        <v>1.0792507870015842</v>
      </c>
      <c r="G956" s="306">
        <f t="shared" ca="1" si="417"/>
        <v>7.6128803520250914</v>
      </c>
      <c r="H956" s="307">
        <f t="shared" ca="1" si="418"/>
        <v>-157.55162157944483</v>
      </c>
      <c r="I956" s="304">
        <f t="shared" ca="1" si="419"/>
        <v>157.73544119685604</v>
      </c>
      <c r="J956" s="306">
        <f t="shared" ca="1" si="420"/>
        <v>848.56910463170368</v>
      </c>
      <c r="K956" s="307">
        <f t="shared" ca="1" si="421"/>
        <v>-12.443721737203687</v>
      </c>
      <c r="L956" s="304">
        <f t="shared" ca="1" si="406"/>
        <v>848.66033932670859</v>
      </c>
      <c r="M956" s="306">
        <f t="shared" ca="1" si="422"/>
        <v>-1.5225139690762661</v>
      </c>
      <c r="N956" s="304">
        <f t="shared" ca="1" si="423"/>
        <v>-87.233624677781577</v>
      </c>
      <c r="P956" s="310">
        <f t="shared" ca="1" si="424"/>
        <v>23</v>
      </c>
      <c r="Q956" s="304">
        <f t="shared" ca="1" si="425"/>
        <v>0</v>
      </c>
      <c r="R956" s="306">
        <f t="shared" ca="1" si="426"/>
        <v>0</v>
      </c>
      <c r="S956" s="307">
        <f t="shared" ca="1" si="427"/>
        <v>9.137999999999975</v>
      </c>
      <c r="T956" s="304">
        <f t="shared" ca="1" si="407"/>
        <v>89.643779999999765</v>
      </c>
      <c r="U956" s="311">
        <f t="shared" ca="1" si="408"/>
        <v>0</v>
      </c>
      <c r="V956" s="306">
        <f t="shared" ca="1" si="409"/>
        <v>1.2265253049363172</v>
      </c>
      <c r="W956" s="304">
        <f t="shared" ca="1" si="410"/>
        <v>80.677045620266128</v>
      </c>
      <c r="Y956" s="314" t="str">
        <f t="shared" ca="1" si="428"/>
        <v/>
      </c>
      <c r="Z956" s="315" t="str">
        <f t="shared" ca="1" si="429"/>
        <v/>
      </c>
      <c r="AA956" s="316" t="str">
        <f t="shared" ca="1" si="430"/>
        <v/>
      </c>
      <c r="AC956" s="310" t="e">
        <f t="shared" ca="1" si="431"/>
        <v>#N/A</v>
      </c>
      <c r="AD956" s="323" t="e">
        <f t="shared" ca="1" si="432"/>
        <v>#N/A</v>
      </c>
      <c r="AE956" s="324" t="e">
        <f t="shared" ca="1" si="411"/>
        <v>#N/A</v>
      </c>
      <c r="AG956" s="306">
        <f t="shared" ca="1" si="433"/>
        <v>0.96985024405413078</v>
      </c>
      <c r="AH956" s="304">
        <f t="shared" ca="1" si="434"/>
        <v>-8.8287173673188875</v>
      </c>
    </row>
    <row r="957" spans="1:34" x14ac:dyDescent="0.2">
      <c r="A957" s="347">
        <f t="shared" ca="1" si="412"/>
        <v>1E-4</v>
      </c>
      <c r="B957" s="304">
        <f t="shared" ca="1" si="413"/>
        <v>49.500800000000396</v>
      </c>
      <c r="D957" s="306">
        <f t="shared" ca="1" si="414"/>
        <v>-0.42610688514165346</v>
      </c>
      <c r="E957" s="307">
        <f t="shared" ca="1" si="415"/>
        <v>-0.99154658737340107</v>
      </c>
      <c r="F957" s="304">
        <f t="shared" ca="1" si="416"/>
        <v>1.0792273683042697</v>
      </c>
      <c r="G957" s="306">
        <f t="shared" ca="1" si="417"/>
        <v>7.6128377413365769</v>
      </c>
      <c r="H957" s="307">
        <f t="shared" ca="1" si="418"/>
        <v>-157.55172073410355</v>
      </c>
      <c r="I957" s="304">
        <f t="shared" ca="1" si="419"/>
        <v>157.73553817942511</v>
      </c>
      <c r="J957" s="306">
        <f t="shared" ca="1" si="420"/>
        <v>848.56910463170368</v>
      </c>
      <c r="K957" s="307">
        <f t="shared" ca="1" si="421"/>
        <v>-12.459476904319365</v>
      </c>
      <c r="L957" s="304">
        <f t="shared" ca="1" si="406"/>
        <v>848.66057048750679</v>
      </c>
      <c r="M957" s="306">
        <f t="shared" ca="1" si="422"/>
        <v>-1.5225142692406606</v>
      </c>
      <c r="N957" s="304">
        <f t="shared" ca="1" si="423"/>
        <v>-87.233641875934538</v>
      </c>
      <c r="P957" s="310">
        <f t="shared" ca="1" si="424"/>
        <v>23</v>
      </c>
      <c r="Q957" s="304">
        <f t="shared" ca="1" si="425"/>
        <v>0</v>
      </c>
      <c r="R957" s="306">
        <f t="shared" ca="1" si="426"/>
        <v>0</v>
      </c>
      <c r="S957" s="307">
        <f t="shared" ca="1" si="427"/>
        <v>9.137999999999975</v>
      </c>
      <c r="T957" s="304">
        <f t="shared" ca="1" si="407"/>
        <v>89.643779999999765</v>
      </c>
      <c r="U957" s="311">
        <f t="shared" ca="1" si="408"/>
        <v>0</v>
      </c>
      <c r="V957" s="306">
        <f t="shared" ca="1" si="409"/>
        <v>1.2265272373497034</v>
      </c>
      <c r="W957" s="304">
        <f t="shared" ca="1" si="410"/>
        <v>80.677271936107488</v>
      </c>
      <c r="Y957" s="314" t="str">
        <f t="shared" ca="1" si="428"/>
        <v/>
      </c>
      <c r="Z957" s="315" t="str">
        <f t="shared" ca="1" si="429"/>
        <v/>
      </c>
      <c r="AA957" s="316" t="str">
        <f t="shared" ca="1" si="430"/>
        <v/>
      </c>
      <c r="AC957" s="310" t="e">
        <f t="shared" ca="1" si="431"/>
        <v>#N/A</v>
      </c>
      <c r="AD957" s="323" t="e">
        <f t="shared" ca="1" si="432"/>
        <v>#N/A</v>
      </c>
      <c r="AE957" s="324" t="e">
        <f t="shared" ca="1" si="411"/>
        <v>#N/A</v>
      </c>
      <c r="AG957" s="306">
        <f t="shared" ca="1" si="433"/>
        <v>0.96982561951673674</v>
      </c>
      <c r="AH957" s="304">
        <f t="shared" ca="1" si="434"/>
        <v>-8.8287421339753056</v>
      </c>
    </row>
    <row r="958" spans="1:34" x14ac:dyDescent="0.2">
      <c r="A958" s="347">
        <f t="shared" ca="1" si="412"/>
        <v>1E-4</v>
      </c>
      <c r="B958" s="304">
        <f t="shared" ca="1" si="413"/>
        <v>49.500900000000399</v>
      </c>
      <c r="D958" s="306">
        <f t="shared" ca="1" si="414"/>
        <v>-0.42610543346664648</v>
      </c>
      <c r="E958" s="307">
        <f t="shared" ca="1" si="415"/>
        <v>-0.99152172188099463</v>
      </c>
      <c r="F958" s="304">
        <f t="shared" ca="1" si="416"/>
        <v>1.0792039498591779</v>
      </c>
      <c r="G958" s="306">
        <f t="shared" ca="1" si="417"/>
        <v>7.6127951307932298</v>
      </c>
      <c r="H958" s="307">
        <f t="shared" ca="1" si="418"/>
        <v>-157.55181988627575</v>
      </c>
      <c r="I958" s="304">
        <f t="shared" ca="1" si="419"/>
        <v>157.73563515953174</v>
      </c>
      <c r="J958" s="306">
        <f t="shared" ca="1" si="420"/>
        <v>848.56910463170368</v>
      </c>
      <c r="K958" s="307">
        <f t="shared" ca="1" si="421"/>
        <v>-12.475232081350384</v>
      </c>
      <c r="L958" s="304">
        <f t="shared" ca="1" si="406"/>
        <v>848.6608019408784</v>
      </c>
      <c r="M958" s="306">
        <f t="shared" ca="1" si="422"/>
        <v>-1.522514569403006</v>
      </c>
      <c r="N958" s="304">
        <f t="shared" ca="1" si="423"/>
        <v>-87.233659073970102</v>
      </c>
      <c r="P958" s="310">
        <f t="shared" ca="1" si="424"/>
        <v>23</v>
      </c>
      <c r="Q958" s="304">
        <f t="shared" ca="1" si="425"/>
        <v>0</v>
      </c>
      <c r="R958" s="306">
        <f t="shared" ca="1" si="426"/>
        <v>0</v>
      </c>
      <c r="S958" s="307">
        <f t="shared" ca="1" si="427"/>
        <v>9.137999999999975</v>
      </c>
      <c r="T958" s="304">
        <f t="shared" ca="1" si="407"/>
        <v>89.643779999999765</v>
      </c>
      <c r="U958" s="311">
        <f t="shared" ca="1" si="408"/>
        <v>0</v>
      </c>
      <c r="V958" s="306">
        <f t="shared" ca="1" si="409"/>
        <v>1.2265291697673524</v>
      </c>
      <c r="W958" s="304">
        <f t="shared" ca="1" si="410"/>
        <v>80.677498250083914</v>
      </c>
      <c r="Y958" s="314" t="str">
        <f t="shared" ca="1" si="428"/>
        <v/>
      </c>
      <c r="Z958" s="315" t="str">
        <f t="shared" ca="1" si="429"/>
        <v/>
      </c>
      <c r="AA958" s="316" t="str">
        <f t="shared" ca="1" si="430"/>
        <v/>
      </c>
      <c r="AC958" s="310" t="e">
        <f t="shared" ca="1" si="431"/>
        <v>#N/A</v>
      </c>
      <c r="AD958" s="323" t="e">
        <f t="shared" ca="1" si="432"/>
        <v>#N/A</v>
      </c>
      <c r="AE958" s="324" t="e">
        <f t="shared" ca="1" si="411"/>
        <v>#N/A</v>
      </c>
      <c r="AG958" s="306">
        <f t="shared" ca="1" si="433"/>
        <v>0.96980099518157914</v>
      </c>
      <c r="AH958" s="304">
        <f t="shared" ca="1" si="434"/>
        <v>-8.8287669004276328</v>
      </c>
    </row>
    <row r="959" spans="1:34" x14ac:dyDescent="0.2">
      <c r="A959" s="347">
        <f t="shared" ca="1" si="412"/>
        <v>1E-4</v>
      </c>
      <c r="B959" s="304">
        <f t="shared" ca="1" si="413"/>
        <v>49.501000000000403</v>
      </c>
      <c r="D959" s="306">
        <f t="shared" ca="1" si="414"/>
        <v>-0.42610398178497005</v>
      </c>
      <c r="E959" s="307">
        <f t="shared" ca="1" si="415"/>
        <v>-0.99149685659338438</v>
      </c>
      <c r="F959" s="304">
        <f t="shared" ca="1" si="416"/>
        <v>1.0791805316663048</v>
      </c>
      <c r="G959" s="306">
        <f t="shared" ca="1" si="417"/>
        <v>7.612752520395051</v>
      </c>
      <c r="H959" s="307">
        <f t="shared" ca="1" si="418"/>
        <v>-157.55191903596142</v>
      </c>
      <c r="I959" s="304">
        <f t="shared" ca="1" si="419"/>
        <v>157.73573213717594</v>
      </c>
      <c r="J959" s="306">
        <f t="shared" ca="1" si="420"/>
        <v>848.56910463170368</v>
      </c>
      <c r="K959" s="307">
        <f t="shared" ca="1" si="421"/>
        <v>-12.490987268296497</v>
      </c>
      <c r="L959" s="304">
        <f t="shared" ca="1" si="406"/>
        <v>848.66103368682366</v>
      </c>
      <c r="M959" s="306">
        <f t="shared" ca="1" si="422"/>
        <v>-1.522514869563302</v>
      </c>
      <c r="N959" s="304">
        <f t="shared" ca="1" si="423"/>
        <v>-87.233676271888243</v>
      </c>
      <c r="P959" s="310">
        <f t="shared" ca="1" si="424"/>
        <v>23</v>
      </c>
      <c r="Q959" s="304">
        <f t="shared" ca="1" si="425"/>
        <v>0</v>
      </c>
      <c r="R959" s="306">
        <f t="shared" ca="1" si="426"/>
        <v>0</v>
      </c>
      <c r="S959" s="307">
        <f t="shared" ca="1" si="427"/>
        <v>9.137999999999975</v>
      </c>
      <c r="T959" s="304">
        <f t="shared" ca="1" si="407"/>
        <v>89.643779999999765</v>
      </c>
      <c r="U959" s="311">
        <f t="shared" ca="1" si="408"/>
        <v>0</v>
      </c>
      <c r="V959" s="306">
        <f t="shared" ca="1" si="409"/>
        <v>1.2265311021892638</v>
      </c>
      <c r="W959" s="304">
        <f t="shared" ca="1" si="410"/>
        <v>80.67772456219538</v>
      </c>
      <c r="Y959" s="314" t="str">
        <f t="shared" ca="1" si="428"/>
        <v/>
      </c>
      <c r="Z959" s="315" t="str">
        <f t="shared" ca="1" si="429"/>
        <v/>
      </c>
      <c r="AA959" s="316" t="str">
        <f t="shared" ca="1" si="430"/>
        <v/>
      </c>
      <c r="AC959" s="310" t="e">
        <f t="shared" ca="1" si="431"/>
        <v>#N/A</v>
      </c>
      <c r="AD959" s="323" t="e">
        <f t="shared" ca="1" si="432"/>
        <v>#N/A</v>
      </c>
      <c r="AE959" s="324" t="e">
        <f t="shared" ca="1" si="411"/>
        <v>#N/A</v>
      </c>
      <c r="AG959" s="306">
        <f t="shared" ca="1" si="433"/>
        <v>0.96977637104865622</v>
      </c>
      <c r="AH959" s="304">
        <f t="shared" ca="1" si="434"/>
        <v>-8.8287916666758743</v>
      </c>
    </row>
    <row r="960" spans="1:34" x14ac:dyDescent="0.2">
      <c r="A960" s="347">
        <f t="shared" ca="1" si="412"/>
        <v>1E-4</v>
      </c>
      <c r="B960" s="304">
        <f t="shared" ca="1" si="413"/>
        <v>49.501100000000406</v>
      </c>
      <c r="D960" s="306">
        <f t="shared" ca="1" si="414"/>
        <v>-0.42610253009662813</v>
      </c>
      <c r="E960" s="307">
        <f t="shared" ca="1" si="415"/>
        <v>-0.99147199151057741</v>
      </c>
      <c r="F960" s="304">
        <f t="shared" ca="1" si="416"/>
        <v>1.0791571137256606</v>
      </c>
      <c r="G960" s="306">
        <f t="shared" ca="1" si="417"/>
        <v>7.6127099101420415</v>
      </c>
      <c r="H960" s="307">
        <f t="shared" ca="1" si="418"/>
        <v>-157.55201818316056</v>
      </c>
      <c r="I960" s="304">
        <f t="shared" ca="1" si="419"/>
        <v>157.73582911235775</v>
      </c>
      <c r="J960" s="306">
        <f t="shared" ca="1" si="420"/>
        <v>848.56910463170368</v>
      </c>
      <c r="K960" s="307">
        <f t="shared" ca="1" si="421"/>
        <v>-12.506742465157453</v>
      </c>
      <c r="L960" s="304">
        <f t="shared" ca="1" si="406"/>
        <v>848.6612657253429</v>
      </c>
      <c r="M960" s="306">
        <f t="shared" ca="1" si="422"/>
        <v>-1.5225151697215489</v>
      </c>
      <c r="N960" s="304">
        <f t="shared" ca="1" si="423"/>
        <v>-87.233693469688973</v>
      </c>
      <c r="P960" s="310">
        <f t="shared" ca="1" si="424"/>
        <v>23</v>
      </c>
      <c r="Q960" s="304">
        <f t="shared" ca="1" si="425"/>
        <v>0</v>
      </c>
      <c r="R960" s="306">
        <f t="shared" ca="1" si="426"/>
        <v>0</v>
      </c>
      <c r="S960" s="307">
        <f t="shared" ca="1" si="427"/>
        <v>9.137999999999975</v>
      </c>
      <c r="T960" s="304">
        <f t="shared" ca="1" si="407"/>
        <v>89.643779999999765</v>
      </c>
      <c r="U960" s="311">
        <f t="shared" ca="1" si="408"/>
        <v>0</v>
      </c>
      <c r="V960" s="306">
        <f t="shared" ca="1" si="409"/>
        <v>1.2265330346154379</v>
      </c>
      <c r="W960" s="304">
        <f t="shared" ca="1" si="410"/>
        <v>80.677950872441912</v>
      </c>
      <c r="Y960" s="314" t="str">
        <f t="shared" ca="1" si="428"/>
        <v/>
      </c>
      <c r="Z960" s="315" t="str">
        <f t="shared" ca="1" si="429"/>
        <v/>
      </c>
      <c r="AA960" s="316" t="str">
        <f t="shared" ca="1" si="430"/>
        <v/>
      </c>
      <c r="AC960" s="310" t="e">
        <f t="shared" ca="1" si="431"/>
        <v>#N/A</v>
      </c>
      <c r="AD960" s="323" t="e">
        <f t="shared" ca="1" si="432"/>
        <v>#N/A</v>
      </c>
      <c r="AE960" s="324" t="e">
        <f t="shared" ca="1" si="411"/>
        <v>#N/A</v>
      </c>
      <c r="AG960" s="306">
        <f t="shared" ca="1" si="433"/>
        <v>0.96975174711796797</v>
      </c>
      <c r="AH960" s="304">
        <f t="shared" ca="1" si="434"/>
        <v>-8.8288164327200267</v>
      </c>
    </row>
    <row r="961" spans="1:34" x14ac:dyDescent="0.2">
      <c r="A961" s="347">
        <f t="shared" ca="1" si="412"/>
        <v>1E-4</v>
      </c>
      <c r="B961" s="304">
        <f t="shared" ca="1" si="413"/>
        <v>49.501200000000409</v>
      </c>
      <c r="D961" s="306">
        <f t="shared" ca="1" si="414"/>
        <v>-0.42610107840161737</v>
      </c>
      <c r="E961" s="307">
        <f t="shared" ca="1" si="415"/>
        <v>-0.9914471266325684</v>
      </c>
      <c r="F961" s="304">
        <f t="shared" ca="1" si="416"/>
        <v>1.0791336960372413</v>
      </c>
      <c r="G961" s="306">
        <f t="shared" ca="1" si="417"/>
        <v>7.6126673000342011</v>
      </c>
      <c r="H961" s="307">
        <f t="shared" ca="1" si="418"/>
        <v>-157.55211732787322</v>
      </c>
      <c r="I961" s="304">
        <f t="shared" ca="1" si="419"/>
        <v>157.73592608507721</v>
      </c>
      <c r="J961" s="306">
        <f t="shared" ca="1" si="420"/>
        <v>848.56910463170368</v>
      </c>
      <c r="K961" s="307">
        <f t="shared" ca="1" si="421"/>
        <v>-12.522497671933005</v>
      </c>
      <c r="L961" s="304">
        <f t="shared" ca="1" si="406"/>
        <v>848.66149805643636</v>
      </c>
      <c r="M961" s="306">
        <f t="shared" ca="1" si="422"/>
        <v>-1.5225154698777468</v>
      </c>
      <c r="N961" s="304">
        <f t="shared" ca="1" si="423"/>
        <v>-87.233710667372307</v>
      </c>
      <c r="P961" s="310">
        <f t="shared" ca="1" si="424"/>
        <v>23</v>
      </c>
      <c r="Q961" s="304">
        <f t="shared" ca="1" si="425"/>
        <v>0</v>
      </c>
      <c r="R961" s="306">
        <f t="shared" ca="1" si="426"/>
        <v>0</v>
      </c>
      <c r="S961" s="307">
        <f t="shared" ca="1" si="427"/>
        <v>9.137999999999975</v>
      </c>
      <c r="T961" s="304">
        <f t="shared" ca="1" si="407"/>
        <v>89.643779999999765</v>
      </c>
      <c r="U961" s="311">
        <f t="shared" ca="1" si="408"/>
        <v>0</v>
      </c>
      <c r="V961" s="306">
        <f t="shared" ca="1" si="409"/>
        <v>1.2265349670458747</v>
      </c>
      <c r="W961" s="304">
        <f t="shared" ca="1" si="410"/>
        <v>80.678177180823525</v>
      </c>
      <c r="Y961" s="314" t="str">
        <f t="shared" ca="1" si="428"/>
        <v/>
      </c>
      <c r="Z961" s="315" t="str">
        <f t="shared" ca="1" si="429"/>
        <v/>
      </c>
      <c r="AA961" s="316" t="str">
        <f t="shared" ca="1" si="430"/>
        <v/>
      </c>
      <c r="AC961" s="310" t="e">
        <f t="shared" ca="1" si="431"/>
        <v>#N/A</v>
      </c>
      <c r="AD961" s="323" t="e">
        <f t="shared" ca="1" si="432"/>
        <v>#N/A</v>
      </c>
      <c r="AE961" s="324" t="e">
        <f t="shared" ca="1" si="411"/>
        <v>#N/A</v>
      </c>
      <c r="AG961" s="306">
        <f t="shared" ca="1" si="433"/>
        <v>0.96972712338951261</v>
      </c>
      <c r="AH961" s="304">
        <f t="shared" ca="1" si="434"/>
        <v>-8.8288411985600934</v>
      </c>
    </row>
    <row r="962" spans="1:34" x14ac:dyDescent="0.2">
      <c r="A962" s="347">
        <f t="shared" ca="1" si="412"/>
        <v>1E-4</v>
      </c>
      <c r="B962" s="304">
        <f t="shared" ca="1" si="413"/>
        <v>49.501300000000413</v>
      </c>
      <c r="D962" s="306">
        <f t="shared" ca="1" si="414"/>
        <v>-0.42609962669993823</v>
      </c>
      <c r="E962" s="307">
        <f t="shared" ca="1" si="415"/>
        <v>-0.99142226195935379</v>
      </c>
      <c r="F962" s="304">
        <f t="shared" ca="1" si="416"/>
        <v>1.0791102786010465</v>
      </c>
      <c r="G962" s="306">
        <f t="shared" ca="1" si="417"/>
        <v>7.6126246900715309</v>
      </c>
      <c r="H962" s="307">
        <f t="shared" ca="1" si="418"/>
        <v>-157.55221647009941</v>
      </c>
      <c r="I962" s="304">
        <f t="shared" ca="1" si="419"/>
        <v>157.73602305533427</v>
      </c>
      <c r="J962" s="306">
        <f t="shared" ca="1" si="420"/>
        <v>848.56910463170368</v>
      </c>
      <c r="K962" s="307">
        <f t="shared" ca="1" si="421"/>
        <v>-12.538252888622903</v>
      </c>
      <c r="L962" s="304">
        <f t="shared" ca="1" si="406"/>
        <v>848.66173068010448</v>
      </c>
      <c r="M962" s="306">
        <f t="shared" ca="1" si="422"/>
        <v>-1.5225157700318956</v>
      </c>
      <c r="N962" s="304">
        <f t="shared" ca="1" si="423"/>
        <v>-87.233727864938245</v>
      </c>
      <c r="P962" s="310">
        <f t="shared" ca="1" si="424"/>
        <v>23</v>
      </c>
      <c r="Q962" s="304">
        <f t="shared" ca="1" si="425"/>
        <v>0</v>
      </c>
      <c r="R962" s="306">
        <f t="shared" ca="1" si="426"/>
        <v>0</v>
      </c>
      <c r="S962" s="307">
        <f t="shared" ca="1" si="427"/>
        <v>9.137999999999975</v>
      </c>
      <c r="T962" s="304">
        <f t="shared" ca="1" si="407"/>
        <v>89.643779999999765</v>
      </c>
      <c r="U962" s="311">
        <f t="shared" ca="1" si="408"/>
        <v>0</v>
      </c>
      <c r="V962" s="306">
        <f t="shared" ca="1" si="409"/>
        <v>1.2265368994805739</v>
      </c>
      <c r="W962" s="304">
        <f t="shared" ca="1" si="410"/>
        <v>80.678403487340162</v>
      </c>
      <c r="Y962" s="314" t="str">
        <f t="shared" ca="1" si="428"/>
        <v/>
      </c>
      <c r="Z962" s="315" t="str">
        <f t="shared" ca="1" si="429"/>
        <v/>
      </c>
      <c r="AA962" s="316" t="str">
        <f t="shared" ca="1" si="430"/>
        <v/>
      </c>
      <c r="AC962" s="310" t="e">
        <f t="shared" ca="1" si="431"/>
        <v>#N/A</v>
      </c>
      <c r="AD962" s="323" t="e">
        <f t="shared" ca="1" si="432"/>
        <v>#N/A</v>
      </c>
      <c r="AE962" s="324" t="e">
        <f t="shared" ca="1" si="411"/>
        <v>#N/A</v>
      </c>
      <c r="AG962" s="306">
        <f t="shared" ca="1" si="433"/>
        <v>0.96970249986328838</v>
      </c>
      <c r="AH962" s="304">
        <f t="shared" ca="1" si="434"/>
        <v>-8.8288659641960763</v>
      </c>
    </row>
    <row r="963" spans="1:34" x14ac:dyDescent="0.2">
      <c r="A963" s="347">
        <f t="shared" ca="1" si="412"/>
        <v>1E-4</v>
      </c>
      <c r="B963" s="304">
        <f t="shared" ca="1" si="413"/>
        <v>49.501400000000416</v>
      </c>
      <c r="D963" s="306">
        <f t="shared" ca="1" si="414"/>
        <v>-0.42609817499159075</v>
      </c>
      <c r="E963" s="307">
        <f t="shared" ca="1" si="415"/>
        <v>-0.99139739749094069</v>
      </c>
      <c r="F963" s="304">
        <f t="shared" ca="1" si="416"/>
        <v>1.0790868614170848</v>
      </c>
      <c r="G963" s="306">
        <f t="shared" ca="1" si="417"/>
        <v>7.6125820802540316</v>
      </c>
      <c r="H963" s="307">
        <f t="shared" ca="1" si="418"/>
        <v>-157.55231560983916</v>
      </c>
      <c r="I963" s="304">
        <f t="shared" ca="1" si="419"/>
        <v>157.73612002312905</v>
      </c>
      <c r="J963" s="306">
        <f t="shared" ca="1" si="420"/>
        <v>848.56910463170368</v>
      </c>
      <c r="K963" s="307">
        <f t="shared" ca="1" si="421"/>
        <v>-12.5540081152269</v>
      </c>
      <c r="L963" s="304">
        <f t="shared" ca="1" si="406"/>
        <v>848.66196359634762</v>
      </c>
      <c r="M963" s="306">
        <f t="shared" ca="1" si="422"/>
        <v>-1.5225160701839953</v>
      </c>
      <c r="N963" s="304">
        <f t="shared" ca="1" si="423"/>
        <v>-87.23374506238676</v>
      </c>
      <c r="P963" s="310">
        <f t="shared" ca="1" si="424"/>
        <v>23</v>
      </c>
      <c r="Q963" s="304">
        <f t="shared" ca="1" si="425"/>
        <v>0</v>
      </c>
      <c r="R963" s="306">
        <f t="shared" ca="1" si="426"/>
        <v>0</v>
      </c>
      <c r="S963" s="307">
        <f t="shared" ca="1" si="427"/>
        <v>9.137999999999975</v>
      </c>
      <c r="T963" s="304">
        <f t="shared" ca="1" si="407"/>
        <v>89.643779999999765</v>
      </c>
      <c r="U963" s="311">
        <f t="shared" ca="1" si="408"/>
        <v>0</v>
      </c>
      <c r="V963" s="306">
        <f t="shared" ca="1" si="409"/>
        <v>1.2265388319195358</v>
      </c>
      <c r="W963" s="304">
        <f t="shared" ca="1" si="410"/>
        <v>80.678629791991924</v>
      </c>
      <c r="Y963" s="314" t="str">
        <f t="shared" ca="1" si="428"/>
        <v/>
      </c>
      <c r="Z963" s="315" t="str">
        <f t="shared" ca="1" si="429"/>
        <v/>
      </c>
      <c r="AA963" s="316" t="str">
        <f t="shared" ca="1" si="430"/>
        <v/>
      </c>
      <c r="AC963" s="310" t="e">
        <f t="shared" ca="1" si="431"/>
        <v>#N/A</v>
      </c>
      <c r="AD963" s="323" t="e">
        <f t="shared" ca="1" si="432"/>
        <v>#N/A</v>
      </c>
      <c r="AE963" s="324" t="e">
        <f t="shared" ca="1" si="411"/>
        <v>#N/A</v>
      </c>
      <c r="AG963" s="306">
        <f t="shared" ca="1" si="433"/>
        <v>0.96967787653930237</v>
      </c>
      <c r="AH963" s="304">
        <f t="shared" ca="1" si="434"/>
        <v>-8.8288907296279699</v>
      </c>
    </row>
    <row r="964" spans="1:34" x14ac:dyDescent="0.2">
      <c r="A964" s="347">
        <f t="shared" ca="1" si="412"/>
        <v>1E-4</v>
      </c>
      <c r="B964" s="304">
        <f t="shared" ca="1" si="413"/>
        <v>49.501500000000419</v>
      </c>
      <c r="D964" s="306">
        <f t="shared" ca="1" si="414"/>
        <v>-0.4260967232765776</v>
      </c>
      <c r="E964" s="307">
        <f t="shared" ca="1" si="415"/>
        <v>-0.99137253322732199</v>
      </c>
      <c r="F964" s="304">
        <f t="shared" ca="1" si="416"/>
        <v>1.0790634444853529</v>
      </c>
      <c r="G964" s="306">
        <f t="shared" ca="1" si="417"/>
        <v>7.6125394705817042</v>
      </c>
      <c r="H964" s="307">
        <f t="shared" ca="1" si="418"/>
        <v>-157.55241474709248</v>
      </c>
      <c r="I964" s="304">
        <f t="shared" ca="1" si="419"/>
        <v>157.73621698846151</v>
      </c>
      <c r="J964" s="306">
        <f t="shared" ca="1" si="420"/>
        <v>848.56910463170368</v>
      </c>
      <c r="K964" s="307">
        <f t="shared" ca="1" si="421"/>
        <v>-12.569763351744745</v>
      </c>
      <c r="L964" s="304">
        <f t="shared" ref="L964:L1004" ca="1" si="435">SQRT(pos_x^2+pos_z^2)</f>
        <v>848.66219680516588</v>
      </c>
      <c r="M964" s="306">
        <f t="shared" ca="1" si="422"/>
        <v>-1.5225163703340459</v>
      </c>
      <c r="N964" s="304">
        <f t="shared" ca="1" si="423"/>
        <v>-87.233762259717878</v>
      </c>
      <c r="P964" s="310">
        <f t="shared" ca="1" si="424"/>
        <v>23</v>
      </c>
      <c r="Q964" s="304">
        <f t="shared" ca="1" si="425"/>
        <v>0</v>
      </c>
      <c r="R964" s="306">
        <f t="shared" ca="1" si="426"/>
        <v>0</v>
      </c>
      <c r="S964" s="307">
        <f t="shared" ca="1" si="427"/>
        <v>9.137999999999975</v>
      </c>
      <c r="T964" s="304">
        <f t="shared" ref="T964:T1004" ca="1" si="436">m*g</f>
        <v>89.643779999999765</v>
      </c>
      <c r="U964" s="311">
        <f t="shared" ref="U964:U1004" ca="1" si="437">IF(pos_xz&lt;L_rampe,Poids*COS(Beta),0)</f>
        <v>0</v>
      </c>
      <c r="V964" s="306">
        <f t="shared" ref="V964:V1004" ca="1" si="438">Rho_moyen*(20000-Alt_rampe-pos_z)/(20000+Alt_rampe+pos_z)</f>
        <v>1.2265407643627599</v>
      </c>
      <c r="W964" s="304">
        <f t="shared" ref="W964:W1003" ca="1" si="439">1/2*Rho*Sref*Cx*vit_xz^2</f>
        <v>80.678856094778737</v>
      </c>
      <c r="Y964" s="314" t="str">
        <f t="shared" ca="1" si="428"/>
        <v/>
      </c>
      <c r="Z964" s="315" t="str">
        <f t="shared" ca="1" si="429"/>
        <v/>
      </c>
      <c r="AA964" s="316" t="str">
        <f t="shared" ca="1" si="430"/>
        <v/>
      </c>
      <c r="AC964" s="310" t="e">
        <f t="shared" ca="1" si="431"/>
        <v>#N/A</v>
      </c>
      <c r="AD964" s="323" t="e">
        <f t="shared" ca="1" si="432"/>
        <v>#N/A</v>
      </c>
      <c r="AE964" s="324" t="e">
        <f t="shared" ref="AE964:AE1004" ca="1" si="440">IF(t&lt;T_para, pos_z, NA())</f>
        <v>#N/A</v>
      </c>
      <c r="AG964" s="306">
        <f t="shared" ca="1" si="433"/>
        <v>0.96965325341754038</v>
      </c>
      <c r="AH964" s="304">
        <f t="shared" ca="1" si="434"/>
        <v>-8.8289154948557833</v>
      </c>
    </row>
    <row r="965" spans="1:34" x14ac:dyDescent="0.2">
      <c r="A965" s="347">
        <f t="shared" ref="A965:A1004" ca="1" si="441">IF(B964+0.01&lt;=T_ini+ROUNDUP(Temps_fin_propu,0), 0.01, IF(K964&gt;0, 0.1, 0.0001))</f>
        <v>1E-4</v>
      </c>
      <c r="B965" s="304">
        <f t="shared" ref="B965:B1004" ca="1" si="442">B964+pas</f>
        <v>49.501600000000423</v>
      </c>
      <c r="D965" s="306">
        <f t="shared" ref="D965:D1004" ca="1" si="443">IF(AND(L964&lt;L_rampe,Poussee&lt;Poids*SIN(M964)),0,(-W964+Poussee)/m*COS(M964)-U964/m*SIN(M964))</f>
        <v>-0.42609527155489696</v>
      </c>
      <c r="E965" s="307">
        <f t="shared" ref="E965:E1004" ca="1" si="444">IF(AND(L964&lt;L_rampe,Poussee&lt;Poids*SIN(M964)),0,(-W964+Poussee)/m*SIN(M964)+U964/m*COS(M964)-Poids/m)</f>
        <v>-0.99134766916850303</v>
      </c>
      <c r="F965" s="304">
        <f t="shared" ref="F965:F1004" ca="1" si="445">SQRT(acc_x^2+acc_z^2)</f>
        <v>1.0790400278058572</v>
      </c>
      <c r="G965" s="306">
        <f t="shared" ref="G965:G1004" ca="1" si="446">G964+acc_x*pas</f>
        <v>7.6124968610545487</v>
      </c>
      <c r="H965" s="307">
        <f t="shared" ref="H965:H1004" ca="1" si="447">H964+acc_z*pas</f>
        <v>-157.5525138818594</v>
      </c>
      <c r="I965" s="304">
        <f t="shared" ref="I965:I1004" ca="1" si="448">SQRT(vit_x^2+vit_z^2)</f>
        <v>157.73631395133165</v>
      </c>
      <c r="J965" s="306">
        <f t="shared" ref="J965:J1004" ca="1" si="449">J964+0.5*(vit_x+G964)*pas*(K964&gt;=0)</f>
        <v>848.56910463170368</v>
      </c>
      <c r="K965" s="307">
        <f t="shared" ref="K965:K1004" ca="1" si="450">K964+0.5*(vit_z+H964)*pas</f>
        <v>-12.585518598176193</v>
      </c>
      <c r="L965" s="304">
        <f t="shared" ca="1" si="435"/>
        <v>848.66243030655971</v>
      </c>
      <c r="M965" s="306">
        <f t="shared" ref="M965:M1004" ca="1" si="451">IF(AND(L964&gt;L_rampe,G965&gt;0),ATAN2(G965,H965),$M$4)</f>
        <v>-1.5225166704820474</v>
      </c>
      <c r="N965" s="304">
        <f t="shared" ref="N965:N1004" ca="1" si="452">DEGREES(Beta)</f>
        <v>-87.2337794569316</v>
      </c>
      <c r="P965" s="310">
        <f t="shared" ref="P965:P1004" ca="1" si="453">MATCH(t-pas/2-T_ini,CdP_t)</f>
        <v>23</v>
      </c>
      <c r="Q965" s="304">
        <f t="shared" ref="Q965:Q1004" ca="1" si="454">(INDEX(CdP,2,i_P+1)-INDEX(CdP,2,i_P+0))/(INDEX(CdP,1,i_P+1)-INDEX(CdP,1,i_P+0))*(t-pas/2-T_ini-INDEX(CdP,1,i_P+0))+INDEX(CdP,2,i_P+0)</f>
        <v>0</v>
      </c>
      <c r="R965" s="306">
        <f t="shared" ref="R965:R1004" ca="1" si="455">Poussee/(g*ISP)</f>
        <v>0</v>
      </c>
      <c r="S965" s="307">
        <f t="shared" ref="S965:S1004" ca="1" si="456">S964-Débit*pas</f>
        <v>9.137999999999975</v>
      </c>
      <c r="T965" s="304">
        <f t="shared" ca="1" si="436"/>
        <v>89.643779999999765</v>
      </c>
      <c r="U965" s="311">
        <f t="shared" ca="1" si="437"/>
        <v>0</v>
      </c>
      <c r="V965" s="306">
        <f t="shared" ca="1" si="438"/>
        <v>1.2265426968102462</v>
      </c>
      <c r="W965" s="304">
        <f t="shared" ca="1" si="439"/>
        <v>80.67908239570059</v>
      </c>
      <c r="Y965" s="314" t="str">
        <f t="shared" ref="Y965:Y1003" ca="1" si="457">IF(AND(pos_z&lt;=0,K964&gt;0),"Impact balistique","") &amp; IF(AND(H966&lt;0,vit_z&gt;=0),"Apogée","") &amp; IF(AND(Poussee=0,Q964&gt;0),"Fin de propulsion","") &amp; IF(AND(L966&gt;L_rampe,pos_xz&lt;=L_rampe),"Sortie de rampe","")</f>
        <v/>
      </c>
      <c r="Z965" s="315" t="str">
        <f t="shared" ref="Z965:Z1004" ca="1" si="458">IF(ABS(t-T_para)&lt;pas/2,"Para","")</f>
        <v/>
      </c>
      <c r="AA965" s="316" t="str">
        <f t="shared" ref="AA965:AA1004" ca="1" si="459">IF(ABS(t-T_satellite)&lt;pas/2,"Satellite","")</f>
        <v/>
      </c>
      <c r="AC965" s="310" t="e">
        <f t="shared" ref="AC965:AC1004" ca="1" si="460">IF(ABS(t-ROUND(t,0))&lt;0.001,t,NA())</f>
        <v>#N/A</v>
      </c>
      <c r="AD965" s="323" t="e">
        <f t="shared" ref="AD965:AD1004" ca="1" si="461">IF(ABS(t-ROUND(t,0))&lt;0.001,pos_x,NA())</f>
        <v>#N/A</v>
      </c>
      <c r="AE965" s="324" t="e">
        <f t="shared" ca="1" si="440"/>
        <v>#N/A</v>
      </c>
      <c r="AG965" s="306">
        <f t="shared" ref="AG965:AG1004" ca="1" si="462">IF(AND(L964&lt;L_rampe,Poussee&lt;Poids*SIN(M964)),0,(-W964+Poussee)/m-Poids*SIN(M964)/m)</f>
        <v>0.96962863049801484</v>
      </c>
      <c r="AH965" s="304">
        <f t="shared" ref="AH965:AH1004" ca="1" si="463">IF(AND(L964&lt;L_rampe,Poussee&lt;Poids*SIN(M964)), g*SIN(M964), (-W964+Poussee)/m)</f>
        <v>-8.8289402598795093</v>
      </c>
    </row>
    <row r="966" spans="1:34" x14ac:dyDescent="0.2">
      <c r="A966" s="347">
        <f t="shared" ca="1" si="441"/>
        <v>1E-4</v>
      </c>
      <c r="B966" s="304">
        <f t="shared" ca="1" si="442"/>
        <v>49.501700000000426</v>
      </c>
      <c r="D966" s="306">
        <f t="shared" ca="1" si="443"/>
        <v>-0.42609381982654904</v>
      </c>
      <c r="E966" s="307">
        <f t="shared" ca="1" si="444"/>
        <v>-0.99132280531448203</v>
      </c>
      <c r="F966" s="304">
        <f t="shared" ca="1" si="445"/>
        <v>1.0790166113785988</v>
      </c>
      <c r="G966" s="306">
        <f t="shared" ca="1" si="446"/>
        <v>7.612454251672566</v>
      </c>
      <c r="H966" s="307">
        <f t="shared" ca="1" si="447"/>
        <v>-157.55261301413992</v>
      </c>
      <c r="I966" s="304">
        <f t="shared" ca="1" si="448"/>
        <v>157.73641091173954</v>
      </c>
      <c r="J966" s="306">
        <f t="shared" ca="1" si="449"/>
        <v>848.56910463170368</v>
      </c>
      <c r="K966" s="307">
        <f t="shared" ca="1" si="450"/>
        <v>-12.601273854520993</v>
      </c>
      <c r="L966" s="304">
        <f t="shared" ca="1" si="435"/>
        <v>848.66266410052935</v>
      </c>
      <c r="M966" s="306">
        <f t="shared" ca="1" si="451"/>
        <v>-1.522516970628</v>
      </c>
      <c r="N966" s="304">
        <f t="shared" ca="1" si="452"/>
        <v>-87.233796654027927</v>
      </c>
      <c r="P966" s="310">
        <f t="shared" ca="1" si="453"/>
        <v>23</v>
      </c>
      <c r="Q966" s="304">
        <f t="shared" ca="1" si="454"/>
        <v>0</v>
      </c>
      <c r="R966" s="306">
        <f t="shared" ca="1" si="455"/>
        <v>0</v>
      </c>
      <c r="S966" s="307">
        <f t="shared" ca="1" si="456"/>
        <v>9.137999999999975</v>
      </c>
      <c r="T966" s="304">
        <f t="shared" ca="1" si="436"/>
        <v>89.643779999999765</v>
      </c>
      <c r="U966" s="311">
        <f t="shared" ca="1" si="437"/>
        <v>0</v>
      </c>
      <c r="V966" s="306">
        <f t="shared" ca="1" si="438"/>
        <v>1.2265446292619957</v>
      </c>
      <c r="W966" s="304">
        <f t="shared" ca="1" si="439"/>
        <v>80.67930869475758</v>
      </c>
      <c r="Y966" s="314" t="str">
        <f t="shared" ca="1" si="457"/>
        <v/>
      </c>
      <c r="Z966" s="315" t="str">
        <f t="shared" ca="1" si="458"/>
        <v/>
      </c>
      <c r="AA966" s="316" t="str">
        <f t="shared" ca="1" si="459"/>
        <v/>
      </c>
      <c r="AC966" s="310" t="e">
        <f t="shared" ca="1" si="460"/>
        <v>#N/A</v>
      </c>
      <c r="AD966" s="323" t="e">
        <f t="shared" ca="1" si="461"/>
        <v>#N/A</v>
      </c>
      <c r="AE966" s="324" t="e">
        <f t="shared" ca="1" si="440"/>
        <v>#N/A</v>
      </c>
      <c r="AG966" s="306">
        <f t="shared" ca="1" si="462"/>
        <v>0.9696040077807222</v>
      </c>
      <c r="AH966" s="304">
        <f t="shared" ca="1" si="463"/>
        <v>-8.8289650246991478</v>
      </c>
    </row>
    <row r="967" spans="1:34" x14ac:dyDescent="0.2">
      <c r="A967" s="347">
        <f t="shared" ca="1" si="441"/>
        <v>1E-4</v>
      </c>
      <c r="B967" s="304">
        <f t="shared" ca="1" si="442"/>
        <v>49.501800000000429</v>
      </c>
      <c r="D967" s="306">
        <f t="shared" ca="1" si="443"/>
        <v>-0.42609236809153467</v>
      </c>
      <c r="E967" s="307">
        <f t="shared" ca="1" si="444"/>
        <v>-0.99129794166525365</v>
      </c>
      <c r="F967" s="304">
        <f t="shared" ca="1" si="445"/>
        <v>1.0789931952035752</v>
      </c>
      <c r="G967" s="306">
        <f t="shared" ca="1" si="446"/>
        <v>7.6124116424357569</v>
      </c>
      <c r="H967" s="307">
        <f t="shared" ca="1" si="447"/>
        <v>-157.55271214393409</v>
      </c>
      <c r="I967" s="304">
        <f t="shared" ca="1" si="448"/>
        <v>157.73650786968514</v>
      </c>
      <c r="J967" s="306">
        <f t="shared" ca="1" si="449"/>
        <v>848.56910463170368</v>
      </c>
      <c r="K967" s="307">
        <f t="shared" ca="1" si="450"/>
        <v>-12.617029120778897</v>
      </c>
      <c r="L967" s="304">
        <f t="shared" ca="1" si="435"/>
        <v>848.66289818707514</v>
      </c>
      <c r="M967" s="306">
        <f t="shared" ca="1" si="451"/>
        <v>-1.5225172707719035</v>
      </c>
      <c r="N967" s="304">
        <f t="shared" ca="1" si="452"/>
        <v>-87.233813851006843</v>
      </c>
      <c r="P967" s="310">
        <f t="shared" ca="1" si="453"/>
        <v>23</v>
      </c>
      <c r="Q967" s="304">
        <f t="shared" ca="1" si="454"/>
        <v>0</v>
      </c>
      <c r="R967" s="306">
        <f t="shared" ca="1" si="455"/>
        <v>0</v>
      </c>
      <c r="S967" s="307">
        <f t="shared" ca="1" si="456"/>
        <v>9.137999999999975</v>
      </c>
      <c r="T967" s="304">
        <f t="shared" ca="1" si="436"/>
        <v>89.643779999999765</v>
      </c>
      <c r="U967" s="311">
        <f t="shared" ca="1" si="437"/>
        <v>0</v>
      </c>
      <c r="V967" s="306">
        <f t="shared" ca="1" si="438"/>
        <v>1.2265465617180071</v>
      </c>
      <c r="W967" s="304">
        <f t="shared" ca="1" si="439"/>
        <v>80.679534991949609</v>
      </c>
      <c r="Y967" s="314" t="str">
        <f t="shared" ca="1" si="457"/>
        <v/>
      </c>
      <c r="Z967" s="315" t="str">
        <f t="shared" ca="1" si="458"/>
        <v/>
      </c>
      <c r="AA967" s="316" t="str">
        <f t="shared" ca="1" si="459"/>
        <v/>
      </c>
      <c r="AC967" s="310" t="e">
        <f t="shared" ca="1" si="460"/>
        <v>#N/A</v>
      </c>
      <c r="AD967" s="323" t="e">
        <f t="shared" ca="1" si="461"/>
        <v>#N/A</v>
      </c>
      <c r="AE967" s="324" t="e">
        <f t="shared" ca="1" si="440"/>
        <v>#N/A</v>
      </c>
      <c r="AG967" s="306">
        <f t="shared" ca="1" si="462"/>
        <v>0.96957938526565712</v>
      </c>
      <c r="AH967" s="304">
        <f t="shared" ca="1" si="463"/>
        <v>-8.8289897893147078</v>
      </c>
    </row>
    <row r="968" spans="1:34" x14ac:dyDescent="0.2">
      <c r="A968" s="347">
        <f t="shared" ca="1" si="441"/>
        <v>1E-4</v>
      </c>
      <c r="B968" s="304">
        <f t="shared" ca="1" si="442"/>
        <v>49.501900000000433</v>
      </c>
      <c r="D968" s="306">
        <f t="shared" ca="1" si="443"/>
        <v>-0.42609091634985369</v>
      </c>
      <c r="E968" s="307">
        <f t="shared" ca="1" si="444"/>
        <v>-0.99127307822082322</v>
      </c>
      <c r="F968" s="304">
        <f t="shared" ca="1" si="445"/>
        <v>1.0789697792807935</v>
      </c>
      <c r="G968" s="306">
        <f t="shared" ca="1" si="446"/>
        <v>7.6123690333441223</v>
      </c>
      <c r="H968" s="307">
        <f t="shared" ca="1" si="447"/>
        <v>-157.55281127124192</v>
      </c>
      <c r="I968" s="304">
        <f t="shared" ca="1" si="448"/>
        <v>157.73660482516857</v>
      </c>
      <c r="J968" s="306">
        <f t="shared" ca="1" si="449"/>
        <v>848.56910463170368</v>
      </c>
      <c r="K968" s="307">
        <f t="shared" ca="1" si="450"/>
        <v>-12.632784396949656</v>
      </c>
      <c r="L968" s="304">
        <f t="shared" ca="1" si="435"/>
        <v>848.66313256619731</v>
      </c>
      <c r="M968" s="306">
        <f t="shared" ca="1" si="451"/>
        <v>-1.5225175709137582</v>
      </c>
      <c r="N968" s="304">
        <f t="shared" ca="1" si="452"/>
        <v>-87.233831047868364</v>
      </c>
      <c r="P968" s="310">
        <f t="shared" ca="1" si="453"/>
        <v>23</v>
      </c>
      <c r="Q968" s="304">
        <f t="shared" ca="1" si="454"/>
        <v>0</v>
      </c>
      <c r="R968" s="306">
        <f t="shared" ca="1" si="455"/>
        <v>0</v>
      </c>
      <c r="S968" s="307">
        <f t="shared" ca="1" si="456"/>
        <v>9.137999999999975</v>
      </c>
      <c r="T968" s="304">
        <f t="shared" ca="1" si="436"/>
        <v>89.643779999999765</v>
      </c>
      <c r="U968" s="311">
        <f t="shared" ca="1" si="437"/>
        <v>0</v>
      </c>
      <c r="V968" s="306">
        <f t="shared" ca="1" si="438"/>
        <v>1.2265484941782809</v>
      </c>
      <c r="W968" s="304">
        <f t="shared" ca="1" si="439"/>
        <v>80.679761287276776</v>
      </c>
      <c r="Y968" s="314" t="str">
        <f t="shared" ca="1" si="457"/>
        <v/>
      </c>
      <c r="Z968" s="315" t="str">
        <f t="shared" ca="1" si="458"/>
        <v/>
      </c>
      <c r="AA968" s="316" t="str">
        <f t="shared" ca="1" si="459"/>
        <v/>
      </c>
      <c r="AC968" s="310" t="e">
        <f t="shared" ca="1" si="460"/>
        <v>#N/A</v>
      </c>
      <c r="AD968" s="323" t="e">
        <f t="shared" ca="1" si="461"/>
        <v>#N/A</v>
      </c>
      <c r="AE968" s="324" t="e">
        <f t="shared" ca="1" si="440"/>
        <v>#N/A</v>
      </c>
      <c r="AG968" s="306">
        <f t="shared" ca="1" si="462"/>
        <v>0.96955476295282494</v>
      </c>
      <c r="AH968" s="304">
        <f t="shared" ca="1" si="463"/>
        <v>-8.8290145537261804</v>
      </c>
    </row>
    <row r="969" spans="1:34" x14ac:dyDescent="0.2">
      <c r="A969" s="347">
        <f t="shared" ca="1" si="441"/>
        <v>1E-4</v>
      </c>
      <c r="B969" s="304">
        <f t="shared" ca="1" si="442"/>
        <v>49.502000000000436</v>
      </c>
      <c r="D969" s="306">
        <f t="shared" ca="1" si="443"/>
        <v>-0.42608946460150499</v>
      </c>
      <c r="E969" s="307">
        <f t="shared" ca="1" si="444"/>
        <v>-0.99124821498118365</v>
      </c>
      <c r="F969" s="304">
        <f t="shared" ca="1" si="445"/>
        <v>1.0789463636102492</v>
      </c>
      <c r="G969" s="306">
        <f t="shared" ca="1" si="446"/>
        <v>7.6123264243976623</v>
      </c>
      <c r="H969" s="307">
        <f t="shared" ca="1" si="447"/>
        <v>-157.55291039606342</v>
      </c>
      <c r="I969" s="304">
        <f t="shared" ca="1" si="448"/>
        <v>157.73670177818974</v>
      </c>
      <c r="J969" s="306">
        <f t="shared" ca="1" si="449"/>
        <v>848.56910463170368</v>
      </c>
      <c r="K969" s="307">
        <f t="shared" ca="1" si="450"/>
        <v>-12.648539683033022</v>
      </c>
      <c r="L969" s="304">
        <f t="shared" ca="1" si="435"/>
        <v>848.66336723789641</v>
      </c>
      <c r="M969" s="306">
        <f t="shared" ca="1" si="451"/>
        <v>-1.5225178710535638</v>
      </c>
      <c r="N969" s="304">
        <f t="shared" ca="1" si="452"/>
        <v>-87.233848244612503</v>
      </c>
      <c r="P969" s="310">
        <f t="shared" ca="1" si="453"/>
        <v>23</v>
      </c>
      <c r="Q969" s="304">
        <f t="shared" ca="1" si="454"/>
        <v>0</v>
      </c>
      <c r="R969" s="306">
        <f t="shared" ca="1" si="455"/>
        <v>0</v>
      </c>
      <c r="S969" s="307">
        <f t="shared" ca="1" si="456"/>
        <v>9.137999999999975</v>
      </c>
      <c r="T969" s="304">
        <f t="shared" ca="1" si="436"/>
        <v>89.643779999999765</v>
      </c>
      <c r="U969" s="311">
        <f t="shared" ca="1" si="437"/>
        <v>0</v>
      </c>
      <c r="V969" s="306">
        <f t="shared" ca="1" si="438"/>
        <v>1.2265504266428175</v>
      </c>
      <c r="W969" s="304">
        <f t="shared" ca="1" si="439"/>
        <v>80.679987580739024</v>
      </c>
      <c r="Y969" s="314" t="str">
        <f t="shared" ca="1" si="457"/>
        <v/>
      </c>
      <c r="Z969" s="315" t="str">
        <f t="shared" ca="1" si="458"/>
        <v/>
      </c>
      <c r="AA969" s="316" t="str">
        <f t="shared" ca="1" si="459"/>
        <v/>
      </c>
      <c r="AC969" s="310" t="e">
        <f t="shared" ca="1" si="460"/>
        <v>#N/A</v>
      </c>
      <c r="AD969" s="323" t="e">
        <f t="shared" ca="1" si="461"/>
        <v>#N/A</v>
      </c>
      <c r="AE969" s="324" t="e">
        <f t="shared" ca="1" si="440"/>
        <v>#N/A</v>
      </c>
      <c r="AG969" s="306">
        <f t="shared" ca="1" si="462"/>
        <v>0.96953014084222033</v>
      </c>
      <c r="AH969" s="304">
        <f t="shared" ca="1" si="463"/>
        <v>-8.8290393179335744</v>
      </c>
    </row>
    <row r="970" spans="1:34" x14ac:dyDescent="0.2">
      <c r="A970" s="347">
        <f t="shared" ca="1" si="441"/>
        <v>1E-4</v>
      </c>
      <c r="B970" s="304">
        <f t="shared" ca="1" si="442"/>
        <v>49.502100000000439</v>
      </c>
      <c r="D970" s="306">
        <f t="shared" ca="1" si="443"/>
        <v>-0.4260880128464905</v>
      </c>
      <c r="E970" s="307">
        <f t="shared" ca="1" si="444"/>
        <v>-0.99122335194634026</v>
      </c>
      <c r="F970" s="304">
        <f t="shared" ca="1" si="445"/>
        <v>1.07892294819195</v>
      </c>
      <c r="G970" s="306">
        <f t="shared" ca="1" si="446"/>
        <v>7.6122838155963777</v>
      </c>
      <c r="H970" s="307">
        <f t="shared" ca="1" si="447"/>
        <v>-157.55300951839862</v>
      </c>
      <c r="I970" s="304">
        <f t="shared" ca="1" si="448"/>
        <v>157.73679872874877</v>
      </c>
      <c r="J970" s="306">
        <f t="shared" ca="1" si="449"/>
        <v>848.56910463170368</v>
      </c>
      <c r="K970" s="307">
        <f t="shared" ca="1" si="450"/>
        <v>-12.664294979028744</v>
      </c>
      <c r="L970" s="304">
        <f t="shared" ca="1" si="435"/>
        <v>848.66360220217234</v>
      </c>
      <c r="M970" s="306">
        <f t="shared" ca="1" si="451"/>
        <v>-1.5225181711913205</v>
      </c>
      <c r="N970" s="304">
        <f t="shared" ca="1" si="452"/>
        <v>-87.233865441239232</v>
      </c>
      <c r="P970" s="310">
        <f t="shared" ca="1" si="453"/>
        <v>23</v>
      </c>
      <c r="Q970" s="304">
        <f t="shared" ca="1" si="454"/>
        <v>0</v>
      </c>
      <c r="R970" s="306">
        <f t="shared" ca="1" si="455"/>
        <v>0</v>
      </c>
      <c r="S970" s="307">
        <f t="shared" ca="1" si="456"/>
        <v>9.137999999999975</v>
      </c>
      <c r="T970" s="304">
        <f t="shared" ca="1" si="436"/>
        <v>89.643779999999765</v>
      </c>
      <c r="U970" s="311">
        <f t="shared" ca="1" si="437"/>
        <v>0</v>
      </c>
      <c r="V970" s="306">
        <f t="shared" ca="1" si="438"/>
        <v>1.2265523591116163</v>
      </c>
      <c r="W970" s="304">
        <f t="shared" ca="1" si="439"/>
        <v>80.680213872336395</v>
      </c>
      <c r="Y970" s="314" t="str">
        <f t="shared" ca="1" si="457"/>
        <v/>
      </c>
      <c r="Z970" s="315" t="str">
        <f t="shared" ca="1" si="458"/>
        <v/>
      </c>
      <c r="AA970" s="316" t="str">
        <f t="shared" ca="1" si="459"/>
        <v/>
      </c>
      <c r="AC970" s="310" t="e">
        <f t="shared" ca="1" si="460"/>
        <v>#N/A</v>
      </c>
      <c r="AD970" s="323" t="e">
        <f t="shared" ca="1" si="461"/>
        <v>#N/A</v>
      </c>
      <c r="AE970" s="324" t="e">
        <f t="shared" ca="1" si="440"/>
        <v>#N/A</v>
      </c>
      <c r="AG970" s="306">
        <f t="shared" ca="1" si="462"/>
        <v>0.96950551893384684</v>
      </c>
      <c r="AH970" s="304">
        <f t="shared" ca="1" si="463"/>
        <v>-8.8290640819368846</v>
      </c>
    </row>
    <row r="971" spans="1:34" x14ac:dyDescent="0.2">
      <c r="A971" s="347">
        <f t="shared" ca="1" si="441"/>
        <v>1E-4</v>
      </c>
      <c r="B971" s="304">
        <f t="shared" ca="1" si="442"/>
        <v>49.502200000000443</v>
      </c>
      <c r="D971" s="306">
        <f t="shared" ca="1" si="443"/>
        <v>-0.42608656108481091</v>
      </c>
      <c r="E971" s="307">
        <f t="shared" ca="1" si="444"/>
        <v>-0.99119848911629127</v>
      </c>
      <c r="F971" s="304">
        <f t="shared" ca="1" si="445"/>
        <v>1.078899533025897</v>
      </c>
      <c r="G971" s="306">
        <f t="shared" ca="1" si="446"/>
        <v>7.6122412069402694</v>
      </c>
      <c r="H971" s="307">
        <f t="shared" ca="1" si="447"/>
        <v>-157.55310863824752</v>
      </c>
      <c r="I971" s="304">
        <f t="shared" ca="1" si="448"/>
        <v>157.73689567684556</v>
      </c>
      <c r="J971" s="306">
        <f t="shared" ca="1" si="449"/>
        <v>848.56910463170368</v>
      </c>
      <c r="K971" s="307">
        <f t="shared" ca="1" si="450"/>
        <v>-12.680050284936577</v>
      </c>
      <c r="L971" s="304">
        <f t="shared" ca="1" si="435"/>
        <v>848.66383745902579</v>
      </c>
      <c r="M971" s="306">
        <f t="shared" ca="1" si="451"/>
        <v>-1.5225184713270283</v>
      </c>
      <c r="N971" s="304">
        <f t="shared" ca="1" si="452"/>
        <v>-87.233882637748565</v>
      </c>
      <c r="P971" s="310">
        <f t="shared" ca="1" si="453"/>
        <v>23</v>
      </c>
      <c r="Q971" s="304">
        <f t="shared" ca="1" si="454"/>
        <v>0</v>
      </c>
      <c r="R971" s="306">
        <f t="shared" ca="1" si="455"/>
        <v>0</v>
      </c>
      <c r="S971" s="307">
        <f t="shared" ca="1" si="456"/>
        <v>9.137999999999975</v>
      </c>
      <c r="T971" s="304">
        <f t="shared" ca="1" si="436"/>
        <v>89.643779999999765</v>
      </c>
      <c r="U971" s="311">
        <f t="shared" ca="1" si="437"/>
        <v>0</v>
      </c>
      <c r="V971" s="306">
        <f t="shared" ca="1" si="438"/>
        <v>1.2265542915846774</v>
      </c>
      <c r="W971" s="304">
        <f t="shared" ca="1" si="439"/>
        <v>80.68044016206882</v>
      </c>
      <c r="Y971" s="314" t="str">
        <f t="shared" ca="1" si="457"/>
        <v/>
      </c>
      <c r="Z971" s="315" t="str">
        <f t="shared" ca="1" si="458"/>
        <v/>
      </c>
      <c r="AA971" s="316" t="str">
        <f t="shared" ca="1" si="459"/>
        <v/>
      </c>
      <c r="AC971" s="310" t="e">
        <f t="shared" ca="1" si="460"/>
        <v>#N/A</v>
      </c>
      <c r="AD971" s="323" t="e">
        <f t="shared" ca="1" si="461"/>
        <v>#N/A</v>
      </c>
      <c r="AE971" s="324" t="e">
        <f t="shared" ca="1" si="440"/>
        <v>#N/A</v>
      </c>
      <c r="AG971" s="306">
        <f t="shared" ca="1" si="462"/>
        <v>0.96948089722769915</v>
      </c>
      <c r="AH971" s="304">
        <f t="shared" ca="1" si="463"/>
        <v>-8.8290888457361145</v>
      </c>
    </row>
    <row r="972" spans="1:34" x14ac:dyDescent="0.2">
      <c r="A972" s="347">
        <f t="shared" ca="1" si="441"/>
        <v>1E-4</v>
      </c>
      <c r="B972" s="304">
        <f t="shared" ca="1" si="442"/>
        <v>49.502300000000446</v>
      </c>
      <c r="D972" s="306">
        <f t="shared" ca="1" si="443"/>
        <v>-0.42608510931646409</v>
      </c>
      <c r="E972" s="307">
        <f t="shared" ca="1" si="444"/>
        <v>-0.99117362649103846</v>
      </c>
      <c r="F972" s="304">
        <f t="shared" ca="1" si="445"/>
        <v>1.0788761181120934</v>
      </c>
      <c r="G972" s="306">
        <f t="shared" ca="1" si="446"/>
        <v>7.6121985984293374</v>
      </c>
      <c r="H972" s="307">
        <f t="shared" ca="1" si="447"/>
        <v>-157.55320775561017</v>
      </c>
      <c r="I972" s="304">
        <f t="shared" ca="1" si="448"/>
        <v>157.73699262248027</v>
      </c>
      <c r="J972" s="306">
        <f t="shared" ca="1" si="449"/>
        <v>848.56910463170368</v>
      </c>
      <c r="K972" s="307">
        <f t="shared" ca="1" si="450"/>
        <v>-12.69580560075627</v>
      </c>
      <c r="L972" s="304">
        <f t="shared" ca="1" si="435"/>
        <v>848.66407300845685</v>
      </c>
      <c r="M972" s="306">
        <f t="shared" ca="1" si="451"/>
        <v>-1.5225187714606871</v>
      </c>
      <c r="N972" s="304">
        <f t="shared" ca="1" si="452"/>
        <v>-87.233899834140502</v>
      </c>
      <c r="P972" s="310">
        <f t="shared" ca="1" si="453"/>
        <v>23</v>
      </c>
      <c r="Q972" s="304">
        <f t="shared" ca="1" si="454"/>
        <v>0</v>
      </c>
      <c r="R972" s="306">
        <f t="shared" ca="1" si="455"/>
        <v>0</v>
      </c>
      <c r="S972" s="307">
        <f t="shared" ca="1" si="456"/>
        <v>9.137999999999975</v>
      </c>
      <c r="T972" s="304">
        <f t="shared" ca="1" si="436"/>
        <v>89.643779999999765</v>
      </c>
      <c r="U972" s="311">
        <f t="shared" ca="1" si="437"/>
        <v>0</v>
      </c>
      <c r="V972" s="306">
        <f t="shared" ca="1" si="438"/>
        <v>1.2265562240620009</v>
      </c>
      <c r="W972" s="304">
        <f t="shared" ca="1" si="439"/>
        <v>80.68066644993641</v>
      </c>
      <c r="Y972" s="314" t="str">
        <f t="shared" ca="1" si="457"/>
        <v/>
      </c>
      <c r="Z972" s="315" t="str">
        <f t="shared" ca="1" si="458"/>
        <v/>
      </c>
      <c r="AA972" s="316" t="str">
        <f t="shared" ca="1" si="459"/>
        <v/>
      </c>
      <c r="AC972" s="310" t="e">
        <f t="shared" ca="1" si="460"/>
        <v>#N/A</v>
      </c>
      <c r="AD972" s="323" t="e">
        <f t="shared" ca="1" si="461"/>
        <v>#N/A</v>
      </c>
      <c r="AE972" s="324" t="e">
        <f t="shared" ca="1" si="440"/>
        <v>#N/A</v>
      </c>
      <c r="AG972" s="306">
        <f t="shared" ca="1" si="462"/>
        <v>0.96945627572378612</v>
      </c>
      <c r="AH972" s="304">
        <f t="shared" ca="1" si="463"/>
        <v>-8.8291136093312588</v>
      </c>
    </row>
    <row r="973" spans="1:34" x14ac:dyDescent="0.2">
      <c r="A973" s="347">
        <f t="shared" ca="1" si="441"/>
        <v>1E-4</v>
      </c>
      <c r="B973" s="304">
        <f t="shared" ca="1" si="442"/>
        <v>49.502400000000449</v>
      </c>
      <c r="D973" s="306">
        <f t="shared" ca="1" si="443"/>
        <v>-0.42608365754145311</v>
      </c>
      <c r="E973" s="307">
        <f t="shared" ca="1" si="444"/>
        <v>-0.99114876407057295</v>
      </c>
      <c r="F973" s="304">
        <f t="shared" ca="1" si="445"/>
        <v>1.0788527034505342</v>
      </c>
      <c r="G973" s="306">
        <f t="shared" ca="1" si="446"/>
        <v>7.6121559900635836</v>
      </c>
      <c r="H973" s="307">
        <f t="shared" ca="1" si="447"/>
        <v>-157.55330687048658</v>
      </c>
      <c r="I973" s="304">
        <f t="shared" ca="1" si="448"/>
        <v>157.73708956565281</v>
      </c>
      <c r="J973" s="306">
        <f t="shared" ca="1" si="449"/>
        <v>848.56910463170368</v>
      </c>
      <c r="K973" s="307">
        <f t="shared" ca="1" si="450"/>
        <v>-12.711560926487575</v>
      </c>
      <c r="L973" s="304">
        <f t="shared" ca="1" si="435"/>
        <v>848.66430885046589</v>
      </c>
      <c r="M973" s="306">
        <f t="shared" ca="1" si="451"/>
        <v>-1.5225190715922972</v>
      </c>
      <c r="N973" s="304">
        <f t="shared" ca="1" si="452"/>
        <v>-87.233917030415057</v>
      </c>
      <c r="P973" s="310">
        <f t="shared" ca="1" si="453"/>
        <v>23</v>
      </c>
      <c r="Q973" s="304">
        <f t="shared" ca="1" si="454"/>
        <v>0</v>
      </c>
      <c r="R973" s="306">
        <f t="shared" ca="1" si="455"/>
        <v>0</v>
      </c>
      <c r="S973" s="307">
        <f t="shared" ca="1" si="456"/>
        <v>9.137999999999975</v>
      </c>
      <c r="T973" s="304">
        <f t="shared" ca="1" si="436"/>
        <v>89.643779999999765</v>
      </c>
      <c r="U973" s="311">
        <f t="shared" ca="1" si="437"/>
        <v>0</v>
      </c>
      <c r="V973" s="306">
        <f t="shared" ca="1" si="438"/>
        <v>1.2265581565435866</v>
      </c>
      <c r="W973" s="304">
        <f t="shared" ca="1" si="439"/>
        <v>80.680892735939054</v>
      </c>
      <c r="Y973" s="314" t="str">
        <f t="shared" ca="1" si="457"/>
        <v/>
      </c>
      <c r="Z973" s="315" t="str">
        <f t="shared" ca="1" si="458"/>
        <v/>
      </c>
      <c r="AA973" s="316" t="str">
        <f t="shared" ca="1" si="459"/>
        <v/>
      </c>
      <c r="AC973" s="310" t="e">
        <f t="shared" ca="1" si="460"/>
        <v>#N/A</v>
      </c>
      <c r="AD973" s="323" t="e">
        <f t="shared" ca="1" si="461"/>
        <v>#N/A</v>
      </c>
      <c r="AE973" s="324" t="e">
        <f t="shared" ca="1" si="440"/>
        <v>#N/A</v>
      </c>
      <c r="AG973" s="306">
        <f t="shared" ca="1" si="462"/>
        <v>0.96943165442209533</v>
      </c>
      <c r="AH973" s="304">
        <f t="shared" ca="1" si="463"/>
        <v>-8.829138372722328</v>
      </c>
    </row>
    <row r="974" spans="1:34" x14ac:dyDescent="0.2">
      <c r="A974" s="347">
        <f t="shared" ca="1" si="441"/>
        <v>1E-4</v>
      </c>
      <c r="B974" s="304">
        <f t="shared" ca="1" si="442"/>
        <v>49.502500000000452</v>
      </c>
      <c r="D974" s="306">
        <f t="shared" ca="1" si="443"/>
        <v>-0.42608220575977557</v>
      </c>
      <c r="E974" s="307">
        <f t="shared" ca="1" si="444"/>
        <v>-0.99112390185490895</v>
      </c>
      <c r="F974" s="304">
        <f t="shared" ca="1" si="445"/>
        <v>1.0788292890412343</v>
      </c>
      <c r="G974" s="306">
        <f t="shared" ca="1" si="446"/>
        <v>7.6121133818430078</v>
      </c>
      <c r="H974" s="307">
        <f t="shared" ca="1" si="447"/>
        <v>-157.55340598287677</v>
      </c>
      <c r="I974" s="304">
        <f t="shared" ca="1" si="448"/>
        <v>157.73718650636323</v>
      </c>
      <c r="J974" s="306">
        <f t="shared" ca="1" si="449"/>
        <v>848.56910463170368</v>
      </c>
      <c r="K974" s="307">
        <f t="shared" ca="1" si="450"/>
        <v>-12.727316262130243</v>
      </c>
      <c r="L974" s="304">
        <f t="shared" ca="1" si="435"/>
        <v>848.66454498505323</v>
      </c>
      <c r="M974" s="306">
        <f t="shared" ca="1" si="451"/>
        <v>-1.5225193717218584</v>
      </c>
      <c r="N974" s="304">
        <f t="shared" ca="1" si="452"/>
        <v>-87.233934226572217</v>
      </c>
      <c r="P974" s="310">
        <f t="shared" ca="1" si="453"/>
        <v>23</v>
      </c>
      <c r="Q974" s="304">
        <f t="shared" ca="1" si="454"/>
        <v>0</v>
      </c>
      <c r="R974" s="306">
        <f t="shared" ca="1" si="455"/>
        <v>0</v>
      </c>
      <c r="S974" s="307">
        <f t="shared" ca="1" si="456"/>
        <v>9.137999999999975</v>
      </c>
      <c r="T974" s="304">
        <f t="shared" ca="1" si="436"/>
        <v>89.643779999999765</v>
      </c>
      <c r="U974" s="311">
        <f t="shared" ca="1" si="437"/>
        <v>0</v>
      </c>
      <c r="V974" s="306">
        <f t="shared" ca="1" si="438"/>
        <v>1.2265600890294348</v>
      </c>
      <c r="W974" s="304">
        <f t="shared" ca="1" si="439"/>
        <v>80.681119020076835</v>
      </c>
      <c r="Y974" s="314" t="str">
        <f t="shared" ca="1" si="457"/>
        <v/>
      </c>
      <c r="Z974" s="315" t="str">
        <f t="shared" ca="1" si="458"/>
        <v/>
      </c>
      <c r="AA974" s="316" t="str">
        <f t="shared" ca="1" si="459"/>
        <v/>
      </c>
      <c r="AC974" s="310" t="e">
        <f t="shared" ca="1" si="460"/>
        <v>#N/A</v>
      </c>
      <c r="AD974" s="323" t="e">
        <f t="shared" ca="1" si="461"/>
        <v>#N/A</v>
      </c>
      <c r="AE974" s="324" t="e">
        <f t="shared" ca="1" si="440"/>
        <v>#N/A</v>
      </c>
      <c r="AG974" s="306">
        <f t="shared" ca="1" si="462"/>
        <v>0.96940703332263745</v>
      </c>
      <c r="AH974" s="304">
        <f t="shared" ca="1" si="463"/>
        <v>-8.8291631359093099</v>
      </c>
    </row>
    <row r="975" spans="1:34" x14ac:dyDescent="0.2">
      <c r="A975" s="347">
        <f t="shared" ca="1" si="441"/>
        <v>1E-4</v>
      </c>
      <c r="B975" s="304">
        <f t="shared" ca="1" si="442"/>
        <v>49.502600000000456</v>
      </c>
      <c r="D975" s="306">
        <f t="shared" ca="1" si="443"/>
        <v>-0.42608075397143236</v>
      </c>
      <c r="E975" s="307">
        <f t="shared" ca="1" si="444"/>
        <v>-0.99109903984403225</v>
      </c>
      <c r="F975" s="304">
        <f t="shared" ca="1" si="445"/>
        <v>1.0788058748841827</v>
      </c>
      <c r="G975" s="306">
        <f t="shared" ca="1" si="446"/>
        <v>7.612070773767611</v>
      </c>
      <c r="H975" s="307">
        <f t="shared" ca="1" si="447"/>
        <v>-157.55350509278074</v>
      </c>
      <c r="I975" s="304">
        <f t="shared" ca="1" si="448"/>
        <v>157.73728344461159</v>
      </c>
      <c r="J975" s="306">
        <f t="shared" ca="1" si="449"/>
        <v>848.56910463170368</v>
      </c>
      <c r="K975" s="307">
        <f t="shared" ca="1" si="450"/>
        <v>-12.743071607684026</v>
      </c>
      <c r="L975" s="304">
        <f t="shared" ca="1" si="435"/>
        <v>848.66478141221921</v>
      </c>
      <c r="M975" s="306">
        <f t="shared" ca="1" si="451"/>
        <v>-1.5225196718493705</v>
      </c>
      <c r="N975" s="304">
        <f t="shared" ca="1" si="452"/>
        <v>-87.23395142261198</v>
      </c>
      <c r="P975" s="310">
        <f t="shared" ca="1" si="453"/>
        <v>23</v>
      </c>
      <c r="Q975" s="304">
        <f t="shared" ca="1" si="454"/>
        <v>0</v>
      </c>
      <c r="R975" s="306">
        <f t="shared" ca="1" si="455"/>
        <v>0</v>
      </c>
      <c r="S975" s="307">
        <f t="shared" ca="1" si="456"/>
        <v>9.137999999999975</v>
      </c>
      <c r="T975" s="304">
        <f t="shared" ca="1" si="436"/>
        <v>89.643779999999765</v>
      </c>
      <c r="U975" s="311">
        <f t="shared" ca="1" si="437"/>
        <v>0</v>
      </c>
      <c r="V975" s="306">
        <f t="shared" ca="1" si="438"/>
        <v>1.2265620215195454</v>
      </c>
      <c r="W975" s="304">
        <f t="shared" ca="1" si="439"/>
        <v>80.681345302349783</v>
      </c>
      <c r="Y975" s="314" t="str">
        <f t="shared" ca="1" si="457"/>
        <v/>
      </c>
      <c r="Z975" s="315" t="str">
        <f t="shared" ca="1" si="458"/>
        <v/>
      </c>
      <c r="AA975" s="316" t="str">
        <f t="shared" ca="1" si="459"/>
        <v/>
      </c>
      <c r="AC975" s="310" t="e">
        <f t="shared" ca="1" si="460"/>
        <v>#N/A</v>
      </c>
      <c r="AD975" s="323" t="e">
        <f t="shared" ca="1" si="461"/>
        <v>#N/A</v>
      </c>
      <c r="AE975" s="324" t="e">
        <f t="shared" ca="1" si="440"/>
        <v>#N/A</v>
      </c>
      <c r="AG975" s="306">
        <f t="shared" ca="1" si="462"/>
        <v>0.96938241242540535</v>
      </c>
      <c r="AH975" s="304">
        <f t="shared" ca="1" si="463"/>
        <v>-8.829187898892215</v>
      </c>
    </row>
    <row r="976" spans="1:34" x14ac:dyDescent="0.2">
      <c r="A976" s="347">
        <f t="shared" ca="1" si="441"/>
        <v>1E-4</v>
      </c>
      <c r="B976" s="304">
        <f t="shared" ca="1" si="442"/>
        <v>49.502700000000459</v>
      </c>
      <c r="D976" s="306">
        <f t="shared" ca="1" si="443"/>
        <v>-0.42607930217642587</v>
      </c>
      <c r="E976" s="307">
        <f t="shared" ca="1" si="444"/>
        <v>-0.99107417803794284</v>
      </c>
      <c r="F976" s="304">
        <f t="shared" ca="1" si="445"/>
        <v>1.078782460979383</v>
      </c>
      <c r="G976" s="306">
        <f t="shared" ca="1" si="446"/>
        <v>7.6120281658373932</v>
      </c>
      <c r="H976" s="307">
        <f t="shared" ca="1" si="447"/>
        <v>-157.55360420019855</v>
      </c>
      <c r="I976" s="304">
        <f t="shared" ca="1" si="448"/>
        <v>157.73738038039784</v>
      </c>
      <c r="J976" s="306">
        <f t="shared" ca="1" si="449"/>
        <v>848.56910463170368</v>
      </c>
      <c r="K976" s="307">
        <f t="shared" ca="1" si="450"/>
        <v>-12.758826963148675</v>
      </c>
      <c r="L976" s="304">
        <f t="shared" ca="1" si="435"/>
        <v>848.66501813196408</v>
      </c>
      <c r="M976" s="306">
        <f t="shared" ca="1" si="451"/>
        <v>-1.5225199719748341</v>
      </c>
      <c r="N976" s="304">
        <f t="shared" ca="1" si="452"/>
        <v>-87.233968618534377</v>
      </c>
      <c r="P976" s="310">
        <f t="shared" ca="1" si="453"/>
        <v>23</v>
      </c>
      <c r="Q976" s="304">
        <f t="shared" ca="1" si="454"/>
        <v>0</v>
      </c>
      <c r="R976" s="306">
        <f t="shared" ca="1" si="455"/>
        <v>0</v>
      </c>
      <c r="S976" s="307">
        <f t="shared" ca="1" si="456"/>
        <v>9.137999999999975</v>
      </c>
      <c r="T976" s="304">
        <f t="shared" ca="1" si="436"/>
        <v>89.643779999999765</v>
      </c>
      <c r="U976" s="311">
        <f t="shared" ca="1" si="437"/>
        <v>0</v>
      </c>
      <c r="V976" s="306">
        <f t="shared" ca="1" si="438"/>
        <v>1.2265639540139179</v>
      </c>
      <c r="W976" s="304">
        <f t="shared" ca="1" si="439"/>
        <v>80.681571582757769</v>
      </c>
      <c r="Y976" s="314" t="str">
        <f t="shared" ca="1" si="457"/>
        <v/>
      </c>
      <c r="Z976" s="315" t="str">
        <f t="shared" ca="1" si="458"/>
        <v/>
      </c>
      <c r="AA976" s="316" t="str">
        <f t="shared" ca="1" si="459"/>
        <v/>
      </c>
      <c r="AC976" s="310" t="e">
        <f t="shared" ca="1" si="460"/>
        <v>#N/A</v>
      </c>
      <c r="AD976" s="323" t="e">
        <f t="shared" ca="1" si="461"/>
        <v>#N/A</v>
      </c>
      <c r="AE976" s="324" t="e">
        <f t="shared" ca="1" si="440"/>
        <v>#N/A</v>
      </c>
      <c r="AG976" s="306">
        <f t="shared" ca="1" si="462"/>
        <v>0.96935779173039549</v>
      </c>
      <c r="AH976" s="304">
        <f t="shared" ca="1" si="463"/>
        <v>-8.8292126616710451</v>
      </c>
    </row>
    <row r="977" spans="1:34" x14ac:dyDescent="0.2">
      <c r="A977" s="347">
        <f t="shared" ca="1" si="441"/>
        <v>1E-4</v>
      </c>
      <c r="B977" s="304">
        <f t="shared" ca="1" si="442"/>
        <v>49.502800000000462</v>
      </c>
      <c r="D977" s="306">
        <f t="shared" ca="1" si="443"/>
        <v>-0.42607785037475188</v>
      </c>
      <c r="E977" s="307">
        <f t="shared" ca="1" si="444"/>
        <v>-0.99104931643665495</v>
      </c>
      <c r="F977" s="304">
        <f t="shared" ca="1" si="445"/>
        <v>1.0787590473268489</v>
      </c>
      <c r="G977" s="306">
        <f t="shared" ca="1" si="446"/>
        <v>7.6119855580523561</v>
      </c>
      <c r="H977" s="307">
        <f t="shared" ca="1" si="447"/>
        <v>-157.5537033051302</v>
      </c>
      <c r="I977" s="304">
        <f t="shared" ca="1" si="448"/>
        <v>157.73747731372211</v>
      </c>
      <c r="J977" s="306">
        <f t="shared" ca="1" si="449"/>
        <v>848.56910463170368</v>
      </c>
      <c r="K977" s="307">
        <f t="shared" ca="1" si="450"/>
        <v>-12.774582328523941</v>
      </c>
      <c r="L977" s="304">
        <f t="shared" ca="1" si="435"/>
        <v>848.66525514428804</v>
      </c>
      <c r="M977" s="306">
        <f t="shared" ca="1" si="451"/>
        <v>-1.5225202720982487</v>
      </c>
      <c r="N977" s="304">
        <f t="shared" ca="1" si="452"/>
        <v>-87.233985814339363</v>
      </c>
      <c r="P977" s="310">
        <f t="shared" ca="1" si="453"/>
        <v>23</v>
      </c>
      <c r="Q977" s="304">
        <f t="shared" ca="1" si="454"/>
        <v>0</v>
      </c>
      <c r="R977" s="306">
        <f t="shared" ca="1" si="455"/>
        <v>0</v>
      </c>
      <c r="S977" s="307">
        <f t="shared" ca="1" si="456"/>
        <v>9.137999999999975</v>
      </c>
      <c r="T977" s="304">
        <f t="shared" ca="1" si="436"/>
        <v>89.643779999999765</v>
      </c>
      <c r="U977" s="311">
        <f t="shared" ca="1" si="437"/>
        <v>0</v>
      </c>
      <c r="V977" s="306">
        <f t="shared" ca="1" si="438"/>
        <v>1.2265658865125526</v>
      </c>
      <c r="W977" s="304">
        <f t="shared" ca="1" si="439"/>
        <v>80.681797861300979</v>
      </c>
      <c r="Y977" s="314" t="str">
        <f t="shared" ca="1" si="457"/>
        <v/>
      </c>
      <c r="Z977" s="315" t="str">
        <f t="shared" ca="1" si="458"/>
        <v/>
      </c>
      <c r="AA977" s="316" t="str">
        <f t="shared" ca="1" si="459"/>
        <v/>
      </c>
      <c r="AC977" s="310" t="e">
        <f t="shared" ca="1" si="460"/>
        <v>#N/A</v>
      </c>
      <c r="AD977" s="323" t="e">
        <f t="shared" ca="1" si="461"/>
        <v>#N/A</v>
      </c>
      <c r="AE977" s="324" t="e">
        <f t="shared" ca="1" si="440"/>
        <v>#N/A</v>
      </c>
      <c r="AG977" s="306">
        <f t="shared" ca="1" si="462"/>
        <v>0.96933317123762208</v>
      </c>
      <c r="AH977" s="304">
        <f t="shared" ca="1" si="463"/>
        <v>-8.8292374242457861</v>
      </c>
    </row>
    <row r="978" spans="1:34" x14ac:dyDescent="0.2">
      <c r="A978" s="347">
        <f t="shared" ca="1" si="441"/>
        <v>1E-4</v>
      </c>
      <c r="B978" s="304">
        <f t="shared" ca="1" si="442"/>
        <v>49.502900000000466</v>
      </c>
      <c r="D978" s="306">
        <f t="shared" ca="1" si="443"/>
        <v>-0.4260763985664156</v>
      </c>
      <c r="E978" s="307">
        <f t="shared" ca="1" si="444"/>
        <v>-0.99102445504014902</v>
      </c>
      <c r="F978" s="304">
        <f t="shared" ca="1" si="445"/>
        <v>1.0787356339265666</v>
      </c>
      <c r="G978" s="306">
        <f t="shared" ca="1" si="446"/>
        <v>7.6119429504124998</v>
      </c>
      <c r="H978" s="307">
        <f t="shared" ca="1" si="447"/>
        <v>-157.55380240757572</v>
      </c>
      <c r="I978" s="304">
        <f t="shared" ca="1" si="448"/>
        <v>157.73757424458432</v>
      </c>
      <c r="J978" s="306">
        <f t="shared" ca="1" si="449"/>
        <v>848.56910463170368</v>
      </c>
      <c r="K978" s="307">
        <f t="shared" ca="1" si="450"/>
        <v>-12.790337703809577</v>
      </c>
      <c r="L978" s="304">
        <f t="shared" ca="1" si="435"/>
        <v>848.66549244919156</v>
      </c>
      <c r="M978" s="306">
        <f t="shared" ca="1" si="451"/>
        <v>-1.5225205722196147</v>
      </c>
      <c r="N978" s="304">
        <f t="shared" ca="1" si="452"/>
        <v>-87.234003010026967</v>
      </c>
      <c r="P978" s="310">
        <f t="shared" ca="1" si="453"/>
        <v>23</v>
      </c>
      <c r="Q978" s="304">
        <f t="shared" ca="1" si="454"/>
        <v>0</v>
      </c>
      <c r="R978" s="306">
        <f t="shared" ca="1" si="455"/>
        <v>0</v>
      </c>
      <c r="S978" s="307">
        <f t="shared" ca="1" si="456"/>
        <v>9.137999999999975</v>
      </c>
      <c r="T978" s="304">
        <f t="shared" ca="1" si="436"/>
        <v>89.643779999999765</v>
      </c>
      <c r="U978" s="311">
        <f t="shared" ca="1" si="437"/>
        <v>0</v>
      </c>
      <c r="V978" s="306">
        <f t="shared" ca="1" si="438"/>
        <v>1.2265678190154501</v>
      </c>
      <c r="W978" s="304">
        <f t="shared" ca="1" si="439"/>
        <v>80.682024137979298</v>
      </c>
      <c r="Y978" s="314" t="str">
        <f t="shared" ca="1" si="457"/>
        <v/>
      </c>
      <c r="Z978" s="315" t="str">
        <f t="shared" ca="1" si="458"/>
        <v/>
      </c>
      <c r="AA978" s="316" t="str">
        <f t="shared" ca="1" si="459"/>
        <v/>
      </c>
      <c r="AC978" s="310" t="e">
        <f t="shared" ca="1" si="460"/>
        <v>#N/A</v>
      </c>
      <c r="AD978" s="323" t="e">
        <f t="shared" ca="1" si="461"/>
        <v>#N/A</v>
      </c>
      <c r="AE978" s="324" t="e">
        <f t="shared" ca="1" si="440"/>
        <v>#N/A</v>
      </c>
      <c r="AG978" s="306">
        <f t="shared" ca="1" si="462"/>
        <v>0.96930855094706381</v>
      </c>
      <c r="AH978" s="304">
        <f t="shared" ca="1" si="463"/>
        <v>-8.8292621866164591</v>
      </c>
    </row>
    <row r="979" spans="1:34" x14ac:dyDescent="0.2">
      <c r="A979" s="347">
        <f t="shared" ca="1" si="441"/>
        <v>1E-4</v>
      </c>
      <c r="B979" s="304">
        <f t="shared" ca="1" si="442"/>
        <v>49.503000000000469</v>
      </c>
      <c r="D979" s="306">
        <f t="shared" ca="1" si="443"/>
        <v>-0.42607494675141278</v>
      </c>
      <c r="E979" s="307">
        <f t="shared" ca="1" si="444"/>
        <v>-0.99099959384843395</v>
      </c>
      <c r="F979" s="304">
        <f t="shared" ca="1" si="445"/>
        <v>1.0787122207785449</v>
      </c>
      <c r="G979" s="306">
        <f t="shared" ca="1" si="446"/>
        <v>7.6119003429178242</v>
      </c>
      <c r="H979" s="307">
        <f t="shared" ca="1" si="447"/>
        <v>-157.5539015075351</v>
      </c>
      <c r="I979" s="304">
        <f t="shared" ca="1" si="448"/>
        <v>157.73767117298451</v>
      </c>
      <c r="J979" s="306">
        <f t="shared" ca="1" si="449"/>
        <v>848.56910463170368</v>
      </c>
      <c r="K979" s="307">
        <f t="shared" ca="1" si="450"/>
        <v>-12.806093089005332</v>
      </c>
      <c r="L979" s="304">
        <f t="shared" ca="1" si="435"/>
        <v>848.66573004667475</v>
      </c>
      <c r="M979" s="306">
        <f t="shared" ca="1" si="451"/>
        <v>-1.5225208723389319</v>
      </c>
      <c r="N979" s="304">
        <f t="shared" ca="1" si="452"/>
        <v>-87.234020205597204</v>
      </c>
      <c r="P979" s="310">
        <f t="shared" ca="1" si="453"/>
        <v>23</v>
      </c>
      <c r="Q979" s="304">
        <f t="shared" ca="1" si="454"/>
        <v>0</v>
      </c>
      <c r="R979" s="306">
        <f t="shared" ca="1" si="455"/>
        <v>0</v>
      </c>
      <c r="S979" s="307">
        <f t="shared" ca="1" si="456"/>
        <v>9.137999999999975</v>
      </c>
      <c r="T979" s="304">
        <f t="shared" ca="1" si="436"/>
        <v>89.643779999999765</v>
      </c>
      <c r="U979" s="311">
        <f t="shared" ca="1" si="437"/>
        <v>0</v>
      </c>
      <c r="V979" s="306">
        <f t="shared" ca="1" si="438"/>
        <v>1.2265697515226097</v>
      </c>
      <c r="W979" s="304">
        <f t="shared" ca="1" si="439"/>
        <v>80.682250412792754</v>
      </c>
      <c r="Y979" s="314" t="str">
        <f t="shared" ca="1" si="457"/>
        <v/>
      </c>
      <c r="Z979" s="315" t="str">
        <f t="shared" ca="1" si="458"/>
        <v/>
      </c>
      <c r="AA979" s="316" t="str">
        <f t="shared" ca="1" si="459"/>
        <v/>
      </c>
      <c r="AC979" s="310" t="e">
        <f t="shared" ca="1" si="460"/>
        <v>#N/A</v>
      </c>
      <c r="AD979" s="323" t="e">
        <f t="shared" ca="1" si="461"/>
        <v>#N/A</v>
      </c>
      <c r="AE979" s="324" t="e">
        <f t="shared" ca="1" si="440"/>
        <v>#N/A</v>
      </c>
      <c r="AG979" s="306">
        <f t="shared" ca="1" si="462"/>
        <v>0.96928393085873665</v>
      </c>
      <c r="AH979" s="304">
        <f t="shared" ca="1" si="463"/>
        <v>-8.8292869487830501</v>
      </c>
    </row>
    <row r="980" spans="1:34" x14ac:dyDescent="0.2">
      <c r="A980" s="347">
        <f t="shared" ca="1" si="441"/>
        <v>1E-4</v>
      </c>
      <c r="B980" s="304">
        <f t="shared" ca="1" si="442"/>
        <v>49.503100000000472</v>
      </c>
      <c r="D980" s="306">
        <f t="shared" ca="1" si="443"/>
        <v>-0.42607349492974605</v>
      </c>
      <c r="E980" s="307">
        <f t="shared" ca="1" si="444"/>
        <v>-0.99097473286150795</v>
      </c>
      <c r="F980" s="304">
        <f t="shared" ca="1" si="445"/>
        <v>1.0786888078827856</v>
      </c>
      <c r="G980" s="306">
        <f t="shared" ca="1" si="446"/>
        <v>7.6118577355683312</v>
      </c>
      <c r="H980" s="307">
        <f t="shared" ca="1" si="447"/>
        <v>-157.55400060500838</v>
      </c>
      <c r="I980" s="304">
        <f t="shared" ca="1" si="448"/>
        <v>157.73776809892269</v>
      </c>
      <c r="J980" s="306">
        <f t="shared" ca="1" si="449"/>
        <v>848.56910463170368</v>
      </c>
      <c r="K980" s="307">
        <f t="shared" ca="1" si="450"/>
        <v>-12.821848484110959</v>
      </c>
      <c r="L980" s="304">
        <f t="shared" ca="1" si="435"/>
        <v>848.66596793673818</v>
      </c>
      <c r="M980" s="306">
        <f t="shared" ca="1" si="451"/>
        <v>-1.5225211724562002</v>
      </c>
      <c r="N980" s="304">
        <f t="shared" ca="1" si="452"/>
        <v>-87.234037401050031</v>
      </c>
      <c r="P980" s="310">
        <f t="shared" ca="1" si="453"/>
        <v>23</v>
      </c>
      <c r="Q980" s="304">
        <f t="shared" ca="1" si="454"/>
        <v>0</v>
      </c>
      <c r="R980" s="306">
        <f t="shared" ca="1" si="455"/>
        <v>0</v>
      </c>
      <c r="S980" s="307">
        <f t="shared" ca="1" si="456"/>
        <v>9.137999999999975</v>
      </c>
      <c r="T980" s="304">
        <f t="shared" ca="1" si="436"/>
        <v>89.643779999999765</v>
      </c>
      <c r="U980" s="311">
        <f t="shared" ca="1" si="437"/>
        <v>0</v>
      </c>
      <c r="V980" s="306">
        <f t="shared" ca="1" si="438"/>
        <v>1.2265716840340313</v>
      </c>
      <c r="W980" s="304">
        <f t="shared" ca="1" si="439"/>
        <v>80.682476685741321</v>
      </c>
      <c r="Y980" s="314" t="str">
        <f t="shared" ca="1" si="457"/>
        <v/>
      </c>
      <c r="Z980" s="315" t="str">
        <f t="shared" ca="1" si="458"/>
        <v/>
      </c>
      <c r="AA980" s="316" t="str">
        <f t="shared" ca="1" si="459"/>
        <v/>
      </c>
      <c r="AC980" s="310" t="e">
        <f t="shared" ca="1" si="460"/>
        <v>#N/A</v>
      </c>
      <c r="AD980" s="323" t="e">
        <f t="shared" ca="1" si="461"/>
        <v>#N/A</v>
      </c>
      <c r="AE980" s="324" t="e">
        <f t="shared" ca="1" si="440"/>
        <v>#N/A</v>
      </c>
      <c r="AG980" s="306">
        <f t="shared" ca="1" si="462"/>
        <v>0.96925931097262996</v>
      </c>
      <c r="AH980" s="304">
        <f t="shared" ca="1" si="463"/>
        <v>-8.8293117107455661</v>
      </c>
    </row>
    <row r="981" spans="1:34" x14ac:dyDescent="0.2">
      <c r="A981" s="347">
        <f t="shared" ca="1" si="441"/>
        <v>1E-4</v>
      </c>
      <c r="B981" s="304">
        <f t="shared" ca="1" si="442"/>
        <v>49.503200000000476</v>
      </c>
      <c r="D981" s="306">
        <f t="shared" ca="1" si="443"/>
        <v>-0.42607204310141544</v>
      </c>
      <c r="E981" s="307">
        <f t="shared" ca="1" si="444"/>
        <v>-0.99094987207937812</v>
      </c>
      <c r="F981" s="304">
        <f t="shared" ca="1" si="445"/>
        <v>1.0786653952392977</v>
      </c>
      <c r="G981" s="306">
        <f t="shared" ca="1" si="446"/>
        <v>7.6118151283640207</v>
      </c>
      <c r="H981" s="307">
        <f t="shared" ca="1" si="447"/>
        <v>-157.55409969999559</v>
      </c>
      <c r="I981" s="304">
        <f t="shared" ca="1" si="448"/>
        <v>157.73786502239892</v>
      </c>
      <c r="J981" s="306">
        <f t="shared" ca="1" si="449"/>
        <v>848.56910463170368</v>
      </c>
      <c r="K981" s="307">
        <f t="shared" ca="1" si="450"/>
        <v>-12.837603889126209</v>
      </c>
      <c r="L981" s="304">
        <f t="shared" ca="1" si="435"/>
        <v>848.66620611938197</v>
      </c>
      <c r="M981" s="306">
        <f t="shared" ca="1" si="451"/>
        <v>-1.52252147257142</v>
      </c>
      <c r="N981" s="304">
        <f t="shared" ca="1" si="452"/>
        <v>-87.234054596385491</v>
      </c>
      <c r="P981" s="310">
        <f t="shared" ca="1" si="453"/>
        <v>23</v>
      </c>
      <c r="Q981" s="304">
        <f t="shared" ca="1" si="454"/>
        <v>0</v>
      </c>
      <c r="R981" s="306">
        <f t="shared" ca="1" si="455"/>
        <v>0</v>
      </c>
      <c r="S981" s="307">
        <f t="shared" ca="1" si="456"/>
        <v>9.137999999999975</v>
      </c>
      <c r="T981" s="304">
        <f t="shared" ca="1" si="436"/>
        <v>89.643779999999765</v>
      </c>
      <c r="U981" s="311">
        <f t="shared" ca="1" si="437"/>
        <v>0</v>
      </c>
      <c r="V981" s="306">
        <f t="shared" ca="1" si="438"/>
        <v>1.226573616549715</v>
      </c>
      <c r="W981" s="304">
        <f t="shared" ca="1" si="439"/>
        <v>80.68270295682504</v>
      </c>
      <c r="Y981" s="314" t="str">
        <f t="shared" ca="1" si="457"/>
        <v/>
      </c>
      <c r="Z981" s="315" t="str">
        <f t="shared" ca="1" si="458"/>
        <v/>
      </c>
      <c r="AA981" s="316" t="str">
        <f t="shared" ca="1" si="459"/>
        <v/>
      </c>
      <c r="AC981" s="310" t="e">
        <f t="shared" ca="1" si="460"/>
        <v>#N/A</v>
      </c>
      <c r="AD981" s="323" t="e">
        <f t="shared" ca="1" si="461"/>
        <v>#N/A</v>
      </c>
      <c r="AE981" s="324" t="e">
        <f t="shared" ca="1" si="440"/>
        <v>#N/A</v>
      </c>
      <c r="AG981" s="306">
        <f t="shared" ca="1" si="462"/>
        <v>0.96923469128875439</v>
      </c>
      <c r="AH981" s="304">
        <f t="shared" ca="1" si="463"/>
        <v>-8.8293364725039982</v>
      </c>
    </row>
    <row r="982" spans="1:34" x14ac:dyDescent="0.2">
      <c r="A982" s="347">
        <f t="shared" ca="1" si="441"/>
        <v>1E-4</v>
      </c>
      <c r="B982" s="304">
        <f t="shared" ca="1" si="442"/>
        <v>49.503300000000479</v>
      </c>
      <c r="D982" s="306">
        <f t="shared" ca="1" si="443"/>
        <v>-0.42607059126641961</v>
      </c>
      <c r="E982" s="307">
        <f t="shared" ca="1" si="444"/>
        <v>-0.99092501150203383</v>
      </c>
      <c r="F982" s="304">
        <f t="shared" ca="1" si="445"/>
        <v>1.0786419828480729</v>
      </c>
      <c r="G982" s="306">
        <f t="shared" ca="1" si="446"/>
        <v>7.6117725213048937</v>
      </c>
      <c r="H982" s="307">
        <f t="shared" ca="1" si="447"/>
        <v>-157.55419879249675</v>
      </c>
      <c r="I982" s="304">
        <f t="shared" ca="1" si="448"/>
        <v>157.73796194341321</v>
      </c>
      <c r="J982" s="306">
        <f t="shared" ca="1" si="449"/>
        <v>848.56910463170368</v>
      </c>
      <c r="K982" s="307">
        <f t="shared" ca="1" si="450"/>
        <v>-12.853359304050834</v>
      </c>
      <c r="L982" s="304">
        <f t="shared" ca="1" si="435"/>
        <v>848.66644459460656</v>
      </c>
      <c r="M982" s="306">
        <f t="shared" ca="1" si="451"/>
        <v>-1.522521772684591</v>
      </c>
      <c r="N982" s="304">
        <f t="shared" ca="1" si="452"/>
        <v>-87.234071791603569</v>
      </c>
      <c r="P982" s="310">
        <f t="shared" ca="1" si="453"/>
        <v>23</v>
      </c>
      <c r="Q982" s="304">
        <f t="shared" ca="1" si="454"/>
        <v>0</v>
      </c>
      <c r="R982" s="306">
        <f t="shared" ca="1" si="455"/>
        <v>0</v>
      </c>
      <c r="S982" s="307">
        <f t="shared" ca="1" si="456"/>
        <v>9.137999999999975</v>
      </c>
      <c r="T982" s="304">
        <f t="shared" ca="1" si="436"/>
        <v>89.643779999999765</v>
      </c>
      <c r="U982" s="311">
        <f t="shared" ca="1" si="437"/>
        <v>0</v>
      </c>
      <c r="V982" s="306">
        <f t="shared" ca="1" si="438"/>
        <v>1.226575549069661</v>
      </c>
      <c r="W982" s="304">
        <f t="shared" ca="1" si="439"/>
        <v>80.682929226043939</v>
      </c>
      <c r="Y982" s="314" t="str">
        <f t="shared" ca="1" si="457"/>
        <v/>
      </c>
      <c r="Z982" s="315" t="str">
        <f t="shared" ca="1" si="458"/>
        <v/>
      </c>
      <c r="AA982" s="316" t="str">
        <f t="shared" ca="1" si="459"/>
        <v/>
      </c>
      <c r="AC982" s="310" t="e">
        <f t="shared" ca="1" si="460"/>
        <v>#N/A</v>
      </c>
      <c r="AD982" s="323" t="e">
        <f t="shared" ca="1" si="461"/>
        <v>#N/A</v>
      </c>
      <c r="AE982" s="324" t="e">
        <f t="shared" ca="1" si="440"/>
        <v>#N/A</v>
      </c>
      <c r="AG982" s="306">
        <f t="shared" ca="1" si="462"/>
        <v>0.96921007180710106</v>
      </c>
      <c r="AH982" s="304">
        <f t="shared" ca="1" si="463"/>
        <v>-8.8293612340583572</v>
      </c>
    </row>
    <row r="983" spans="1:34" x14ac:dyDescent="0.2">
      <c r="A983" s="347">
        <f t="shared" ca="1" si="441"/>
        <v>1E-4</v>
      </c>
      <c r="B983" s="304">
        <f t="shared" ca="1" si="442"/>
        <v>49.503400000000482</v>
      </c>
      <c r="D983" s="306">
        <f t="shared" ca="1" si="443"/>
        <v>-0.42606913942476099</v>
      </c>
      <c r="E983" s="307">
        <f t="shared" ca="1" si="444"/>
        <v>-0.9909001511294786</v>
      </c>
      <c r="F983" s="304">
        <f t="shared" ca="1" si="445"/>
        <v>1.0786185707091176</v>
      </c>
      <c r="G983" s="306">
        <f t="shared" ca="1" si="446"/>
        <v>7.6117299143909509</v>
      </c>
      <c r="H983" s="307">
        <f t="shared" ca="1" si="447"/>
        <v>-157.55429788251186</v>
      </c>
      <c r="I983" s="304">
        <f t="shared" ca="1" si="448"/>
        <v>157.73805886196556</v>
      </c>
      <c r="J983" s="306">
        <f t="shared" ca="1" si="449"/>
        <v>848.56910463170368</v>
      </c>
      <c r="K983" s="307">
        <f t="shared" ca="1" si="450"/>
        <v>-12.869114728884584</v>
      </c>
      <c r="L983" s="304">
        <f t="shared" ca="1" si="435"/>
        <v>848.66668336241196</v>
      </c>
      <c r="M983" s="306">
        <f t="shared" ca="1" si="451"/>
        <v>-1.5225220727957134</v>
      </c>
      <c r="N983" s="304">
        <f t="shared" ca="1" si="452"/>
        <v>-87.234088986704265</v>
      </c>
      <c r="P983" s="310">
        <f t="shared" ca="1" si="453"/>
        <v>23</v>
      </c>
      <c r="Q983" s="304">
        <f t="shared" ca="1" si="454"/>
        <v>0</v>
      </c>
      <c r="R983" s="306">
        <f t="shared" ca="1" si="455"/>
        <v>0</v>
      </c>
      <c r="S983" s="307">
        <f t="shared" ca="1" si="456"/>
        <v>9.137999999999975</v>
      </c>
      <c r="T983" s="304">
        <f t="shared" ca="1" si="436"/>
        <v>89.643779999999765</v>
      </c>
      <c r="U983" s="311">
        <f t="shared" ca="1" si="437"/>
        <v>0</v>
      </c>
      <c r="V983" s="306">
        <f t="shared" ca="1" si="438"/>
        <v>1.2265774815938693</v>
      </c>
      <c r="W983" s="304">
        <f t="shared" ca="1" si="439"/>
        <v>80.683155493397976</v>
      </c>
      <c r="Y983" s="314" t="str">
        <f t="shared" ca="1" si="457"/>
        <v/>
      </c>
      <c r="Z983" s="315" t="str">
        <f t="shared" ca="1" si="458"/>
        <v/>
      </c>
      <c r="AA983" s="316" t="str">
        <f t="shared" ca="1" si="459"/>
        <v/>
      </c>
      <c r="AC983" s="310" t="e">
        <f t="shared" ca="1" si="460"/>
        <v>#N/A</v>
      </c>
      <c r="AD983" s="323" t="e">
        <f t="shared" ca="1" si="461"/>
        <v>#N/A</v>
      </c>
      <c r="AE983" s="324" t="e">
        <f t="shared" ca="1" si="440"/>
        <v>#N/A</v>
      </c>
      <c r="AG983" s="306">
        <f t="shared" ca="1" si="462"/>
        <v>0.96918545252766997</v>
      </c>
      <c r="AH983" s="304">
        <f t="shared" ca="1" si="463"/>
        <v>-8.8293859954086411</v>
      </c>
    </row>
    <row r="984" spans="1:34" x14ac:dyDescent="0.2">
      <c r="A984" s="347">
        <f t="shared" ca="1" si="441"/>
        <v>1E-4</v>
      </c>
      <c r="B984" s="304">
        <f t="shared" ca="1" si="442"/>
        <v>49.503500000000486</v>
      </c>
      <c r="D984" s="306">
        <f t="shared" ca="1" si="443"/>
        <v>-0.42606768757643776</v>
      </c>
      <c r="E984" s="307">
        <f t="shared" ca="1" si="444"/>
        <v>-0.9908752909617089</v>
      </c>
      <c r="F984" s="304">
        <f t="shared" ca="1" si="445"/>
        <v>1.0785951588224305</v>
      </c>
      <c r="G984" s="306">
        <f t="shared" ca="1" si="446"/>
        <v>7.6116873076221934</v>
      </c>
      <c r="H984" s="307">
        <f t="shared" ca="1" si="447"/>
        <v>-157.55439697004095</v>
      </c>
      <c r="I984" s="304">
        <f t="shared" ca="1" si="448"/>
        <v>157.73815577805601</v>
      </c>
      <c r="J984" s="306">
        <f t="shared" ca="1" si="449"/>
        <v>848.56910463170368</v>
      </c>
      <c r="K984" s="307">
        <f t="shared" ca="1" si="450"/>
        <v>-12.884870163627212</v>
      </c>
      <c r="L984" s="304">
        <f t="shared" ca="1" si="435"/>
        <v>848.66692242279885</v>
      </c>
      <c r="M984" s="306">
        <f t="shared" ca="1" si="451"/>
        <v>-1.522522372904787</v>
      </c>
      <c r="N984" s="304">
        <f t="shared" ca="1" si="452"/>
        <v>-87.234106181687579</v>
      </c>
      <c r="P984" s="310">
        <f t="shared" ca="1" si="453"/>
        <v>23</v>
      </c>
      <c r="Q984" s="304">
        <f t="shared" ca="1" si="454"/>
        <v>0</v>
      </c>
      <c r="R984" s="306">
        <f t="shared" ca="1" si="455"/>
        <v>0</v>
      </c>
      <c r="S984" s="307">
        <f t="shared" ca="1" si="456"/>
        <v>9.137999999999975</v>
      </c>
      <c r="T984" s="304">
        <f t="shared" ca="1" si="436"/>
        <v>89.643779999999765</v>
      </c>
      <c r="U984" s="311">
        <f t="shared" ca="1" si="437"/>
        <v>0</v>
      </c>
      <c r="V984" s="306">
        <f t="shared" ca="1" si="438"/>
        <v>1.2265794141223396</v>
      </c>
      <c r="W984" s="304">
        <f t="shared" ca="1" si="439"/>
        <v>80.683381758887194</v>
      </c>
      <c r="Y984" s="314" t="str">
        <f t="shared" ca="1" si="457"/>
        <v/>
      </c>
      <c r="Z984" s="315" t="str">
        <f t="shared" ca="1" si="458"/>
        <v/>
      </c>
      <c r="AA984" s="316" t="str">
        <f t="shared" ca="1" si="459"/>
        <v/>
      </c>
      <c r="AC984" s="310" t="e">
        <f t="shared" ca="1" si="460"/>
        <v>#N/A</v>
      </c>
      <c r="AD984" s="323" t="e">
        <f t="shared" ca="1" si="461"/>
        <v>#N/A</v>
      </c>
      <c r="AE984" s="324" t="e">
        <f t="shared" ca="1" si="440"/>
        <v>#N/A</v>
      </c>
      <c r="AG984" s="306">
        <f t="shared" ca="1" si="462"/>
        <v>0.96916083345046466</v>
      </c>
      <c r="AH984" s="304">
        <f t="shared" ca="1" si="463"/>
        <v>-8.8294107565548483</v>
      </c>
    </row>
    <row r="985" spans="1:34" x14ac:dyDescent="0.2">
      <c r="A985" s="347">
        <f t="shared" ca="1" si="441"/>
        <v>1E-4</v>
      </c>
      <c r="B985" s="304">
        <f t="shared" ca="1" si="442"/>
        <v>49.503600000000489</v>
      </c>
      <c r="D985" s="306">
        <f t="shared" ca="1" si="443"/>
        <v>-0.42606623572145225</v>
      </c>
      <c r="E985" s="307">
        <f t="shared" ca="1" si="444"/>
        <v>-0.99085043099872827</v>
      </c>
      <c r="F985" s="304">
        <f t="shared" ca="1" si="445"/>
        <v>1.0785717471880181</v>
      </c>
      <c r="G985" s="306">
        <f t="shared" ca="1" si="446"/>
        <v>7.611644700998621</v>
      </c>
      <c r="H985" s="307">
        <f t="shared" ca="1" si="447"/>
        <v>-157.55449605508406</v>
      </c>
      <c r="I985" s="304">
        <f t="shared" ca="1" si="448"/>
        <v>157.73825269168458</v>
      </c>
      <c r="J985" s="306">
        <f t="shared" ca="1" si="449"/>
        <v>848.56910463170368</v>
      </c>
      <c r="K985" s="307">
        <f t="shared" ca="1" si="450"/>
        <v>-12.900625608278469</v>
      </c>
      <c r="L985" s="304">
        <f t="shared" ca="1" si="435"/>
        <v>848.66716177576723</v>
      </c>
      <c r="M985" s="306">
        <f t="shared" ca="1" si="451"/>
        <v>-1.522522673011812</v>
      </c>
      <c r="N985" s="304">
        <f t="shared" ca="1" si="452"/>
        <v>-87.234123376553512</v>
      </c>
      <c r="P985" s="310">
        <f t="shared" ca="1" si="453"/>
        <v>23</v>
      </c>
      <c r="Q985" s="304">
        <f t="shared" ca="1" si="454"/>
        <v>0</v>
      </c>
      <c r="R985" s="306">
        <f t="shared" ca="1" si="455"/>
        <v>0</v>
      </c>
      <c r="S985" s="307">
        <f t="shared" ca="1" si="456"/>
        <v>9.137999999999975</v>
      </c>
      <c r="T985" s="304">
        <f t="shared" ca="1" si="436"/>
        <v>89.643779999999765</v>
      </c>
      <c r="U985" s="311">
        <f t="shared" ca="1" si="437"/>
        <v>0</v>
      </c>
      <c r="V985" s="306">
        <f t="shared" ca="1" si="438"/>
        <v>1.2265813466550721</v>
      </c>
      <c r="W985" s="304">
        <f t="shared" ca="1" si="439"/>
        <v>80.683608022511578</v>
      </c>
      <c r="Y985" s="314" t="str">
        <f t="shared" ca="1" si="457"/>
        <v/>
      </c>
      <c r="Z985" s="315" t="str">
        <f t="shared" ca="1" si="458"/>
        <v/>
      </c>
      <c r="AA985" s="316" t="str">
        <f t="shared" ca="1" si="459"/>
        <v/>
      </c>
      <c r="AC985" s="310" t="e">
        <f t="shared" ca="1" si="460"/>
        <v>#N/A</v>
      </c>
      <c r="AD985" s="323" t="e">
        <f t="shared" ca="1" si="461"/>
        <v>#N/A</v>
      </c>
      <c r="AE985" s="324" t="e">
        <f t="shared" ca="1" si="440"/>
        <v>#N/A</v>
      </c>
      <c r="AG985" s="306">
        <f t="shared" ca="1" si="462"/>
        <v>0.96913621457547983</v>
      </c>
      <c r="AH985" s="304">
        <f t="shared" ca="1" si="463"/>
        <v>-8.8294355174969805</v>
      </c>
    </row>
    <row r="986" spans="1:34" x14ac:dyDescent="0.2">
      <c r="A986" s="347">
        <f t="shared" ca="1" si="441"/>
        <v>1E-4</v>
      </c>
      <c r="B986" s="304">
        <f t="shared" ca="1" si="442"/>
        <v>49.503700000000492</v>
      </c>
      <c r="D986" s="306">
        <f t="shared" ca="1" si="443"/>
        <v>-0.42606478385980312</v>
      </c>
      <c r="E986" s="307">
        <f t="shared" ca="1" si="444"/>
        <v>-0.99082557124053316</v>
      </c>
      <c r="F986" s="304">
        <f t="shared" ca="1" si="445"/>
        <v>1.0785483358058783</v>
      </c>
      <c r="G986" s="306">
        <f t="shared" ca="1" si="446"/>
        <v>7.6116020945202347</v>
      </c>
      <c r="H986" s="307">
        <f t="shared" ca="1" si="447"/>
        <v>-157.55459513764117</v>
      </c>
      <c r="I986" s="304">
        <f t="shared" ca="1" si="448"/>
        <v>157.73834960285126</v>
      </c>
      <c r="J986" s="306">
        <f t="shared" ca="1" si="449"/>
        <v>848.56910463170368</v>
      </c>
      <c r="K986" s="307">
        <f t="shared" ca="1" si="450"/>
        <v>-12.916381062838106</v>
      </c>
      <c r="L986" s="304">
        <f t="shared" ca="1" si="435"/>
        <v>848.66740142131755</v>
      </c>
      <c r="M986" s="306">
        <f t="shared" ca="1" si="451"/>
        <v>-1.5225229731167884</v>
      </c>
      <c r="N986" s="304">
        <f t="shared" ca="1" si="452"/>
        <v>-87.234140571302078</v>
      </c>
      <c r="P986" s="310">
        <f t="shared" ca="1" si="453"/>
        <v>23</v>
      </c>
      <c r="Q986" s="304">
        <f t="shared" ca="1" si="454"/>
        <v>0</v>
      </c>
      <c r="R986" s="306">
        <f t="shared" ca="1" si="455"/>
        <v>0</v>
      </c>
      <c r="S986" s="307">
        <f t="shared" ca="1" si="456"/>
        <v>9.137999999999975</v>
      </c>
      <c r="T986" s="304">
        <f t="shared" ca="1" si="436"/>
        <v>89.643779999999765</v>
      </c>
      <c r="U986" s="311">
        <f t="shared" ca="1" si="437"/>
        <v>0</v>
      </c>
      <c r="V986" s="306">
        <f t="shared" ca="1" si="438"/>
        <v>1.2265832791920663</v>
      </c>
      <c r="W986" s="304">
        <f t="shared" ca="1" si="439"/>
        <v>80.683834284271072</v>
      </c>
      <c r="Y986" s="314" t="str">
        <f t="shared" ca="1" si="457"/>
        <v/>
      </c>
      <c r="Z986" s="315" t="str">
        <f t="shared" ca="1" si="458"/>
        <v/>
      </c>
      <c r="AA986" s="316" t="str">
        <f t="shared" ca="1" si="459"/>
        <v/>
      </c>
      <c r="AC986" s="310" t="e">
        <f t="shared" ca="1" si="460"/>
        <v>#N/A</v>
      </c>
      <c r="AD986" s="323" t="e">
        <f t="shared" ca="1" si="461"/>
        <v>#N/A</v>
      </c>
      <c r="AE986" s="324" t="e">
        <f t="shared" ca="1" si="440"/>
        <v>#N/A</v>
      </c>
      <c r="AG986" s="306">
        <f t="shared" ca="1" si="462"/>
        <v>0.96911159590271723</v>
      </c>
      <c r="AH986" s="304">
        <f t="shared" ca="1" si="463"/>
        <v>-8.8294602782350395</v>
      </c>
    </row>
    <row r="987" spans="1:34" x14ac:dyDescent="0.2">
      <c r="A987" s="347">
        <f t="shared" ca="1" si="441"/>
        <v>1E-4</v>
      </c>
      <c r="B987" s="304">
        <f t="shared" ca="1" si="442"/>
        <v>49.503800000000496</v>
      </c>
      <c r="D987" s="306">
        <f t="shared" ca="1" si="443"/>
        <v>-0.42606333199149016</v>
      </c>
      <c r="E987" s="307">
        <f t="shared" ca="1" si="444"/>
        <v>-0.99080071168712891</v>
      </c>
      <c r="F987" s="304">
        <f t="shared" ca="1" si="445"/>
        <v>1.0785249246760187</v>
      </c>
      <c r="G987" s="306">
        <f t="shared" ca="1" si="446"/>
        <v>7.6115594881870354</v>
      </c>
      <c r="H987" s="307">
        <f t="shared" ca="1" si="447"/>
        <v>-157.55469421771235</v>
      </c>
      <c r="I987" s="304">
        <f t="shared" ca="1" si="448"/>
        <v>157.73844651155613</v>
      </c>
      <c r="J987" s="306">
        <f t="shared" ca="1" si="449"/>
        <v>848.56910463170368</v>
      </c>
      <c r="K987" s="307">
        <f t="shared" ca="1" si="450"/>
        <v>-12.932136527305873</v>
      </c>
      <c r="L987" s="304">
        <f t="shared" ca="1" si="435"/>
        <v>848.66764135945004</v>
      </c>
      <c r="M987" s="306">
        <f t="shared" ca="1" si="451"/>
        <v>-1.5225232732197163</v>
      </c>
      <c r="N987" s="304">
        <f t="shared" ca="1" si="452"/>
        <v>-87.234157765933261</v>
      </c>
      <c r="P987" s="310">
        <f t="shared" ca="1" si="453"/>
        <v>23</v>
      </c>
      <c r="Q987" s="304">
        <f t="shared" ca="1" si="454"/>
        <v>0</v>
      </c>
      <c r="R987" s="306">
        <f t="shared" ca="1" si="455"/>
        <v>0</v>
      </c>
      <c r="S987" s="307">
        <f t="shared" ca="1" si="456"/>
        <v>9.137999999999975</v>
      </c>
      <c r="T987" s="304">
        <f t="shared" ca="1" si="436"/>
        <v>89.643779999999765</v>
      </c>
      <c r="U987" s="311">
        <f t="shared" ca="1" si="437"/>
        <v>0</v>
      </c>
      <c r="V987" s="306">
        <f t="shared" ca="1" si="438"/>
        <v>1.2265852117333231</v>
      </c>
      <c r="W987" s="304">
        <f t="shared" ca="1" si="439"/>
        <v>80.684060544165831</v>
      </c>
      <c r="Y987" s="314" t="str">
        <f t="shared" ca="1" si="457"/>
        <v/>
      </c>
      <c r="Z987" s="315" t="str">
        <f t="shared" ca="1" si="458"/>
        <v/>
      </c>
      <c r="AA987" s="316" t="str">
        <f t="shared" ca="1" si="459"/>
        <v/>
      </c>
      <c r="AC987" s="310" t="e">
        <f t="shared" ca="1" si="460"/>
        <v>#N/A</v>
      </c>
      <c r="AD987" s="323" t="e">
        <f t="shared" ca="1" si="461"/>
        <v>#N/A</v>
      </c>
      <c r="AE987" s="324" t="e">
        <f t="shared" ca="1" si="440"/>
        <v>#N/A</v>
      </c>
      <c r="AG987" s="306">
        <f t="shared" ca="1" si="462"/>
        <v>0.9690869774321822</v>
      </c>
      <c r="AH987" s="304">
        <f t="shared" ca="1" si="463"/>
        <v>-8.8294850387690182</v>
      </c>
    </row>
    <row r="988" spans="1:34" x14ac:dyDescent="0.2">
      <c r="A988" s="347">
        <f t="shared" ca="1" si="441"/>
        <v>1E-4</v>
      </c>
      <c r="B988" s="304">
        <f t="shared" ca="1" si="442"/>
        <v>49.503900000000499</v>
      </c>
      <c r="D988" s="306">
        <f t="shared" ca="1" si="443"/>
        <v>-0.42606188011651452</v>
      </c>
      <c r="E988" s="307">
        <f t="shared" ca="1" si="444"/>
        <v>-0.99077585233850485</v>
      </c>
      <c r="F988" s="304">
        <f t="shared" ca="1" si="445"/>
        <v>1.0785015137984324</v>
      </c>
      <c r="G988" s="306">
        <f t="shared" ca="1" si="446"/>
        <v>7.611516881999024</v>
      </c>
      <c r="H988" s="307">
        <f t="shared" ca="1" si="447"/>
        <v>-157.5547932952976</v>
      </c>
      <c r="I988" s="304">
        <f t="shared" ca="1" si="448"/>
        <v>157.73854341779915</v>
      </c>
      <c r="J988" s="306">
        <f t="shared" ca="1" si="449"/>
        <v>848.56910463170368</v>
      </c>
      <c r="K988" s="307">
        <f t="shared" ca="1" si="450"/>
        <v>-12.947892001681524</v>
      </c>
      <c r="L988" s="304">
        <f t="shared" ca="1" si="435"/>
        <v>848.66788159016505</v>
      </c>
      <c r="M988" s="306">
        <f t="shared" ca="1" si="451"/>
        <v>-1.5225235733205955</v>
      </c>
      <c r="N988" s="304">
        <f t="shared" ca="1" si="452"/>
        <v>-87.234174960447064</v>
      </c>
      <c r="P988" s="310">
        <f t="shared" ca="1" si="453"/>
        <v>23</v>
      </c>
      <c r="Q988" s="304">
        <f t="shared" ca="1" si="454"/>
        <v>0</v>
      </c>
      <c r="R988" s="306">
        <f t="shared" ca="1" si="455"/>
        <v>0</v>
      </c>
      <c r="S988" s="307">
        <f t="shared" ca="1" si="456"/>
        <v>9.137999999999975</v>
      </c>
      <c r="T988" s="304">
        <f t="shared" ca="1" si="436"/>
        <v>89.643779999999765</v>
      </c>
      <c r="U988" s="311">
        <f t="shared" ca="1" si="437"/>
        <v>0</v>
      </c>
      <c r="V988" s="306">
        <f t="shared" ca="1" si="438"/>
        <v>1.2265871442788416</v>
      </c>
      <c r="W988" s="304">
        <f t="shared" ca="1" si="439"/>
        <v>80.684286802195714</v>
      </c>
      <c r="Y988" s="314" t="str">
        <f t="shared" ca="1" si="457"/>
        <v/>
      </c>
      <c r="Z988" s="315" t="str">
        <f t="shared" ca="1" si="458"/>
        <v/>
      </c>
      <c r="AA988" s="316" t="str">
        <f t="shared" ca="1" si="459"/>
        <v/>
      </c>
      <c r="AC988" s="310" t="e">
        <f t="shared" ca="1" si="460"/>
        <v>#N/A</v>
      </c>
      <c r="AD988" s="323" t="e">
        <f t="shared" ca="1" si="461"/>
        <v>#N/A</v>
      </c>
      <c r="AE988" s="324" t="e">
        <f t="shared" ca="1" si="440"/>
        <v>#N/A</v>
      </c>
      <c r="AG988" s="306">
        <f t="shared" ca="1" si="462"/>
        <v>0.96906235916385874</v>
      </c>
      <c r="AH988" s="304">
        <f t="shared" ca="1" si="463"/>
        <v>-8.8295097990989326</v>
      </c>
    </row>
    <row r="989" spans="1:34" x14ac:dyDescent="0.2">
      <c r="A989" s="347">
        <f t="shared" ca="1" si="441"/>
        <v>1E-4</v>
      </c>
      <c r="B989" s="304">
        <f t="shared" ca="1" si="442"/>
        <v>49.504000000000502</v>
      </c>
      <c r="D989" s="306">
        <f t="shared" ca="1" si="443"/>
        <v>-0.426060428234876</v>
      </c>
      <c r="E989" s="307">
        <f t="shared" ca="1" si="444"/>
        <v>-0.99075099319466808</v>
      </c>
      <c r="F989" s="304">
        <f t="shared" ca="1" si="445"/>
        <v>1.0784781031731276</v>
      </c>
      <c r="G989" s="306">
        <f t="shared" ca="1" si="446"/>
        <v>7.6114742759562004</v>
      </c>
      <c r="H989" s="307">
        <f t="shared" ca="1" si="447"/>
        <v>-157.55489237039691</v>
      </c>
      <c r="I989" s="304">
        <f t="shared" ca="1" si="448"/>
        <v>157.73864032158036</v>
      </c>
      <c r="J989" s="306">
        <f t="shared" ca="1" si="449"/>
        <v>848.56910463170368</v>
      </c>
      <c r="K989" s="307">
        <f t="shared" ca="1" si="450"/>
        <v>-12.963647485964808</v>
      </c>
      <c r="L989" s="304">
        <f t="shared" ca="1" si="435"/>
        <v>848.66812211346291</v>
      </c>
      <c r="M989" s="306">
        <f t="shared" ca="1" si="451"/>
        <v>-1.5225238734194262</v>
      </c>
      <c r="N989" s="304">
        <f t="shared" ca="1" si="452"/>
        <v>-87.234192154843498</v>
      </c>
      <c r="P989" s="310">
        <f t="shared" ca="1" si="453"/>
        <v>23</v>
      </c>
      <c r="Q989" s="304">
        <f t="shared" ca="1" si="454"/>
        <v>0</v>
      </c>
      <c r="R989" s="306">
        <f t="shared" ca="1" si="455"/>
        <v>0</v>
      </c>
      <c r="S989" s="307">
        <f t="shared" ca="1" si="456"/>
        <v>9.137999999999975</v>
      </c>
      <c r="T989" s="304">
        <f t="shared" ca="1" si="436"/>
        <v>89.643779999999765</v>
      </c>
      <c r="U989" s="311">
        <f t="shared" ca="1" si="437"/>
        <v>0</v>
      </c>
      <c r="V989" s="306">
        <f t="shared" ca="1" si="438"/>
        <v>1.2265890768286225</v>
      </c>
      <c r="W989" s="304">
        <f t="shared" ca="1" si="439"/>
        <v>80.684513058360793</v>
      </c>
      <c r="Y989" s="314" t="str">
        <f t="shared" ca="1" si="457"/>
        <v/>
      </c>
      <c r="Z989" s="315" t="str">
        <f t="shared" ca="1" si="458"/>
        <v/>
      </c>
      <c r="AA989" s="316" t="str">
        <f t="shared" ca="1" si="459"/>
        <v/>
      </c>
      <c r="AC989" s="310" t="e">
        <f t="shared" ca="1" si="460"/>
        <v>#N/A</v>
      </c>
      <c r="AD989" s="323" t="e">
        <f t="shared" ca="1" si="461"/>
        <v>#N/A</v>
      </c>
      <c r="AE989" s="324" t="e">
        <f t="shared" ca="1" si="440"/>
        <v>#N/A</v>
      </c>
      <c r="AG989" s="306">
        <f t="shared" ca="1" si="462"/>
        <v>0.96903774109776286</v>
      </c>
      <c r="AH989" s="304">
        <f t="shared" ca="1" si="463"/>
        <v>-8.8295345592247685</v>
      </c>
    </row>
    <row r="990" spans="1:34" x14ac:dyDescent="0.2">
      <c r="A990" s="347">
        <f t="shared" ca="1" si="441"/>
        <v>1E-4</v>
      </c>
      <c r="B990" s="304">
        <f t="shared" ca="1" si="442"/>
        <v>49.504100000000506</v>
      </c>
      <c r="D990" s="306">
        <f t="shared" ca="1" si="443"/>
        <v>-0.42605897634657502</v>
      </c>
      <c r="E990" s="307">
        <f t="shared" ca="1" si="444"/>
        <v>-0.99072613425561684</v>
      </c>
      <c r="F990" s="304">
        <f t="shared" ca="1" si="445"/>
        <v>1.0784546928001055</v>
      </c>
      <c r="G990" s="306">
        <f t="shared" ca="1" si="446"/>
        <v>7.6114316700585656</v>
      </c>
      <c r="H990" s="307">
        <f t="shared" ca="1" si="447"/>
        <v>-157.55499144301035</v>
      </c>
      <c r="I990" s="304">
        <f t="shared" ca="1" si="448"/>
        <v>157.7387372228998</v>
      </c>
      <c r="J990" s="306">
        <f t="shared" ca="1" si="449"/>
        <v>848.56910463170368</v>
      </c>
      <c r="K990" s="307">
        <f t="shared" ca="1" si="450"/>
        <v>-12.979402980155479</v>
      </c>
      <c r="L990" s="304">
        <f t="shared" ca="1" si="435"/>
        <v>848.66836292934386</v>
      </c>
      <c r="M990" s="306">
        <f t="shared" ca="1" si="451"/>
        <v>-1.5225241735162083</v>
      </c>
      <c r="N990" s="304">
        <f t="shared" ca="1" si="452"/>
        <v>-87.234209349122565</v>
      </c>
      <c r="P990" s="310">
        <f t="shared" ca="1" si="453"/>
        <v>23</v>
      </c>
      <c r="Q990" s="304">
        <f t="shared" ca="1" si="454"/>
        <v>0</v>
      </c>
      <c r="R990" s="306">
        <f t="shared" ca="1" si="455"/>
        <v>0</v>
      </c>
      <c r="S990" s="307">
        <f t="shared" ca="1" si="456"/>
        <v>9.137999999999975</v>
      </c>
      <c r="T990" s="304">
        <f t="shared" ca="1" si="436"/>
        <v>89.643779999999765</v>
      </c>
      <c r="U990" s="311">
        <f t="shared" ca="1" si="437"/>
        <v>0</v>
      </c>
      <c r="V990" s="306">
        <f t="shared" ca="1" si="438"/>
        <v>1.2265910093826653</v>
      </c>
      <c r="W990" s="304">
        <f t="shared" ca="1" si="439"/>
        <v>80.684739312661051</v>
      </c>
      <c r="Y990" s="314" t="str">
        <f t="shared" ca="1" si="457"/>
        <v/>
      </c>
      <c r="Z990" s="315" t="str">
        <f t="shared" ca="1" si="458"/>
        <v/>
      </c>
      <c r="AA990" s="316" t="str">
        <f t="shared" ca="1" si="459"/>
        <v/>
      </c>
      <c r="AC990" s="310" t="e">
        <f t="shared" ca="1" si="460"/>
        <v>#N/A</v>
      </c>
      <c r="AD990" s="323" t="e">
        <f t="shared" ca="1" si="461"/>
        <v>#N/A</v>
      </c>
      <c r="AE990" s="324" t="e">
        <f t="shared" ca="1" si="440"/>
        <v>#N/A</v>
      </c>
      <c r="AG990" s="306">
        <f t="shared" ca="1" si="462"/>
        <v>0.96901312323388389</v>
      </c>
      <c r="AH990" s="304">
        <f t="shared" ca="1" si="463"/>
        <v>-8.8295593191465329</v>
      </c>
    </row>
    <row r="991" spans="1:34" x14ac:dyDescent="0.2">
      <c r="A991" s="347">
        <f t="shared" ca="1" si="441"/>
        <v>1E-4</v>
      </c>
      <c r="B991" s="304">
        <f t="shared" ca="1" si="442"/>
        <v>49.504200000000509</v>
      </c>
      <c r="D991" s="306">
        <f t="shared" ca="1" si="443"/>
        <v>-0.42605752445161205</v>
      </c>
      <c r="E991" s="307">
        <f t="shared" ca="1" si="444"/>
        <v>-0.99070127552135112</v>
      </c>
      <c r="F991" s="304">
        <f t="shared" ca="1" si="445"/>
        <v>1.0784312826793685</v>
      </c>
      <c r="G991" s="306">
        <f t="shared" ca="1" si="446"/>
        <v>7.6113890643061204</v>
      </c>
      <c r="H991" s="307">
        <f t="shared" ca="1" si="447"/>
        <v>-157.55509051313791</v>
      </c>
      <c r="I991" s="304">
        <f t="shared" ca="1" si="448"/>
        <v>157.73883412175746</v>
      </c>
      <c r="J991" s="306">
        <f t="shared" ca="1" si="449"/>
        <v>848.56910463170368</v>
      </c>
      <c r="K991" s="307">
        <f t="shared" ca="1" si="450"/>
        <v>-12.995158484253286</v>
      </c>
      <c r="L991" s="304">
        <f t="shared" ca="1" si="435"/>
        <v>848.66860403780822</v>
      </c>
      <c r="M991" s="306">
        <f t="shared" ca="1" si="451"/>
        <v>-1.522524473610942</v>
      </c>
      <c r="N991" s="304">
        <f t="shared" ca="1" si="452"/>
        <v>-87.234226543284265</v>
      </c>
      <c r="P991" s="310">
        <f t="shared" ca="1" si="453"/>
        <v>23</v>
      </c>
      <c r="Q991" s="304">
        <f t="shared" ca="1" si="454"/>
        <v>0</v>
      </c>
      <c r="R991" s="306">
        <f t="shared" ca="1" si="455"/>
        <v>0</v>
      </c>
      <c r="S991" s="307">
        <f t="shared" ca="1" si="456"/>
        <v>9.137999999999975</v>
      </c>
      <c r="T991" s="304">
        <f t="shared" ca="1" si="436"/>
        <v>89.643779999999765</v>
      </c>
      <c r="U991" s="311">
        <f t="shared" ca="1" si="437"/>
        <v>0</v>
      </c>
      <c r="V991" s="306">
        <f t="shared" ca="1" si="438"/>
        <v>1.22659294194097</v>
      </c>
      <c r="W991" s="304">
        <f t="shared" ca="1" si="439"/>
        <v>80.684965565096505</v>
      </c>
      <c r="Y991" s="314" t="str">
        <f t="shared" ca="1" si="457"/>
        <v/>
      </c>
      <c r="Z991" s="315" t="str">
        <f t="shared" ca="1" si="458"/>
        <v/>
      </c>
      <c r="AA991" s="316" t="str">
        <f t="shared" ca="1" si="459"/>
        <v/>
      </c>
      <c r="AC991" s="310" t="e">
        <f t="shared" ca="1" si="460"/>
        <v>#N/A</v>
      </c>
      <c r="AD991" s="323" t="e">
        <f t="shared" ca="1" si="461"/>
        <v>#N/A</v>
      </c>
      <c r="AE991" s="324" t="e">
        <f t="shared" ca="1" si="440"/>
        <v>#N/A</v>
      </c>
      <c r="AG991" s="306">
        <f t="shared" ca="1" si="462"/>
        <v>0.96898850557222893</v>
      </c>
      <c r="AH991" s="304">
        <f t="shared" ca="1" si="463"/>
        <v>-8.8295840788642224</v>
      </c>
    </row>
    <row r="992" spans="1:34" x14ac:dyDescent="0.2">
      <c r="A992" s="347">
        <f t="shared" ca="1" si="441"/>
        <v>1E-4</v>
      </c>
      <c r="B992" s="304">
        <f t="shared" ca="1" si="442"/>
        <v>49.504300000000512</v>
      </c>
      <c r="D992" s="306">
        <f t="shared" ca="1" si="443"/>
        <v>-0.42605607254998545</v>
      </c>
      <c r="E992" s="307">
        <f t="shared" ca="1" si="444"/>
        <v>-0.99067641699186915</v>
      </c>
      <c r="F992" s="304">
        <f t="shared" ca="1" si="445"/>
        <v>1.0784078728109168</v>
      </c>
      <c r="G992" s="306">
        <f t="shared" ca="1" si="446"/>
        <v>7.6113464586988657</v>
      </c>
      <c r="H992" s="307">
        <f t="shared" ca="1" si="447"/>
        <v>-157.55518958077963</v>
      </c>
      <c r="I992" s="304">
        <f t="shared" ca="1" si="448"/>
        <v>157.73893101815341</v>
      </c>
      <c r="J992" s="306">
        <f t="shared" ca="1" si="449"/>
        <v>848.56910463170368</v>
      </c>
      <c r="K992" s="307">
        <f t="shared" ca="1" si="450"/>
        <v>-13.010913998257982</v>
      </c>
      <c r="L992" s="304">
        <f t="shared" ca="1" si="435"/>
        <v>848.66884543885624</v>
      </c>
      <c r="M992" s="306">
        <f t="shared" ca="1" si="451"/>
        <v>-1.5225247737036269</v>
      </c>
      <c r="N992" s="304">
        <f t="shared" ca="1" si="452"/>
        <v>-87.234243737328569</v>
      </c>
      <c r="P992" s="310">
        <f t="shared" ca="1" si="453"/>
        <v>23</v>
      </c>
      <c r="Q992" s="304">
        <f t="shared" ca="1" si="454"/>
        <v>0</v>
      </c>
      <c r="R992" s="306">
        <f t="shared" ca="1" si="455"/>
        <v>0</v>
      </c>
      <c r="S992" s="307">
        <f t="shared" ca="1" si="456"/>
        <v>9.137999999999975</v>
      </c>
      <c r="T992" s="304">
        <f t="shared" ca="1" si="436"/>
        <v>89.643779999999765</v>
      </c>
      <c r="U992" s="311">
        <f t="shared" ca="1" si="437"/>
        <v>0</v>
      </c>
      <c r="V992" s="306">
        <f t="shared" ca="1" si="438"/>
        <v>1.2265948745035371</v>
      </c>
      <c r="W992" s="304">
        <f t="shared" ca="1" si="439"/>
        <v>80.68519181566721</v>
      </c>
      <c r="Y992" s="314" t="str">
        <f t="shared" ca="1" si="457"/>
        <v/>
      </c>
      <c r="Z992" s="315" t="str">
        <f t="shared" ca="1" si="458"/>
        <v/>
      </c>
      <c r="AA992" s="316" t="str">
        <f t="shared" ca="1" si="459"/>
        <v/>
      </c>
      <c r="AC992" s="310" t="e">
        <f t="shared" ca="1" si="460"/>
        <v>#N/A</v>
      </c>
      <c r="AD992" s="323" t="e">
        <f t="shared" ca="1" si="461"/>
        <v>#N/A</v>
      </c>
      <c r="AE992" s="324" t="e">
        <f t="shared" ca="1" si="440"/>
        <v>#N/A</v>
      </c>
      <c r="AG992" s="306">
        <f t="shared" ca="1" si="462"/>
        <v>0.96896388811279266</v>
      </c>
      <c r="AH992" s="304">
        <f t="shared" ca="1" si="463"/>
        <v>-8.8296088383778422</v>
      </c>
    </row>
    <row r="993" spans="1:34" x14ac:dyDescent="0.2">
      <c r="A993" s="347">
        <f t="shared" ca="1" si="441"/>
        <v>1E-4</v>
      </c>
      <c r="B993" s="304">
        <f t="shared" ca="1" si="442"/>
        <v>49.504400000000516</v>
      </c>
      <c r="D993" s="306">
        <f t="shared" ca="1" si="443"/>
        <v>-0.4260546206416998</v>
      </c>
      <c r="E993" s="307">
        <f t="shared" ca="1" si="444"/>
        <v>-0.99065155866716559</v>
      </c>
      <c r="F993" s="304">
        <f t="shared" ca="1" si="445"/>
        <v>1.0783844631947492</v>
      </c>
      <c r="G993" s="306">
        <f t="shared" ca="1" si="446"/>
        <v>7.6113038532368016</v>
      </c>
      <c r="H993" s="307">
        <f t="shared" ca="1" si="447"/>
        <v>-157.55528864593549</v>
      </c>
      <c r="I993" s="304">
        <f t="shared" ca="1" si="448"/>
        <v>157.73902791208758</v>
      </c>
      <c r="J993" s="306">
        <f t="shared" ca="1" si="449"/>
        <v>848.56910463170368</v>
      </c>
      <c r="K993" s="307">
        <f t="shared" ca="1" si="450"/>
        <v>-13.026669522169318</v>
      </c>
      <c r="L993" s="304">
        <f t="shared" ca="1" si="435"/>
        <v>848.66908713248836</v>
      </c>
      <c r="M993" s="306">
        <f t="shared" ca="1" si="451"/>
        <v>-1.5225250737942637</v>
      </c>
      <c r="N993" s="304">
        <f t="shared" ca="1" si="452"/>
        <v>-87.234260931255534</v>
      </c>
      <c r="P993" s="310">
        <f t="shared" ca="1" si="453"/>
        <v>23</v>
      </c>
      <c r="Q993" s="304">
        <f t="shared" ca="1" si="454"/>
        <v>0</v>
      </c>
      <c r="R993" s="306">
        <f t="shared" ca="1" si="455"/>
        <v>0</v>
      </c>
      <c r="S993" s="307">
        <f t="shared" ca="1" si="456"/>
        <v>9.137999999999975</v>
      </c>
      <c r="T993" s="304">
        <f t="shared" ca="1" si="436"/>
        <v>89.643779999999765</v>
      </c>
      <c r="U993" s="311">
        <f t="shared" ca="1" si="437"/>
        <v>0</v>
      </c>
      <c r="V993" s="306">
        <f t="shared" ca="1" si="438"/>
        <v>1.2265968070703657</v>
      </c>
      <c r="W993" s="304">
        <f t="shared" ca="1" si="439"/>
        <v>80.685418064373025</v>
      </c>
      <c r="Y993" s="314" t="str">
        <f t="shared" ca="1" si="457"/>
        <v/>
      </c>
      <c r="Z993" s="315" t="str">
        <f t="shared" ca="1" si="458"/>
        <v/>
      </c>
      <c r="AA993" s="316" t="str">
        <f t="shared" ca="1" si="459"/>
        <v/>
      </c>
      <c r="AC993" s="310" t="e">
        <f t="shared" ca="1" si="460"/>
        <v>#N/A</v>
      </c>
      <c r="AD993" s="323" t="e">
        <f t="shared" ca="1" si="461"/>
        <v>#N/A</v>
      </c>
      <c r="AE993" s="324" t="e">
        <f t="shared" ca="1" si="440"/>
        <v>#N/A</v>
      </c>
      <c r="AG993" s="306">
        <f t="shared" ca="1" si="462"/>
        <v>0.96893927085556975</v>
      </c>
      <c r="AH993" s="304">
        <f t="shared" ca="1" si="463"/>
        <v>-8.8296335976873959</v>
      </c>
    </row>
    <row r="994" spans="1:34" x14ac:dyDescent="0.2">
      <c r="A994" s="347">
        <f t="shared" ca="1" si="441"/>
        <v>1E-4</v>
      </c>
      <c r="B994" s="304">
        <f t="shared" ca="1" si="442"/>
        <v>49.504500000000519</v>
      </c>
      <c r="D994" s="306">
        <f t="shared" ca="1" si="443"/>
        <v>-0.42605316872674887</v>
      </c>
      <c r="E994" s="307">
        <f t="shared" ca="1" si="444"/>
        <v>-0.99062670054725288</v>
      </c>
      <c r="F994" s="304">
        <f t="shared" ca="1" si="445"/>
        <v>1.0783610538308772</v>
      </c>
      <c r="G994" s="306">
        <f t="shared" ca="1" si="446"/>
        <v>7.6112612479199289</v>
      </c>
      <c r="H994" s="307">
        <f t="shared" ca="1" si="447"/>
        <v>-157.55538770860554</v>
      </c>
      <c r="I994" s="304">
        <f t="shared" ca="1" si="448"/>
        <v>157.73912480356006</v>
      </c>
      <c r="J994" s="306">
        <f t="shared" ca="1" si="449"/>
        <v>848.56910463170368</v>
      </c>
      <c r="K994" s="307">
        <f t="shared" ca="1" si="450"/>
        <v>-13.042425055987044</v>
      </c>
      <c r="L994" s="304">
        <f t="shared" ca="1" si="435"/>
        <v>848.6693291187047</v>
      </c>
      <c r="M994" s="306">
        <f t="shared" ca="1" si="451"/>
        <v>-1.5225253738828519</v>
      </c>
      <c r="N994" s="304">
        <f t="shared" ca="1" si="452"/>
        <v>-87.234278125065117</v>
      </c>
      <c r="P994" s="310">
        <f t="shared" ca="1" si="453"/>
        <v>23</v>
      </c>
      <c r="Q994" s="304">
        <f t="shared" ca="1" si="454"/>
        <v>0</v>
      </c>
      <c r="R994" s="306">
        <f t="shared" ca="1" si="455"/>
        <v>0</v>
      </c>
      <c r="S994" s="307">
        <f t="shared" ca="1" si="456"/>
        <v>9.137999999999975</v>
      </c>
      <c r="T994" s="304">
        <f t="shared" ca="1" si="436"/>
        <v>89.643779999999765</v>
      </c>
      <c r="U994" s="311">
        <f t="shared" ca="1" si="437"/>
        <v>0</v>
      </c>
      <c r="V994" s="306">
        <f t="shared" ca="1" si="438"/>
        <v>1.2265987396414566</v>
      </c>
      <c r="W994" s="304">
        <f t="shared" ca="1" si="439"/>
        <v>80.685644311214077</v>
      </c>
      <c r="Y994" s="314" t="str">
        <f t="shared" ca="1" si="457"/>
        <v/>
      </c>
      <c r="Z994" s="315" t="str">
        <f t="shared" ca="1" si="458"/>
        <v/>
      </c>
      <c r="AA994" s="316" t="str">
        <f t="shared" ca="1" si="459"/>
        <v/>
      </c>
      <c r="AC994" s="310" t="e">
        <f t="shared" ca="1" si="460"/>
        <v>#N/A</v>
      </c>
      <c r="AD994" s="323" t="e">
        <f t="shared" ca="1" si="461"/>
        <v>#N/A</v>
      </c>
      <c r="AE994" s="324" t="e">
        <f t="shared" ca="1" si="440"/>
        <v>#N/A</v>
      </c>
      <c r="AG994" s="306">
        <f t="shared" ca="1" si="462"/>
        <v>0.96891465380057618</v>
      </c>
      <c r="AH994" s="304">
        <f t="shared" ca="1" si="463"/>
        <v>-8.8296583567928693</v>
      </c>
    </row>
    <row r="995" spans="1:34" x14ac:dyDescent="0.2">
      <c r="A995" s="347">
        <f t="shared" ca="1" si="441"/>
        <v>1E-4</v>
      </c>
      <c r="B995" s="304">
        <f t="shared" ca="1" si="442"/>
        <v>49.504600000000522</v>
      </c>
      <c r="D995" s="306">
        <f t="shared" ca="1" si="443"/>
        <v>-0.42605171680513748</v>
      </c>
      <c r="E995" s="307">
        <f t="shared" ca="1" si="444"/>
        <v>-0.99060184263212037</v>
      </c>
      <c r="F995" s="304">
        <f t="shared" ca="1" si="445"/>
        <v>1.0783376447192954</v>
      </c>
      <c r="G995" s="306">
        <f t="shared" ca="1" si="446"/>
        <v>7.6112186427482484</v>
      </c>
      <c r="H995" s="307">
        <f t="shared" ca="1" si="447"/>
        <v>-157.55548676878979</v>
      </c>
      <c r="I995" s="304">
        <f t="shared" ca="1" si="448"/>
        <v>157.73922169257085</v>
      </c>
      <c r="J995" s="306">
        <f t="shared" ca="1" si="449"/>
        <v>848.56910463170368</v>
      </c>
      <c r="K995" s="307">
        <f t="shared" ca="1" si="450"/>
        <v>-13.058180599710914</v>
      </c>
      <c r="L995" s="304">
        <f t="shared" ca="1" si="435"/>
        <v>848.66957139750571</v>
      </c>
      <c r="M995" s="306">
        <f t="shared" ca="1" si="451"/>
        <v>-1.5225256739693915</v>
      </c>
      <c r="N995" s="304">
        <f t="shared" ca="1" si="452"/>
        <v>-87.234295318757319</v>
      </c>
      <c r="P995" s="310">
        <f t="shared" ca="1" si="453"/>
        <v>23</v>
      </c>
      <c r="Q995" s="304">
        <f t="shared" ca="1" si="454"/>
        <v>0</v>
      </c>
      <c r="R995" s="306">
        <f t="shared" ca="1" si="455"/>
        <v>0</v>
      </c>
      <c r="S995" s="307">
        <f t="shared" ca="1" si="456"/>
        <v>9.137999999999975</v>
      </c>
      <c r="T995" s="304">
        <f t="shared" ca="1" si="436"/>
        <v>89.643779999999765</v>
      </c>
      <c r="U995" s="311">
        <f t="shared" ca="1" si="437"/>
        <v>0</v>
      </c>
      <c r="V995" s="306">
        <f t="shared" ca="1" si="438"/>
        <v>1.226600672216809</v>
      </c>
      <c r="W995" s="304">
        <f t="shared" ca="1" si="439"/>
        <v>80.685870556190324</v>
      </c>
      <c r="Y995" s="314" t="str">
        <f t="shared" ca="1" si="457"/>
        <v/>
      </c>
      <c r="Z995" s="315" t="str">
        <f t="shared" ca="1" si="458"/>
        <v/>
      </c>
      <c r="AA995" s="316" t="str">
        <f t="shared" ca="1" si="459"/>
        <v/>
      </c>
      <c r="AC995" s="310" t="e">
        <f t="shared" ca="1" si="460"/>
        <v>#N/A</v>
      </c>
      <c r="AD995" s="323" t="e">
        <f t="shared" ca="1" si="461"/>
        <v>#N/A</v>
      </c>
      <c r="AE995" s="324" t="e">
        <f t="shared" ca="1" si="440"/>
        <v>#N/A</v>
      </c>
      <c r="AG995" s="306">
        <f t="shared" ca="1" si="462"/>
        <v>0.96889003694779241</v>
      </c>
      <c r="AH995" s="304">
        <f t="shared" ca="1" si="463"/>
        <v>-8.8296831156942766</v>
      </c>
    </row>
    <row r="996" spans="1:34" x14ac:dyDescent="0.2">
      <c r="A996" s="347">
        <f t="shared" ca="1" si="441"/>
        <v>1E-4</v>
      </c>
      <c r="B996" s="304">
        <f t="shared" ca="1" si="442"/>
        <v>49.504700000000526</v>
      </c>
      <c r="D996" s="306">
        <f t="shared" ca="1" si="443"/>
        <v>-0.42605026487686581</v>
      </c>
      <c r="E996" s="307">
        <f t="shared" ca="1" si="444"/>
        <v>-0.9905769849217716</v>
      </c>
      <c r="F996" s="304">
        <f t="shared" ca="1" si="445"/>
        <v>1.0783142358600091</v>
      </c>
      <c r="G996" s="306">
        <f t="shared" ca="1" si="446"/>
        <v>7.6111760377217603</v>
      </c>
      <c r="H996" s="307">
        <f t="shared" ca="1" si="447"/>
        <v>-157.55558582648828</v>
      </c>
      <c r="I996" s="304">
        <f t="shared" ca="1" si="448"/>
        <v>157.73931857911998</v>
      </c>
      <c r="J996" s="306">
        <f t="shared" ca="1" si="449"/>
        <v>848.56910463170368</v>
      </c>
      <c r="K996" s="307">
        <f t="shared" ca="1" si="450"/>
        <v>-13.073936153340679</v>
      </c>
      <c r="L996" s="304">
        <f t="shared" ca="1" si="435"/>
        <v>848.6698139688915</v>
      </c>
      <c r="M996" s="306">
        <f t="shared" ca="1" si="451"/>
        <v>-1.5225259740538828</v>
      </c>
      <c r="N996" s="304">
        <f t="shared" ca="1" si="452"/>
        <v>-87.234312512332167</v>
      </c>
      <c r="P996" s="310">
        <f t="shared" ca="1" si="453"/>
        <v>23</v>
      </c>
      <c r="Q996" s="304">
        <f t="shared" ca="1" si="454"/>
        <v>0</v>
      </c>
      <c r="R996" s="306">
        <f t="shared" ca="1" si="455"/>
        <v>0</v>
      </c>
      <c r="S996" s="307">
        <f t="shared" ca="1" si="456"/>
        <v>9.137999999999975</v>
      </c>
      <c r="T996" s="304">
        <f t="shared" ca="1" si="436"/>
        <v>89.643779999999765</v>
      </c>
      <c r="U996" s="311">
        <f t="shared" ca="1" si="437"/>
        <v>0</v>
      </c>
      <c r="V996" s="306">
        <f t="shared" ca="1" si="438"/>
        <v>1.2266026047964238</v>
      </c>
      <c r="W996" s="304">
        <f t="shared" ca="1" si="439"/>
        <v>80.686096799301808</v>
      </c>
      <c r="Y996" s="314" t="str">
        <f t="shared" ca="1" si="457"/>
        <v/>
      </c>
      <c r="Z996" s="315" t="str">
        <f t="shared" ca="1" si="458"/>
        <v/>
      </c>
      <c r="AA996" s="316" t="str">
        <f t="shared" ca="1" si="459"/>
        <v/>
      </c>
      <c r="AC996" s="310" t="e">
        <f t="shared" ca="1" si="460"/>
        <v>#N/A</v>
      </c>
      <c r="AD996" s="323" t="e">
        <f t="shared" ca="1" si="461"/>
        <v>#N/A</v>
      </c>
      <c r="AE996" s="324" t="e">
        <f t="shared" ca="1" si="440"/>
        <v>#N/A</v>
      </c>
      <c r="AG996" s="306">
        <f t="shared" ca="1" si="462"/>
        <v>0.96886542029723444</v>
      </c>
      <c r="AH996" s="304">
        <f t="shared" ca="1" si="463"/>
        <v>-8.8297078743916106</v>
      </c>
    </row>
    <row r="997" spans="1:34" x14ac:dyDescent="0.2">
      <c r="A997" s="347">
        <f t="shared" ca="1" si="441"/>
        <v>1E-4</v>
      </c>
      <c r="B997" s="304">
        <f t="shared" ca="1" si="442"/>
        <v>49.504800000000529</v>
      </c>
      <c r="D997" s="306">
        <f t="shared" ca="1" si="443"/>
        <v>-0.42604881294193236</v>
      </c>
      <c r="E997" s="307">
        <f t="shared" ca="1" si="444"/>
        <v>-0.99055212741620124</v>
      </c>
      <c r="F997" s="304">
        <f t="shared" ca="1" si="445"/>
        <v>1.0782908272530152</v>
      </c>
      <c r="G997" s="306">
        <f t="shared" ca="1" si="446"/>
        <v>7.6111334328404663</v>
      </c>
      <c r="H997" s="307">
        <f t="shared" ca="1" si="447"/>
        <v>-157.55568488170101</v>
      </c>
      <c r="I997" s="304">
        <f t="shared" ca="1" si="448"/>
        <v>157.73941546320745</v>
      </c>
      <c r="J997" s="306">
        <f t="shared" ca="1" si="449"/>
        <v>848.56910463170368</v>
      </c>
      <c r="K997" s="307">
        <f t="shared" ca="1" si="450"/>
        <v>-13.089691716876088</v>
      </c>
      <c r="L997" s="304">
        <f t="shared" ca="1" si="435"/>
        <v>848.67005683286243</v>
      </c>
      <c r="M997" s="306">
        <f t="shared" ca="1" si="451"/>
        <v>-1.5225262741363257</v>
      </c>
      <c r="N997" s="304">
        <f t="shared" ca="1" si="452"/>
        <v>-87.234329705789648</v>
      </c>
      <c r="P997" s="310">
        <f t="shared" ca="1" si="453"/>
        <v>23</v>
      </c>
      <c r="Q997" s="304">
        <f t="shared" ca="1" si="454"/>
        <v>0</v>
      </c>
      <c r="R997" s="306">
        <f t="shared" ca="1" si="455"/>
        <v>0</v>
      </c>
      <c r="S997" s="307">
        <f t="shared" ca="1" si="456"/>
        <v>9.137999999999975</v>
      </c>
      <c r="T997" s="304">
        <f t="shared" ca="1" si="436"/>
        <v>89.643779999999765</v>
      </c>
      <c r="U997" s="311">
        <f t="shared" ca="1" si="437"/>
        <v>0</v>
      </c>
      <c r="V997" s="306">
        <f t="shared" ca="1" si="438"/>
        <v>1.2266045373803003</v>
      </c>
      <c r="W997" s="304">
        <f t="shared" ca="1" si="439"/>
        <v>80.686323040548459</v>
      </c>
      <c r="Y997" s="314" t="str">
        <f t="shared" ca="1" si="457"/>
        <v/>
      </c>
      <c r="Z997" s="315" t="str">
        <f t="shared" ca="1" si="458"/>
        <v/>
      </c>
      <c r="AA997" s="316" t="str">
        <f t="shared" ca="1" si="459"/>
        <v/>
      </c>
      <c r="AC997" s="310" t="e">
        <f t="shared" ca="1" si="460"/>
        <v>#N/A</v>
      </c>
      <c r="AD997" s="323" t="e">
        <f t="shared" ca="1" si="461"/>
        <v>#N/A</v>
      </c>
      <c r="AE997" s="324" t="e">
        <f t="shared" ca="1" si="440"/>
        <v>#N/A</v>
      </c>
      <c r="AG997" s="306">
        <f t="shared" ca="1" si="462"/>
        <v>0.96884080384888982</v>
      </c>
      <c r="AH997" s="304">
        <f t="shared" ca="1" si="463"/>
        <v>-8.8297326328848786</v>
      </c>
    </row>
    <row r="998" spans="1:34" x14ac:dyDescent="0.2">
      <c r="A998" s="347">
        <f t="shared" ca="1" si="441"/>
        <v>1E-4</v>
      </c>
      <c r="B998" s="304">
        <f t="shared" ca="1" si="442"/>
        <v>49.504900000000532</v>
      </c>
      <c r="D998" s="306">
        <f t="shared" ca="1" si="443"/>
        <v>-0.42604736100033735</v>
      </c>
      <c r="E998" s="307">
        <f t="shared" ca="1" si="444"/>
        <v>-0.99052727011541641</v>
      </c>
      <c r="F998" s="304">
        <f t="shared" ca="1" si="445"/>
        <v>1.0782674188983228</v>
      </c>
      <c r="G998" s="306">
        <f t="shared" ca="1" si="446"/>
        <v>7.6110908281043663</v>
      </c>
      <c r="H998" s="307">
        <f t="shared" ca="1" si="447"/>
        <v>-157.55578393442804</v>
      </c>
      <c r="I998" s="304">
        <f t="shared" ca="1" si="448"/>
        <v>157.73951234483334</v>
      </c>
      <c r="J998" s="306">
        <f t="shared" ca="1" si="449"/>
        <v>848.56910463170368</v>
      </c>
      <c r="K998" s="307">
        <f t="shared" ca="1" si="450"/>
        <v>-13.105447290316894</v>
      </c>
      <c r="L998" s="304">
        <f t="shared" ca="1" si="435"/>
        <v>848.67029998941905</v>
      </c>
      <c r="M998" s="306">
        <f t="shared" ca="1" si="451"/>
        <v>-1.5225265742167202</v>
      </c>
      <c r="N998" s="304">
        <f t="shared" ca="1" si="452"/>
        <v>-87.234346899129775</v>
      </c>
      <c r="P998" s="310">
        <f t="shared" ca="1" si="453"/>
        <v>23</v>
      </c>
      <c r="Q998" s="304">
        <f t="shared" ca="1" si="454"/>
        <v>0</v>
      </c>
      <c r="R998" s="306">
        <f t="shared" ca="1" si="455"/>
        <v>0</v>
      </c>
      <c r="S998" s="307">
        <f t="shared" ca="1" si="456"/>
        <v>9.137999999999975</v>
      </c>
      <c r="T998" s="304">
        <f t="shared" ca="1" si="436"/>
        <v>89.643779999999765</v>
      </c>
      <c r="U998" s="311">
        <f t="shared" ca="1" si="437"/>
        <v>0</v>
      </c>
      <c r="V998" s="306">
        <f t="shared" ca="1" si="438"/>
        <v>1.2266064699684385</v>
      </c>
      <c r="W998" s="304">
        <f t="shared" ca="1" si="439"/>
        <v>80.686549279930389</v>
      </c>
      <c r="Y998" s="314" t="str">
        <f t="shared" ca="1" si="457"/>
        <v/>
      </c>
      <c r="Z998" s="315" t="str">
        <f t="shared" ca="1" si="458"/>
        <v/>
      </c>
      <c r="AA998" s="316" t="str">
        <f t="shared" ca="1" si="459"/>
        <v/>
      </c>
      <c r="AC998" s="310" t="e">
        <f t="shared" ca="1" si="460"/>
        <v>#N/A</v>
      </c>
      <c r="AD998" s="323" t="e">
        <f t="shared" ca="1" si="461"/>
        <v>#N/A</v>
      </c>
      <c r="AE998" s="324" t="e">
        <f t="shared" ca="1" si="440"/>
        <v>#N/A</v>
      </c>
      <c r="AG998" s="306">
        <f t="shared" ca="1" si="462"/>
        <v>0.96881618760276389</v>
      </c>
      <c r="AH998" s="304">
        <f t="shared" ca="1" si="463"/>
        <v>-8.8297573911740734</v>
      </c>
    </row>
    <row r="999" spans="1:34" x14ac:dyDescent="0.2">
      <c r="A999" s="347">
        <f t="shared" ca="1" si="441"/>
        <v>1E-4</v>
      </c>
      <c r="B999" s="304">
        <f t="shared" ca="1" si="442"/>
        <v>49.505000000000535</v>
      </c>
      <c r="D999" s="306">
        <f t="shared" ca="1" si="443"/>
        <v>-0.4260459090520814</v>
      </c>
      <c r="E999" s="307">
        <f t="shared" ca="1" si="444"/>
        <v>-0.99050241301941</v>
      </c>
      <c r="F999" s="304">
        <f t="shared" ca="1" si="445"/>
        <v>1.0782440107959275</v>
      </c>
      <c r="G999" s="306">
        <f t="shared" ca="1" si="446"/>
        <v>7.6110482235134613</v>
      </c>
      <c r="H999" s="307">
        <f t="shared" ca="1" si="447"/>
        <v>-157.55588298466932</v>
      </c>
      <c r="I999" s="304">
        <f t="shared" ca="1" si="448"/>
        <v>157.73960922399758</v>
      </c>
      <c r="J999" s="306">
        <f t="shared" ca="1" si="449"/>
        <v>848.56910463170368</v>
      </c>
      <c r="K999" s="307">
        <f t="shared" ca="1" si="450"/>
        <v>-13.121202873662849</v>
      </c>
      <c r="L999" s="304">
        <f t="shared" ca="1" si="435"/>
        <v>848.67054343856137</v>
      </c>
      <c r="M999" s="306">
        <f t="shared" ca="1" si="451"/>
        <v>-1.5225268742950664</v>
      </c>
      <c r="N999" s="304">
        <f t="shared" ca="1" si="452"/>
        <v>-87.234364092352536</v>
      </c>
      <c r="P999" s="310">
        <f t="shared" ca="1" si="453"/>
        <v>23</v>
      </c>
      <c r="Q999" s="304">
        <f t="shared" ca="1" si="454"/>
        <v>0</v>
      </c>
      <c r="R999" s="306">
        <f t="shared" ca="1" si="455"/>
        <v>0</v>
      </c>
      <c r="S999" s="307">
        <f t="shared" ca="1" si="456"/>
        <v>9.137999999999975</v>
      </c>
      <c r="T999" s="304">
        <f t="shared" ca="1" si="436"/>
        <v>89.643779999999765</v>
      </c>
      <c r="U999" s="311">
        <f t="shared" ca="1" si="437"/>
        <v>0</v>
      </c>
      <c r="V999" s="306">
        <f t="shared" ca="1" si="438"/>
        <v>1.226608402560839</v>
      </c>
      <c r="W999" s="304">
        <f t="shared" ca="1" si="439"/>
        <v>80.686775517447515</v>
      </c>
      <c r="Y999" s="314" t="str">
        <f t="shared" ca="1" si="457"/>
        <v/>
      </c>
      <c r="Z999" s="315" t="str">
        <f t="shared" ca="1" si="458"/>
        <v/>
      </c>
      <c r="AA999" s="316" t="str">
        <f t="shared" ca="1" si="459"/>
        <v/>
      </c>
      <c r="AC999" s="310" t="e">
        <f t="shared" ca="1" si="460"/>
        <v>#N/A</v>
      </c>
      <c r="AD999" s="323" t="e">
        <f t="shared" ca="1" si="461"/>
        <v>#N/A</v>
      </c>
      <c r="AE999" s="324" t="e">
        <f t="shared" ca="1" si="440"/>
        <v>#N/A</v>
      </c>
      <c r="AG999" s="306">
        <f t="shared" ca="1" si="462"/>
        <v>0.96879157155885132</v>
      </c>
      <c r="AH999" s="304">
        <f t="shared" ca="1" si="463"/>
        <v>-8.8297821492592039</v>
      </c>
    </row>
    <row r="1000" spans="1:34" x14ac:dyDescent="0.2">
      <c r="A1000" s="347">
        <f t="shared" ca="1" si="441"/>
        <v>1E-4</v>
      </c>
      <c r="B1000" s="304">
        <f t="shared" ca="1" si="442"/>
        <v>49.505100000000539</v>
      </c>
      <c r="D1000" s="306">
        <f t="shared" ca="1" si="443"/>
        <v>-0.42604445709716454</v>
      </c>
      <c r="E1000" s="307">
        <f t="shared" ca="1" si="444"/>
        <v>-0.99047755612818378</v>
      </c>
      <c r="F1000" s="304">
        <f t="shared" ca="1" si="445"/>
        <v>1.0782206029458337</v>
      </c>
      <c r="G1000" s="306">
        <f t="shared" ca="1" si="446"/>
        <v>7.6110056190677513</v>
      </c>
      <c r="H1000" s="307">
        <f t="shared" ca="1" si="447"/>
        <v>-157.55598203242494</v>
      </c>
      <c r="I1000" s="304">
        <f t="shared" ca="1" si="448"/>
        <v>157.73970610070023</v>
      </c>
      <c r="J1000" s="306">
        <f t="shared" ca="1" si="449"/>
        <v>848.56910463170368</v>
      </c>
      <c r="K1000" s="307">
        <f t="shared" ca="1" si="450"/>
        <v>-13.136958466913704</v>
      </c>
      <c r="L1000" s="304">
        <f t="shared" ca="1" si="435"/>
        <v>848.67078718028972</v>
      </c>
      <c r="M1000" s="306">
        <f t="shared" ca="1" si="451"/>
        <v>-1.5225271743713644</v>
      </c>
      <c r="N1000" s="304">
        <f t="shared" ca="1" si="452"/>
        <v>-87.234381285457943</v>
      </c>
      <c r="P1000" s="310">
        <f t="shared" ca="1" si="453"/>
        <v>23</v>
      </c>
      <c r="Q1000" s="304">
        <f t="shared" ca="1" si="454"/>
        <v>0</v>
      </c>
      <c r="R1000" s="306">
        <f t="shared" ca="1" si="455"/>
        <v>0</v>
      </c>
      <c r="S1000" s="307">
        <f t="shared" ca="1" si="456"/>
        <v>9.137999999999975</v>
      </c>
      <c r="T1000" s="304">
        <f t="shared" ca="1" si="436"/>
        <v>89.643779999999765</v>
      </c>
      <c r="U1000" s="311">
        <f t="shared" ca="1" si="437"/>
        <v>0</v>
      </c>
      <c r="V1000" s="306">
        <f t="shared" ca="1" si="438"/>
        <v>1.2266103351575008</v>
      </c>
      <c r="W1000" s="304">
        <f t="shared" ca="1" si="439"/>
        <v>80.687001753099835</v>
      </c>
      <c r="Y1000" s="314" t="str">
        <f t="shared" ca="1" si="457"/>
        <v/>
      </c>
      <c r="Z1000" s="315" t="str">
        <f t="shared" ca="1" si="458"/>
        <v/>
      </c>
      <c r="AA1000" s="316" t="str">
        <f t="shared" ca="1" si="459"/>
        <v/>
      </c>
      <c r="AC1000" s="310" t="e">
        <f t="shared" ca="1" si="460"/>
        <v>#N/A</v>
      </c>
      <c r="AD1000" s="323" t="e">
        <f t="shared" ca="1" si="461"/>
        <v>#N/A</v>
      </c>
      <c r="AE1000" s="324" t="e">
        <f t="shared" ca="1" si="440"/>
        <v>#N/A</v>
      </c>
      <c r="AG1000" s="306">
        <f t="shared" ca="1" si="462"/>
        <v>0.96876695571715743</v>
      </c>
      <c r="AH1000" s="304">
        <f t="shared" ca="1" si="463"/>
        <v>-8.8298069071402647</v>
      </c>
    </row>
    <row r="1001" spans="1:34" x14ac:dyDescent="0.2">
      <c r="A1001" s="347">
        <f t="shared" ca="1" si="441"/>
        <v>1E-4</v>
      </c>
      <c r="B1001" s="304">
        <f t="shared" ca="1" si="442"/>
        <v>49.505200000000542</v>
      </c>
      <c r="D1001" s="306">
        <f t="shared" ca="1" si="443"/>
        <v>-0.42604300513558518</v>
      </c>
      <c r="E1001" s="307">
        <f t="shared" ca="1" si="444"/>
        <v>-0.99045269944174308</v>
      </c>
      <c r="F1001" s="304">
        <f t="shared" ca="1" si="445"/>
        <v>1.0781971953480478</v>
      </c>
      <c r="G1001" s="306">
        <f t="shared" ca="1" si="446"/>
        <v>7.610963014767238</v>
      </c>
      <c r="H1001" s="307">
        <f t="shared" ca="1" si="447"/>
        <v>-157.55608107769487</v>
      </c>
      <c r="I1001" s="304">
        <f t="shared" ca="1" si="448"/>
        <v>157.73980297494134</v>
      </c>
      <c r="J1001" s="306">
        <f t="shared" ca="1" si="449"/>
        <v>848.56910463170368</v>
      </c>
      <c r="K1001" s="307">
        <f t="shared" ca="1" si="450"/>
        <v>-13.15271407006921</v>
      </c>
      <c r="L1001" s="304">
        <f t="shared" ca="1" si="435"/>
        <v>848.67103121460445</v>
      </c>
      <c r="M1001" s="306">
        <f t="shared" ca="1" si="451"/>
        <v>-1.5225274744456139</v>
      </c>
      <c r="N1001" s="304">
        <f t="shared" ca="1" si="452"/>
        <v>-87.234398478445968</v>
      </c>
      <c r="P1001" s="310">
        <f t="shared" ca="1" si="453"/>
        <v>23</v>
      </c>
      <c r="Q1001" s="304">
        <f t="shared" ca="1" si="454"/>
        <v>0</v>
      </c>
      <c r="R1001" s="306">
        <f t="shared" ca="1" si="455"/>
        <v>0</v>
      </c>
      <c r="S1001" s="307">
        <f t="shared" ca="1" si="456"/>
        <v>9.137999999999975</v>
      </c>
      <c r="T1001" s="304">
        <f t="shared" ca="1" si="436"/>
        <v>89.643779999999765</v>
      </c>
      <c r="U1001" s="311">
        <f t="shared" ca="1" si="437"/>
        <v>0</v>
      </c>
      <c r="V1001" s="306">
        <f t="shared" ca="1" si="438"/>
        <v>1.2266122677584255</v>
      </c>
      <c r="W1001" s="304">
        <f t="shared" ca="1" si="439"/>
        <v>80.687227986887478</v>
      </c>
      <c r="Y1001" s="314" t="str">
        <f t="shared" ca="1" si="457"/>
        <v/>
      </c>
      <c r="Z1001" s="315" t="str">
        <f t="shared" ca="1" si="458"/>
        <v/>
      </c>
      <c r="AA1001" s="316" t="str">
        <f t="shared" ca="1" si="459"/>
        <v/>
      </c>
      <c r="AC1001" s="310" t="e">
        <f t="shared" ca="1" si="460"/>
        <v>#N/A</v>
      </c>
      <c r="AD1001" s="323" t="e">
        <f t="shared" ca="1" si="461"/>
        <v>#N/A</v>
      </c>
      <c r="AE1001" s="324" t="e">
        <f t="shared" ca="1" si="440"/>
        <v>#N/A</v>
      </c>
      <c r="AG1001" s="306">
        <f t="shared" ca="1" si="462"/>
        <v>0.96874234007768578</v>
      </c>
      <c r="AH1001" s="304">
        <f t="shared" ca="1" si="463"/>
        <v>-8.8298316648172523</v>
      </c>
    </row>
    <row r="1002" spans="1:34" x14ac:dyDescent="0.2">
      <c r="A1002" s="347">
        <f t="shared" ca="1" si="441"/>
        <v>1E-4</v>
      </c>
      <c r="B1002" s="304">
        <f t="shared" ca="1" si="442"/>
        <v>49.505300000000545</v>
      </c>
      <c r="D1002" s="306">
        <f t="shared" ca="1" si="443"/>
        <v>-0.42604155316734826</v>
      </c>
      <c r="E1002" s="307">
        <f t="shared" ca="1" si="444"/>
        <v>-0.99042784296007014</v>
      </c>
      <c r="F1002" s="304">
        <f t="shared" ca="1" si="445"/>
        <v>1.0781737880025575</v>
      </c>
      <c r="G1002" s="306">
        <f t="shared" ca="1" si="446"/>
        <v>7.6109204106119215</v>
      </c>
      <c r="H1002" s="307">
        <f t="shared" ca="1" si="447"/>
        <v>-157.55618012047915</v>
      </c>
      <c r="I1002" s="304">
        <f t="shared" ca="1" si="448"/>
        <v>157.7398998467209</v>
      </c>
      <c r="J1002" s="306">
        <f t="shared" ca="1" si="449"/>
        <v>848.56910463170368</v>
      </c>
      <c r="K1002" s="307">
        <f t="shared" ca="1" si="450"/>
        <v>-13.168469683129119</v>
      </c>
      <c r="L1002" s="304">
        <f t="shared" ca="1" si="435"/>
        <v>848.67127554150591</v>
      </c>
      <c r="M1002" s="306">
        <f t="shared" ca="1" si="451"/>
        <v>-1.522527774517815</v>
      </c>
      <c r="N1002" s="304">
        <f t="shared" ca="1" si="452"/>
        <v>-87.23441567131664</v>
      </c>
      <c r="P1002" s="310">
        <f t="shared" ca="1" si="453"/>
        <v>23</v>
      </c>
      <c r="Q1002" s="304">
        <f t="shared" ca="1" si="454"/>
        <v>0</v>
      </c>
      <c r="R1002" s="306">
        <f t="shared" ca="1" si="455"/>
        <v>0</v>
      </c>
      <c r="S1002" s="307">
        <f t="shared" ca="1" si="456"/>
        <v>9.137999999999975</v>
      </c>
      <c r="T1002" s="304">
        <f t="shared" ca="1" si="436"/>
        <v>89.643779999999765</v>
      </c>
      <c r="U1002" s="311">
        <f t="shared" ca="1" si="437"/>
        <v>0</v>
      </c>
      <c r="V1002" s="306">
        <f t="shared" ca="1" si="438"/>
        <v>1.2266142003636109</v>
      </c>
      <c r="W1002" s="304">
        <f t="shared" ca="1" si="439"/>
        <v>80.687454218810288</v>
      </c>
      <c r="Y1002" s="314" t="str">
        <f t="shared" ca="1" si="457"/>
        <v/>
      </c>
      <c r="Z1002" s="315" t="str">
        <f t="shared" ca="1" si="458"/>
        <v/>
      </c>
      <c r="AA1002" s="316" t="str">
        <f t="shared" ca="1" si="459"/>
        <v/>
      </c>
      <c r="AC1002" s="310" t="e">
        <f t="shared" ca="1" si="460"/>
        <v>#N/A</v>
      </c>
      <c r="AD1002" s="323" t="e">
        <f t="shared" ca="1" si="461"/>
        <v>#N/A</v>
      </c>
      <c r="AE1002" s="324" t="e">
        <f t="shared" ca="1" si="440"/>
        <v>#N/A</v>
      </c>
      <c r="AG1002" s="306">
        <f t="shared" ca="1" si="462"/>
        <v>0.96871772464041683</v>
      </c>
      <c r="AH1002" s="304">
        <f t="shared" ca="1" si="463"/>
        <v>-8.8298564222901845</v>
      </c>
    </row>
    <row r="1003" spans="1:34" x14ac:dyDescent="0.2">
      <c r="A1003" s="347">
        <f t="shared" ca="1" si="441"/>
        <v>1E-4</v>
      </c>
      <c r="B1003" s="304">
        <f t="shared" ca="1" si="442"/>
        <v>49.505400000000549</v>
      </c>
      <c r="D1003" s="306">
        <f t="shared" ca="1" si="443"/>
        <v>-0.42604010119245117</v>
      </c>
      <c r="E1003" s="307">
        <f t="shared" ca="1" si="444"/>
        <v>-0.99040298668318627</v>
      </c>
      <c r="F1003" s="304">
        <f t="shared" ca="1" si="445"/>
        <v>1.078150380909384</v>
      </c>
      <c r="G1003" s="306">
        <f t="shared" ca="1" si="446"/>
        <v>7.6108778066018026</v>
      </c>
      <c r="H1003" s="307">
        <f t="shared" ca="1" si="447"/>
        <v>-157.55627916077782</v>
      </c>
      <c r="I1003" s="304">
        <f t="shared" ca="1" si="448"/>
        <v>157.73999671603892</v>
      </c>
      <c r="J1003" s="306">
        <f t="shared" ca="1" si="449"/>
        <v>848.56910463170368</v>
      </c>
      <c r="K1003" s="307">
        <f t="shared" ca="1" si="450"/>
        <v>-13.184225306093182</v>
      </c>
      <c r="L1003" s="304">
        <f t="shared" ca="1" si="435"/>
        <v>848.67152016099442</v>
      </c>
      <c r="M1003" s="306">
        <f t="shared" ca="1" si="451"/>
        <v>-1.5225280745879679</v>
      </c>
      <c r="N1003" s="304">
        <f t="shared" ca="1" si="452"/>
        <v>-87.234432864069973</v>
      </c>
      <c r="P1003" s="310">
        <f t="shared" ca="1" si="453"/>
        <v>23</v>
      </c>
      <c r="Q1003" s="304">
        <f t="shared" ca="1" si="454"/>
        <v>0</v>
      </c>
      <c r="R1003" s="306">
        <f t="shared" ca="1" si="455"/>
        <v>0</v>
      </c>
      <c r="S1003" s="307">
        <f t="shared" ca="1" si="456"/>
        <v>9.137999999999975</v>
      </c>
      <c r="T1003" s="304">
        <f t="shared" ca="1" si="436"/>
        <v>89.643779999999765</v>
      </c>
      <c r="U1003" s="311">
        <f t="shared" ca="1" si="437"/>
        <v>0</v>
      </c>
      <c r="V1003" s="306">
        <f ca="1">Rho_moyen*(20000-Alt_rampe-pos_z)/(20000+Alt_rampe+pos_z)</f>
        <v>1.2266161329730585</v>
      </c>
      <c r="W1003" s="304">
        <f t="shared" ca="1" si="439"/>
        <v>80.687680448868321</v>
      </c>
      <c r="Y1003" s="314" t="str">
        <f t="shared" ca="1" si="457"/>
        <v/>
      </c>
      <c r="Z1003" s="315" t="str">
        <f t="shared" ca="1" si="458"/>
        <v/>
      </c>
      <c r="AA1003" s="316" t="str">
        <f t="shared" ca="1" si="459"/>
        <v/>
      </c>
      <c r="AC1003" s="310" t="e">
        <f t="shared" ca="1" si="460"/>
        <v>#N/A</v>
      </c>
      <c r="AD1003" s="323" t="e">
        <f t="shared" ca="1" si="461"/>
        <v>#N/A</v>
      </c>
      <c r="AE1003" s="324" t="e">
        <f t="shared" ca="1" si="440"/>
        <v>#N/A</v>
      </c>
      <c r="AG1003" s="306">
        <f t="shared" ca="1" si="462"/>
        <v>0.9686931094053719</v>
      </c>
      <c r="AH1003" s="304">
        <f t="shared" ca="1" si="463"/>
        <v>-8.8298811795590399</v>
      </c>
    </row>
    <row r="1004" spans="1:34" x14ac:dyDescent="0.2">
      <c r="A1004" s="348">
        <f t="shared" ca="1" si="441"/>
        <v>1E-4</v>
      </c>
      <c r="B1004" s="305">
        <f t="shared" ca="1" si="442"/>
        <v>49.505500000000552</v>
      </c>
      <c r="D1004" s="308">
        <f t="shared" ca="1" si="443"/>
        <v>-0.42603864921089274</v>
      </c>
      <c r="E1004" s="309">
        <f t="shared" ca="1" si="444"/>
        <v>-0.9903781306110826</v>
      </c>
      <c r="F1004" s="305">
        <f t="shared" ca="1" si="445"/>
        <v>1.0781269740685206</v>
      </c>
      <c r="G1004" s="308">
        <f t="shared" ca="1" si="446"/>
        <v>7.6108352027368813</v>
      </c>
      <c r="H1004" s="309">
        <f t="shared" ca="1" si="447"/>
        <v>-157.55637819859089</v>
      </c>
      <c r="I1004" s="305">
        <f t="shared" ca="1" si="448"/>
        <v>157.7400935828955</v>
      </c>
      <c r="J1004" s="308">
        <f t="shared" ca="1" si="449"/>
        <v>848.56910463170368</v>
      </c>
      <c r="K1004" s="309">
        <f t="shared" ca="1" si="450"/>
        <v>-13.199980938961151</v>
      </c>
      <c r="L1004" s="305">
        <f t="shared" ca="1" si="435"/>
        <v>848.67176507306999</v>
      </c>
      <c r="M1004" s="308">
        <f t="shared" ca="1" si="451"/>
        <v>-1.5225283746560727</v>
      </c>
      <c r="N1004" s="305">
        <f t="shared" ca="1" si="452"/>
        <v>-87.234450056705938</v>
      </c>
      <c r="P1004" s="312">
        <f t="shared" ca="1" si="453"/>
        <v>23</v>
      </c>
      <c r="Q1004" s="305">
        <f t="shared" ca="1" si="454"/>
        <v>0</v>
      </c>
      <c r="R1004" s="308">
        <f t="shared" ca="1" si="455"/>
        <v>0</v>
      </c>
      <c r="S1004" s="309">
        <f t="shared" ca="1" si="456"/>
        <v>9.137999999999975</v>
      </c>
      <c r="T1004" s="305">
        <f t="shared" ca="1" si="436"/>
        <v>89.643779999999765</v>
      </c>
      <c r="U1004" s="313">
        <f t="shared" ca="1" si="437"/>
        <v>0</v>
      </c>
      <c r="V1004" s="308">
        <f t="shared" ca="1" si="438"/>
        <v>1.2266180655867678</v>
      </c>
      <c r="W1004" s="305">
        <f ca="1">1/2*Rho*Sref*Cx*vit_xz^2</f>
        <v>80.68790667706169</v>
      </c>
      <c r="Y1004" s="317" t="str">
        <f ca="1">IF(AND(pos_z&lt;=0,K1003&gt;0),"Impact balistique","") &amp; IF(AND(H1005&lt;0,vit_z&gt;=0),"Apogée","") &amp; IF(AND(Poussee=0,Q1003&gt;0),"Fin de propulsion","") &amp; IF(AND(L1005&gt;L_rampe,pos_xz&lt;=L_rampe),"Sortie de rampe","")</f>
        <v/>
      </c>
      <c r="Z1004" s="318" t="str">
        <f t="shared" ca="1" si="458"/>
        <v/>
      </c>
      <c r="AA1004" s="319" t="str">
        <f t="shared" ca="1" si="459"/>
        <v/>
      </c>
      <c r="AC1004" s="312" t="e">
        <f t="shared" ca="1" si="460"/>
        <v>#N/A</v>
      </c>
      <c r="AD1004" s="325" t="e">
        <f t="shared" ca="1" si="461"/>
        <v>#N/A</v>
      </c>
      <c r="AE1004" s="326" t="e">
        <f t="shared" ca="1" si="440"/>
        <v>#N/A</v>
      </c>
      <c r="AG1004" s="308">
        <f t="shared" ca="1" si="462"/>
        <v>0.96866849437254388</v>
      </c>
      <c r="AH1004" s="305">
        <f t="shared" ca="1" si="463"/>
        <v>-8.8299059366238275</v>
      </c>
    </row>
    <row r="1005" spans="1:34" x14ac:dyDescent="0.2">
      <c r="Y1005" s="303"/>
    </row>
    <row r="1010" spans="12:12" x14ac:dyDescent="0.2">
      <c r="L1010"/>
    </row>
    <row r="1034" spans="5:25" x14ac:dyDescent="0.2">
      <c r="E1034" s="300" t="s">
        <v>259</v>
      </c>
      <c r="J1034" s="301" t="s">
        <v>251</v>
      </c>
      <c r="T1034" s="300" t="s">
        <v>250</v>
      </c>
      <c r="Y1034" s="302" t="s">
        <v>253</v>
      </c>
    </row>
    <row r="1035" spans="5:25" x14ac:dyDescent="0.2">
      <c r="E1035" s="299" t="s">
        <v>263</v>
      </c>
    </row>
    <row r="1036" spans="5:25" x14ac:dyDescent="0.2">
      <c r="E1036" s="299"/>
      <c r="T1036" s="299" t="s">
        <v>256</v>
      </c>
    </row>
    <row r="1037" spans="5:25" x14ac:dyDescent="0.2">
      <c r="E1037" s="299"/>
      <c r="T1037" s="299" t="s">
        <v>260</v>
      </c>
    </row>
    <row r="1038" spans="5:25" x14ac:dyDescent="0.2">
      <c r="E1038" s="299"/>
      <c r="T1038" s="299" t="s">
        <v>261</v>
      </c>
    </row>
    <row r="1039" spans="5:25" x14ac:dyDescent="0.2">
      <c r="E1039" s="299"/>
      <c r="T1039" s="299" t="s">
        <v>267</v>
      </c>
    </row>
    <row r="1040" spans="5:25" x14ac:dyDescent="0.2">
      <c r="E1040" s="299" t="s">
        <v>262</v>
      </c>
      <c r="T1040" s="299" t="s">
        <v>252</v>
      </c>
    </row>
    <row r="1041" spans="5:20" x14ac:dyDescent="0.2">
      <c r="E1041" s="299"/>
      <c r="T1041" s="299" t="s">
        <v>268</v>
      </c>
    </row>
    <row r="1042" spans="5:20" x14ac:dyDescent="0.2">
      <c r="E1042" s="299"/>
      <c r="R1042" s="303"/>
      <c r="T1042" s="299"/>
    </row>
    <row r="1043" spans="5:20" x14ac:dyDescent="0.2">
      <c r="E1043" s="299"/>
    </row>
    <row r="1044" spans="5:20" x14ac:dyDescent="0.2">
      <c r="E1044" s="299"/>
    </row>
    <row r="1045" spans="5:20" x14ac:dyDescent="0.2">
      <c r="E1045" s="299" t="s">
        <v>265</v>
      </c>
      <c r="R1045" s="303"/>
      <c r="T1045" s="299"/>
    </row>
    <row r="1046" spans="5:20" x14ac:dyDescent="0.2">
      <c r="E1046" s="299"/>
    </row>
    <row r="1047" spans="5:20" x14ac:dyDescent="0.2">
      <c r="E1047" s="299"/>
    </row>
    <row r="1048" spans="5:20" x14ac:dyDescent="0.2">
      <c r="E1048" s="299"/>
      <c r="T1048" s="298" t="s">
        <v>258</v>
      </c>
    </row>
    <row r="1049" spans="5:20" x14ac:dyDescent="0.2">
      <c r="E1049" s="299"/>
    </row>
    <row r="1050" spans="5:20" x14ac:dyDescent="0.2">
      <c r="E1050" s="299" t="s">
        <v>266</v>
      </c>
    </row>
    <row r="1053" spans="5:20" x14ac:dyDescent="0.2">
      <c r="T1053" s="298" t="s">
        <v>273</v>
      </c>
    </row>
    <row r="1055" spans="5:20" x14ac:dyDescent="0.2">
      <c r="E1055" s="299" t="s">
        <v>255</v>
      </c>
    </row>
    <row r="1058" spans="5:20" x14ac:dyDescent="0.2">
      <c r="T1058" s="299" t="s">
        <v>274</v>
      </c>
    </row>
    <row r="1060" spans="5:20" x14ac:dyDescent="0.2">
      <c r="E1060" s="299" t="s">
        <v>264</v>
      </c>
    </row>
    <row r="1061" spans="5:20" x14ac:dyDescent="0.2">
      <c r="E1061" s="299"/>
    </row>
    <row r="1062" spans="5:20" x14ac:dyDescent="0.2">
      <c r="E1062" s="299"/>
    </row>
    <row r="1063" spans="5:20" x14ac:dyDescent="0.2">
      <c r="E1063" s="299"/>
    </row>
    <row r="1064" spans="5:20" x14ac:dyDescent="0.2">
      <c r="E1064" s="299"/>
    </row>
    <row r="1065" spans="5:20" x14ac:dyDescent="0.2">
      <c r="E1065" s="299" t="s">
        <v>254</v>
      </c>
    </row>
    <row r="1066" spans="5:20" x14ac:dyDescent="0.2">
      <c r="E1066" s="299"/>
    </row>
    <row r="1067" spans="5:20" x14ac:dyDescent="0.2">
      <c r="E1067" s="299"/>
    </row>
    <row r="1068" spans="5:20" x14ac:dyDescent="0.2">
      <c r="E1068" s="299"/>
    </row>
    <row r="1069" spans="5:20" x14ac:dyDescent="0.2">
      <c r="E1069" s="299"/>
    </row>
    <row r="1070" spans="5:20" x14ac:dyDescent="0.2">
      <c r="E1070" s="299" t="s">
        <v>257</v>
      </c>
    </row>
    <row r="1071" spans="5:20" x14ac:dyDescent="0.2">
      <c r="E1071" s="299"/>
    </row>
    <row r="1072" spans="5:20" x14ac:dyDescent="0.2">
      <c r="E1072" s="299"/>
    </row>
    <row r="1073" spans="5:5" x14ac:dyDescent="0.2">
      <c r="E1073" s="299"/>
    </row>
    <row r="1074" spans="5:5" x14ac:dyDescent="0.2">
      <c r="E1074" s="299"/>
    </row>
    <row r="1075" spans="5:5" x14ac:dyDescent="0.2">
      <c r="E1075" s="299" t="s">
        <v>269</v>
      </c>
    </row>
  </sheetData>
  <sheetProtection password="C6AC" sheet="1"/>
  <mergeCells count="5">
    <mergeCell ref="D1:N1"/>
    <mergeCell ref="P1:W1"/>
    <mergeCell ref="AG1:AH1"/>
    <mergeCell ref="Y2:AA2"/>
    <mergeCell ref="AC1:AE1"/>
  </mergeCells>
  <phoneticPr fontId="8" type="noConversion"/>
  <conditionalFormatting sqref="A4:XFD1004">
    <cfRule type="expression" dxfId="5" priority="7" stopIfTrue="1">
      <formula>OR($Y4="Sortie de rampe",$Z4="Para")</formula>
    </cfRule>
    <cfRule type="expression" dxfId="4" priority="8" stopIfTrue="1">
      <formula>OR($Y4="Fin de propulsion",$Y4="Impact balistique",$AA4="Satellite")</formula>
    </cfRule>
    <cfRule type="expression" dxfId="3" priority="9" stopIfTrue="1">
      <formula>$Y4="Apogée"</formula>
    </cfRule>
  </conditionalFormatting>
  <hyperlinks>
    <hyperlink ref="J1034" r:id="rId1" xr:uid="{6272E4DF-CCF5-A04C-88E5-C8DD9E4BDC0A}"/>
    <hyperlink ref="Y1034" r:id="rId2" xr:uid="{8F438075-8076-1C44-B4BD-DE0BB9A090FB}"/>
  </hyperlinks>
  <pageMargins left="0.39370078740157483" right="0.39370078740157483" top="0.39370078740157483" bottom="0.39370078740157483" header="0" footer="0"/>
  <pageSetup paperSize="9" scale="29" firstPageNumber="0" fitToHeight="5" orientation="portrait" horizontalDpi="300" verticalDpi="300"/>
  <headerFooter alignWithMargins="0"/>
  <drawing r:id="rId3"/>
  <legacyDrawing r:id="rId4"/>
  <oleObjects>
    <mc:AlternateContent xmlns:mc="http://schemas.openxmlformats.org/markup-compatibility/2006">
      <mc:Choice Requires="x14">
        <oleObject progId="Equation.3" shapeId="3091" r:id="rId5">
          <objectPr defaultSize="0" autoPict="0" r:id="rId6">
            <anchor moveWithCells="1">
              <from>
                <xdr:col>18</xdr:col>
                <xdr:colOff>9525</xdr:colOff>
                <xdr:row>1010</xdr:row>
                <xdr:rowOff>85725</xdr:rowOff>
              </from>
              <to>
                <xdr:col>20</xdr:col>
                <xdr:colOff>266700</xdr:colOff>
                <xdr:row>1013</xdr:row>
                <xdr:rowOff>28575</xdr:rowOff>
              </to>
            </anchor>
          </objectPr>
        </oleObject>
      </mc:Choice>
      <mc:Fallback>
        <oleObject progId="Equation.3" shapeId="3091" r:id="rId5"/>
      </mc:Fallback>
    </mc:AlternateContent>
    <mc:AlternateContent xmlns:mc="http://schemas.openxmlformats.org/markup-compatibility/2006">
      <mc:Choice Requires="x14">
        <oleObject progId="Equation.3" shapeId="3092" r:id="rId7">
          <objectPr defaultSize="0" autoPict="0" r:id="rId8">
            <anchor moveWithCells="1">
              <from>
                <xdr:col>21</xdr:col>
                <xdr:colOff>28575</xdr:colOff>
                <xdr:row>1024</xdr:row>
                <xdr:rowOff>142875</xdr:rowOff>
              </from>
              <to>
                <xdr:col>25</xdr:col>
                <xdr:colOff>409575</xdr:colOff>
                <xdr:row>1026</xdr:row>
                <xdr:rowOff>66675</xdr:rowOff>
              </to>
            </anchor>
          </objectPr>
        </oleObject>
      </mc:Choice>
      <mc:Fallback>
        <oleObject progId="Equation.3" shapeId="3092" r:id="rId7"/>
      </mc:Fallback>
    </mc:AlternateContent>
    <mc:AlternateContent xmlns:mc="http://schemas.openxmlformats.org/markup-compatibility/2006">
      <mc:Choice Requires="x14">
        <oleObject progId="Equation.3" shapeId="3096" r:id="rId9">
          <objectPr defaultSize="0" autoPict="0" r:id="rId10">
            <anchor moveWithCells="1">
              <from>
                <xdr:col>16</xdr:col>
                <xdr:colOff>228600</xdr:colOff>
                <xdr:row>1006</xdr:row>
                <xdr:rowOff>28575</xdr:rowOff>
              </from>
              <to>
                <xdr:col>24</xdr:col>
                <xdr:colOff>142875</xdr:colOff>
                <xdr:row>1007</xdr:row>
                <xdr:rowOff>85725</xdr:rowOff>
              </to>
            </anchor>
          </objectPr>
        </oleObject>
      </mc:Choice>
      <mc:Fallback>
        <oleObject progId="Equation.3" shapeId="3096" r:id="rId9"/>
      </mc:Fallback>
    </mc:AlternateContent>
    <mc:AlternateContent xmlns:mc="http://schemas.openxmlformats.org/markup-compatibility/2006">
      <mc:Choice Requires="x14">
        <oleObject progId="Equation.3" shapeId="3112" r:id="rId11">
          <objectPr defaultSize="0" autoPict="0" r:id="rId12">
            <anchor moveWithCells="1">
              <from>
                <xdr:col>7</xdr:col>
                <xdr:colOff>9525</xdr:colOff>
                <xdr:row>1017</xdr:row>
                <xdr:rowOff>142875</xdr:rowOff>
              </from>
              <to>
                <xdr:col>10</xdr:col>
                <xdr:colOff>533400</xdr:colOff>
                <xdr:row>1019</xdr:row>
                <xdr:rowOff>114300</xdr:rowOff>
              </to>
            </anchor>
          </objectPr>
        </oleObject>
      </mc:Choice>
      <mc:Fallback>
        <oleObject progId="Equation.3" shapeId="3112" r:id="rId11"/>
      </mc:Fallback>
    </mc:AlternateContent>
    <mc:AlternateContent xmlns:mc="http://schemas.openxmlformats.org/markup-compatibility/2006">
      <mc:Choice Requires="x14">
        <oleObject progId="Equation.3" shapeId="3114" r:id="rId13">
          <objectPr defaultSize="0" autoPict="0" r:id="rId14">
            <anchor moveWithCells="1">
              <from>
                <xdr:col>7</xdr:col>
                <xdr:colOff>9525</xdr:colOff>
                <xdr:row>1014</xdr:row>
                <xdr:rowOff>152400</xdr:rowOff>
              </from>
              <to>
                <xdr:col>11</xdr:col>
                <xdr:colOff>238125</xdr:colOff>
                <xdr:row>1016</xdr:row>
                <xdr:rowOff>66675</xdr:rowOff>
              </to>
            </anchor>
          </objectPr>
        </oleObject>
      </mc:Choice>
      <mc:Fallback>
        <oleObject progId="Equation.3" shapeId="3114" r:id="rId13"/>
      </mc:Fallback>
    </mc:AlternateContent>
    <mc:AlternateContent xmlns:mc="http://schemas.openxmlformats.org/markup-compatibility/2006">
      <mc:Choice Requires="x14">
        <oleObject progId="Equation.3" shapeId="3115" r:id="rId15">
          <objectPr defaultSize="0" autoPict="0" r:id="rId16">
            <anchor moveWithCells="1">
              <from>
                <xdr:col>7</xdr:col>
                <xdr:colOff>9525</xdr:colOff>
                <xdr:row>1016</xdr:row>
                <xdr:rowOff>66675</xdr:rowOff>
              </from>
              <to>
                <xdr:col>11</xdr:col>
                <xdr:colOff>219075</xdr:colOff>
                <xdr:row>1017</xdr:row>
                <xdr:rowOff>142875</xdr:rowOff>
              </to>
            </anchor>
          </objectPr>
        </oleObject>
      </mc:Choice>
      <mc:Fallback>
        <oleObject progId="Equation.3" shapeId="3115" r:id="rId15"/>
      </mc:Fallback>
    </mc:AlternateContent>
    <mc:AlternateContent xmlns:mc="http://schemas.openxmlformats.org/markup-compatibility/2006">
      <mc:Choice Requires="x14">
        <oleObject progId="Equation.3" shapeId="3119" r:id="rId17">
          <objectPr defaultSize="0" autoPict="0" r:id="rId18">
            <anchor moveWithCells="1">
              <from>
                <xdr:col>10</xdr:col>
                <xdr:colOff>0</xdr:colOff>
                <xdr:row>1022</xdr:row>
                <xdr:rowOff>66675</xdr:rowOff>
              </from>
              <to>
                <xdr:col>17</xdr:col>
                <xdr:colOff>238125</xdr:colOff>
                <xdr:row>1024</xdr:row>
                <xdr:rowOff>142875</xdr:rowOff>
              </to>
            </anchor>
          </objectPr>
        </oleObject>
      </mc:Choice>
      <mc:Fallback>
        <oleObject progId="Equation.3" shapeId="3119" r:id="rId17"/>
      </mc:Fallback>
    </mc:AlternateContent>
    <mc:AlternateContent xmlns:mc="http://schemas.openxmlformats.org/markup-compatibility/2006">
      <mc:Choice Requires="x14">
        <oleObject progId="Equation.3" shapeId="3120" r:id="rId19">
          <objectPr defaultSize="0" autoPict="0" r:id="rId20">
            <anchor moveWithCells="1">
              <from>
                <xdr:col>4</xdr:col>
                <xdr:colOff>0</xdr:colOff>
                <xdr:row>1008</xdr:row>
                <xdr:rowOff>0</xdr:rowOff>
              </from>
              <to>
                <xdr:col>11</xdr:col>
                <xdr:colOff>219075</xdr:colOff>
                <xdr:row>1010</xdr:row>
                <xdr:rowOff>76200</xdr:rowOff>
              </to>
            </anchor>
          </objectPr>
        </oleObject>
      </mc:Choice>
      <mc:Fallback>
        <oleObject progId="Equation.3" shapeId="3120" r:id="rId19"/>
      </mc:Fallback>
    </mc:AlternateContent>
    <mc:AlternateContent xmlns:mc="http://schemas.openxmlformats.org/markup-compatibility/2006">
      <mc:Choice Requires="x14">
        <oleObject progId="Equation.3" shapeId="3121" r:id="rId21">
          <objectPr defaultSize="0" autoPict="0" r:id="rId22">
            <anchor moveWithCells="1">
              <from>
                <xdr:col>4</xdr:col>
                <xdr:colOff>0</xdr:colOff>
                <xdr:row>1010</xdr:row>
                <xdr:rowOff>85725</xdr:rowOff>
              </from>
              <to>
                <xdr:col>12</xdr:col>
                <xdr:colOff>219075</xdr:colOff>
                <xdr:row>1013</xdr:row>
                <xdr:rowOff>0</xdr:rowOff>
              </to>
            </anchor>
          </objectPr>
        </oleObject>
      </mc:Choice>
      <mc:Fallback>
        <oleObject progId="Equation.3" shapeId="3121" r:id="rId21"/>
      </mc:Fallback>
    </mc:AlternateContent>
    <mc:AlternateContent xmlns:mc="http://schemas.openxmlformats.org/markup-compatibility/2006">
      <mc:Choice Requires="x14">
        <oleObject progId="Equation.3" shapeId="3122" r:id="rId23">
          <objectPr defaultSize="0" autoPict="0" r:id="rId24">
            <anchor moveWithCells="1">
              <from>
                <xdr:col>1</xdr:col>
                <xdr:colOff>9525</xdr:colOff>
                <xdr:row>1006</xdr:row>
                <xdr:rowOff>85725</xdr:rowOff>
              </from>
              <to>
                <xdr:col>3</xdr:col>
                <xdr:colOff>495300</xdr:colOff>
                <xdr:row>1007</xdr:row>
                <xdr:rowOff>152400</xdr:rowOff>
              </to>
            </anchor>
          </objectPr>
        </oleObject>
      </mc:Choice>
      <mc:Fallback>
        <oleObject progId="Equation.3" shapeId="3122" r:id="rId23"/>
      </mc:Fallback>
    </mc:AlternateContent>
    <mc:AlternateContent xmlns:mc="http://schemas.openxmlformats.org/markup-compatibility/2006">
      <mc:Choice Requires="x14">
        <oleObject progId="Equation.3" shapeId="3124" r:id="rId25">
          <objectPr defaultSize="0" autoPict="0" r:id="rId26">
            <anchor moveWithCells="1">
              <from>
                <xdr:col>10</xdr:col>
                <xdr:colOff>0</xdr:colOff>
                <xdr:row>1024</xdr:row>
                <xdr:rowOff>152400</xdr:rowOff>
              </from>
              <to>
                <xdr:col>16</xdr:col>
                <xdr:colOff>0</xdr:colOff>
                <xdr:row>1026</xdr:row>
                <xdr:rowOff>123825</xdr:rowOff>
              </to>
            </anchor>
          </objectPr>
        </oleObject>
      </mc:Choice>
      <mc:Fallback>
        <oleObject progId="Equation.3" shapeId="3124" r:id="rId25"/>
      </mc:Fallback>
    </mc:AlternateContent>
    <mc:AlternateContent xmlns:mc="http://schemas.openxmlformats.org/markup-compatibility/2006">
      <mc:Choice Requires="x14">
        <oleObject progId="Equation.3" shapeId="3125" r:id="rId27">
          <objectPr defaultSize="0" autoPict="0" r:id="rId28">
            <anchor moveWithCells="1">
              <from>
                <xdr:col>18</xdr:col>
                <xdr:colOff>9525</xdr:colOff>
                <xdr:row>1013</xdr:row>
                <xdr:rowOff>28575</xdr:rowOff>
              </from>
              <to>
                <xdr:col>21</xdr:col>
                <xdr:colOff>28575</xdr:colOff>
                <xdr:row>1014</xdr:row>
                <xdr:rowOff>104775</xdr:rowOff>
              </to>
            </anchor>
          </objectPr>
        </oleObject>
      </mc:Choice>
      <mc:Fallback>
        <oleObject progId="Equation.3" shapeId="3125" r:id="rId27"/>
      </mc:Fallback>
    </mc:AlternateContent>
    <mc:AlternateContent xmlns:mc="http://schemas.openxmlformats.org/markup-compatibility/2006">
      <mc:Choice Requires="x14">
        <oleObject progId="Equation.3" shapeId="3127" r:id="rId29">
          <objectPr defaultSize="0" autoPict="0" r:id="rId30">
            <anchor moveWithCells="1">
              <from>
                <xdr:col>1</xdr:col>
                <xdr:colOff>9525</xdr:colOff>
                <xdr:row>1005</xdr:row>
                <xdr:rowOff>9525</xdr:rowOff>
              </from>
              <to>
                <xdr:col>10</xdr:col>
                <xdr:colOff>371475</xdr:colOff>
                <xdr:row>1006</xdr:row>
                <xdr:rowOff>76200</xdr:rowOff>
              </to>
            </anchor>
          </objectPr>
        </oleObject>
      </mc:Choice>
      <mc:Fallback>
        <oleObject progId="Equation.3" shapeId="3127" r:id="rId29"/>
      </mc:Fallback>
    </mc:AlternateContent>
    <mc:AlternateContent xmlns:mc="http://schemas.openxmlformats.org/markup-compatibility/2006">
      <mc:Choice Requires="x14">
        <oleObject progId="Equation.3" shapeId="3129" r:id="rId31">
          <objectPr defaultSize="0" autoPict="0" r:id="rId32">
            <anchor moveWithCells="1">
              <from>
                <xdr:col>4</xdr:col>
                <xdr:colOff>0</xdr:colOff>
                <xdr:row>1013</xdr:row>
                <xdr:rowOff>9525</xdr:rowOff>
              </from>
              <to>
                <xdr:col>8</xdr:col>
                <xdr:colOff>180975</xdr:colOff>
                <xdr:row>1014</xdr:row>
                <xdr:rowOff>142875</xdr:rowOff>
              </to>
            </anchor>
          </objectPr>
        </oleObject>
      </mc:Choice>
      <mc:Fallback>
        <oleObject progId="Equation.3" shapeId="3129" r:id="rId31"/>
      </mc:Fallback>
    </mc:AlternateContent>
    <mc:AlternateContent xmlns:mc="http://schemas.openxmlformats.org/markup-compatibility/2006">
      <mc:Choice Requires="x14">
        <oleObject progId="Equation.3" shapeId="3131" r:id="rId33">
          <objectPr defaultSize="0" autoPict="0" r:id="rId34">
            <anchor moveWithCells="1">
              <from>
                <xdr:col>20</xdr:col>
                <xdr:colOff>9525</xdr:colOff>
                <xdr:row>1018</xdr:row>
                <xdr:rowOff>47625</xdr:rowOff>
              </from>
              <to>
                <xdr:col>24</xdr:col>
                <xdr:colOff>981075</xdr:colOff>
                <xdr:row>1019</xdr:row>
                <xdr:rowOff>114300</xdr:rowOff>
              </to>
            </anchor>
          </objectPr>
        </oleObject>
      </mc:Choice>
      <mc:Fallback>
        <oleObject progId="Equation.3" shapeId="3131" r:id="rId33"/>
      </mc:Fallback>
    </mc:AlternateContent>
    <mc:AlternateContent xmlns:mc="http://schemas.openxmlformats.org/markup-compatibility/2006">
      <mc:Choice Requires="x14">
        <oleObject progId="Equation.3" shapeId="3134" r:id="rId35">
          <objectPr defaultSize="0" autoPict="0" r:id="rId36">
            <anchor moveWithCells="1">
              <from>
                <xdr:col>10</xdr:col>
                <xdr:colOff>0</xdr:colOff>
                <xdr:row>1019</xdr:row>
                <xdr:rowOff>123825</xdr:rowOff>
              </from>
              <to>
                <xdr:col>20</xdr:col>
                <xdr:colOff>523875</xdr:colOff>
                <xdr:row>1022</xdr:row>
                <xdr:rowOff>47625</xdr:rowOff>
              </to>
            </anchor>
          </objectPr>
        </oleObject>
      </mc:Choice>
      <mc:Fallback>
        <oleObject progId="Equation.3" shapeId="3134" r:id="rId35"/>
      </mc:Fallback>
    </mc:AlternateContent>
    <mc:AlternateContent xmlns:mc="http://schemas.openxmlformats.org/markup-compatibility/2006">
      <mc:Choice Requires="x14">
        <oleObject progId="Equation.3" shapeId="3135" r:id="rId37">
          <objectPr defaultSize="0" autoPict="0" r:id="rId38">
            <anchor moveWithCells="1">
              <from>
                <xdr:col>12</xdr:col>
                <xdr:colOff>0</xdr:colOff>
                <xdr:row>1018</xdr:row>
                <xdr:rowOff>47625</xdr:rowOff>
              </from>
              <to>
                <xdr:col>19</xdr:col>
                <xdr:colOff>161925</xdr:colOff>
                <xdr:row>1019</xdr:row>
                <xdr:rowOff>114300</xdr:rowOff>
              </to>
            </anchor>
          </objectPr>
        </oleObject>
      </mc:Choice>
      <mc:Fallback>
        <oleObject progId="Equation.3" shapeId="3135" r:id="rId37"/>
      </mc:Fallback>
    </mc:AlternateContent>
    <mc:AlternateContent xmlns:mc="http://schemas.openxmlformats.org/markup-compatibility/2006">
      <mc:Choice Requires="x14">
        <oleObject progId="Equation.3" shapeId="3141" r:id="rId39">
          <objectPr defaultSize="0" autoPict="0" r:id="rId40">
            <anchor moveWithCells="1">
              <from>
                <xdr:col>33</xdr:col>
                <xdr:colOff>9525</xdr:colOff>
                <xdr:row>1007</xdr:row>
                <xdr:rowOff>104775</xdr:rowOff>
              </from>
              <to>
                <xdr:col>37</xdr:col>
                <xdr:colOff>257175</xdr:colOff>
                <xdr:row>1010</xdr:row>
                <xdr:rowOff>66675</xdr:rowOff>
              </to>
            </anchor>
          </objectPr>
        </oleObject>
      </mc:Choice>
      <mc:Fallback>
        <oleObject progId="Equation.3" shapeId="3141" r:id="rId39"/>
      </mc:Fallback>
    </mc:AlternateContent>
    <mc:AlternateContent xmlns:mc="http://schemas.openxmlformats.org/markup-compatibility/2006">
      <mc:Choice Requires="x14">
        <oleObject progId="Equation.3" shapeId="3142" r:id="rId41">
          <objectPr defaultSize="0" autoPict="0" r:id="rId42">
            <anchor moveWithCells="1">
              <from>
                <xdr:col>33</xdr:col>
                <xdr:colOff>9525</xdr:colOff>
                <xdr:row>1010</xdr:row>
                <xdr:rowOff>76200</xdr:rowOff>
              </from>
              <to>
                <xdr:col>35</xdr:col>
                <xdr:colOff>657225</xdr:colOff>
                <xdr:row>1013</xdr:row>
                <xdr:rowOff>38100</xdr:rowOff>
              </to>
            </anchor>
          </objectPr>
        </oleObject>
      </mc:Choice>
      <mc:Fallback>
        <oleObject progId="Equation.3" shapeId="3142" r:id="rId41"/>
      </mc:Fallback>
    </mc:AlternateContent>
    <mc:AlternateContent xmlns:mc="http://schemas.openxmlformats.org/markup-compatibility/2006">
      <mc:Choice Requires="x14">
        <oleObject progId="Equation.3" shapeId="3157" r:id="rId43">
          <objectPr defaultSize="0" autoPict="0" r:id="rId44">
            <anchor moveWithCells="1">
              <from>
                <xdr:col>4</xdr:col>
                <xdr:colOff>0</xdr:colOff>
                <xdr:row>1035</xdr:row>
                <xdr:rowOff>28575</xdr:rowOff>
              </from>
              <to>
                <xdr:col>11</xdr:col>
                <xdr:colOff>504825</xdr:colOff>
                <xdr:row>1038</xdr:row>
                <xdr:rowOff>28575</xdr:rowOff>
              </to>
            </anchor>
          </objectPr>
        </oleObject>
      </mc:Choice>
      <mc:Fallback>
        <oleObject progId="Equation.3" shapeId="3157" r:id="rId43"/>
      </mc:Fallback>
    </mc:AlternateContent>
    <mc:AlternateContent xmlns:mc="http://schemas.openxmlformats.org/markup-compatibility/2006">
      <mc:Choice Requires="x14">
        <oleObject progId="Equation.3" shapeId="3158" r:id="rId45">
          <objectPr defaultSize="0" autoPict="0" r:id="rId46">
            <anchor moveWithCells="1">
              <from>
                <xdr:col>4</xdr:col>
                <xdr:colOff>0</xdr:colOff>
                <xdr:row>1040</xdr:row>
                <xdr:rowOff>28575</xdr:rowOff>
              </from>
              <to>
                <xdr:col>12</xdr:col>
                <xdr:colOff>28575</xdr:colOff>
                <xdr:row>1043</xdr:row>
                <xdr:rowOff>28575</xdr:rowOff>
              </to>
            </anchor>
          </objectPr>
        </oleObject>
      </mc:Choice>
      <mc:Fallback>
        <oleObject progId="Equation.3" shapeId="3158" r:id="rId45"/>
      </mc:Fallback>
    </mc:AlternateContent>
    <mc:AlternateContent xmlns:mc="http://schemas.openxmlformats.org/markup-compatibility/2006">
      <mc:Choice Requires="x14">
        <oleObject progId="Equation.3" shapeId="3161" r:id="rId47">
          <objectPr defaultSize="0" autoPict="0" r:id="rId48">
            <anchor moveWithCells="1">
              <from>
                <xdr:col>18</xdr:col>
                <xdr:colOff>9525</xdr:colOff>
                <xdr:row>1014</xdr:row>
                <xdr:rowOff>104775</xdr:rowOff>
              </from>
              <to>
                <xdr:col>20</xdr:col>
                <xdr:colOff>304800</xdr:colOff>
                <xdr:row>1016</xdr:row>
                <xdr:rowOff>9525</xdr:rowOff>
              </to>
            </anchor>
          </objectPr>
        </oleObject>
      </mc:Choice>
      <mc:Fallback>
        <oleObject progId="Equation.3" shapeId="3161" r:id="rId47"/>
      </mc:Fallback>
    </mc:AlternateContent>
    <mc:AlternateContent xmlns:mc="http://schemas.openxmlformats.org/markup-compatibility/2006">
      <mc:Choice Requires="x14">
        <oleObject progId="Equation.3" shapeId="3162" r:id="rId49">
          <objectPr defaultSize="0" autoPict="0" r:id="rId50">
            <anchor moveWithCells="1">
              <from>
                <xdr:col>16</xdr:col>
                <xdr:colOff>228600</xdr:colOff>
                <xdr:row>1007</xdr:row>
                <xdr:rowOff>104775</xdr:rowOff>
              </from>
              <to>
                <xdr:col>32</xdr:col>
                <xdr:colOff>152400</xdr:colOff>
                <xdr:row>1010</xdr:row>
                <xdr:rowOff>76200</xdr:rowOff>
              </to>
            </anchor>
          </objectPr>
        </oleObject>
      </mc:Choice>
      <mc:Fallback>
        <oleObject progId="Equation.3" shapeId="3162" r:id="rId49"/>
      </mc:Fallback>
    </mc:AlternateContent>
    <mc:AlternateContent xmlns:mc="http://schemas.openxmlformats.org/markup-compatibility/2006">
      <mc:Choice Requires="x14">
        <oleObject progId="Equation.3" shapeId="3167" r:id="rId51">
          <objectPr defaultSize="0" autoPict="0" r:id="rId52">
            <anchor moveWithCells="1">
              <from>
                <xdr:col>4</xdr:col>
                <xdr:colOff>0</xdr:colOff>
                <xdr:row>1055</xdr:row>
                <xdr:rowOff>28575</xdr:rowOff>
              </from>
              <to>
                <xdr:col>12</xdr:col>
                <xdr:colOff>304800</xdr:colOff>
                <xdr:row>1058</xdr:row>
                <xdr:rowOff>47625</xdr:rowOff>
              </to>
            </anchor>
          </objectPr>
        </oleObject>
      </mc:Choice>
      <mc:Fallback>
        <oleObject progId="Equation.3" shapeId="3167" r:id="rId51"/>
      </mc:Fallback>
    </mc:AlternateContent>
    <mc:AlternateContent xmlns:mc="http://schemas.openxmlformats.org/markup-compatibility/2006">
      <mc:Choice Requires="x14">
        <oleObject progId="Equation.3" shapeId="3168" r:id="rId53">
          <objectPr defaultSize="0" autoPict="0" r:id="rId54">
            <anchor moveWithCells="1">
              <from>
                <xdr:col>4</xdr:col>
                <xdr:colOff>0</xdr:colOff>
                <xdr:row>1060</xdr:row>
                <xdr:rowOff>28575</xdr:rowOff>
              </from>
              <to>
                <xdr:col>15</xdr:col>
                <xdr:colOff>47625</xdr:colOff>
                <xdr:row>1063</xdr:row>
                <xdr:rowOff>47625</xdr:rowOff>
              </to>
            </anchor>
          </objectPr>
        </oleObject>
      </mc:Choice>
      <mc:Fallback>
        <oleObject progId="Equation.3" shapeId="3168" r:id="rId53"/>
      </mc:Fallback>
    </mc:AlternateContent>
    <mc:AlternateContent xmlns:mc="http://schemas.openxmlformats.org/markup-compatibility/2006">
      <mc:Choice Requires="x14">
        <oleObject progId="Equation.3" shapeId="3169" r:id="rId55">
          <objectPr defaultSize="0" autoPict="0" r:id="rId56">
            <anchor moveWithCells="1">
              <from>
                <xdr:col>4</xdr:col>
                <xdr:colOff>0</xdr:colOff>
                <xdr:row>1065</xdr:row>
                <xdr:rowOff>28575</xdr:rowOff>
              </from>
              <to>
                <xdr:col>16</xdr:col>
                <xdr:colOff>609600</xdr:colOff>
                <xdr:row>1068</xdr:row>
                <xdr:rowOff>47625</xdr:rowOff>
              </to>
            </anchor>
          </objectPr>
        </oleObject>
      </mc:Choice>
      <mc:Fallback>
        <oleObject progId="Equation.3" shapeId="3169" r:id="rId55"/>
      </mc:Fallback>
    </mc:AlternateContent>
    <mc:AlternateContent xmlns:mc="http://schemas.openxmlformats.org/markup-compatibility/2006">
      <mc:Choice Requires="x14">
        <oleObject progId="Equation.3" shapeId="3173" r:id="rId57">
          <objectPr defaultSize="0" autoPict="0" r:id="rId58">
            <anchor moveWithCells="1">
              <from>
                <xdr:col>4</xdr:col>
                <xdr:colOff>0</xdr:colOff>
                <xdr:row>1045</xdr:row>
                <xdr:rowOff>28575</xdr:rowOff>
              </from>
              <to>
                <xdr:col>16</xdr:col>
                <xdr:colOff>104775</xdr:colOff>
                <xdr:row>1048</xdr:row>
                <xdr:rowOff>28575</xdr:rowOff>
              </to>
            </anchor>
          </objectPr>
        </oleObject>
      </mc:Choice>
      <mc:Fallback>
        <oleObject progId="Equation.3" shapeId="3173" r:id="rId57"/>
      </mc:Fallback>
    </mc:AlternateContent>
    <mc:AlternateContent xmlns:mc="http://schemas.openxmlformats.org/markup-compatibility/2006">
      <mc:Choice Requires="x14">
        <oleObject progId="Equation.3" shapeId="3174" r:id="rId59">
          <objectPr defaultSize="0" autoPict="0" r:id="rId60">
            <anchor moveWithCells="1">
              <from>
                <xdr:col>4</xdr:col>
                <xdr:colOff>0</xdr:colOff>
                <xdr:row>1050</xdr:row>
                <xdr:rowOff>28575</xdr:rowOff>
              </from>
              <to>
                <xdr:col>16</xdr:col>
                <xdr:colOff>352425</xdr:colOff>
                <xdr:row>1053</xdr:row>
                <xdr:rowOff>47625</xdr:rowOff>
              </to>
            </anchor>
          </objectPr>
        </oleObject>
      </mc:Choice>
      <mc:Fallback>
        <oleObject progId="Equation.3" shapeId="3174" r:id="rId59"/>
      </mc:Fallback>
    </mc:AlternateContent>
    <mc:AlternateContent xmlns:mc="http://schemas.openxmlformats.org/markup-compatibility/2006">
      <mc:Choice Requires="x14">
        <oleObject progId="Equation.3" shapeId="3178" r:id="rId61">
          <objectPr defaultSize="0" autoPict="0" r:id="rId62">
            <anchor moveWithCells="1">
              <from>
                <xdr:col>4</xdr:col>
                <xdr:colOff>0</xdr:colOff>
                <xdr:row>1070</xdr:row>
                <xdr:rowOff>28575</xdr:rowOff>
              </from>
              <to>
                <xdr:col>12</xdr:col>
                <xdr:colOff>371475</xdr:colOff>
                <xdr:row>1073</xdr:row>
                <xdr:rowOff>47625</xdr:rowOff>
              </to>
            </anchor>
          </objectPr>
        </oleObject>
      </mc:Choice>
      <mc:Fallback>
        <oleObject progId="Equation.3" shapeId="3178" r:id="rId61"/>
      </mc:Fallback>
    </mc:AlternateContent>
    <mc:AlternateContent xmlns:mc="http://schemas.openxmlformats.org/markup-compatibility/2006">
      <mc:Choice Requires="x14">
        <oleObject progId="Equation.3" shapeId="3188" r:id="rId63">
          <objectPr defaultSize="0" autoPict="0" r:id="rId64">
            <anchor moveWithCells="1">
              <from>
                <xdr:col>19</xdr:col>
                <xdr:colOff>0</xdr:colOff>
                <xdr:row>1053</xdr:row>
                <xdr:rowOff>28575</xdr:rowOff>
              </from>
              <to>
                <xdr:col>32</xdr:col>
                <xdr:colOff>381000</xdr:colOff>
                <xdr:row>1056</xdr:row>
                <xdr:rowOff>28575</xdr:rowOff>
              </to>
            </anchor>
          </objectPr>
        </oleObject>
      </mc:Choice>
      <mc:Fallback>
        <oleObject progId="Equation.3" shapeId="3188" r:id="rId63"/>
      </mc:Fallback>
    </mc:AlternateContent>
    <mc:AlternateContent xmlns:mc="http://schemas.openxmlformats.org/markup-compatibility/2006">
      <mc:Choice Requires="x14">
        <oleObject progId="Equation.3" shapeId="3192" r:id="rId65">
          <objectPr defaultSize="0" autoPict="0" r:id="rId66">
            <anchor moveWithCells="1">
              <from>
                <xdr:col>21</xdr:col>
                <xdr:colOff>28575</xdr:colOff>
                <xdr:row>1022</xdr:row>
                <xdr:rowOff>47625</xdr:rowOff>
              </from>
              <to>
                <xdr:col>32</xdr:col>
                <xdr:colOff>238125</xdr:colOff>
                <xdr:row>1024</xdr:row>
                <xdr:rowOff>114300</xdr:rowOff>
              </to>
            </anchor>
          </objectPr>
        </oleObject>
      </mc:Choice>
      <mc:Fallback>
        <oleObject progId="Equation.3" shapeId="3192" r:id="rId65"/>
      </mc:Fallback>
    </mc:AlternateContent>
    <mc:AlternateContent xmlns:mc="http://schemas.openxmlformats.org/markup-compatibility/2006">
      <mc:Choice Requires="x14">
        <oleObject progId="Equation.3" shapeId="3220" r:id="rId67">
          <objectPr defaultSize="0" autoPict="0" r:id="rId68">
            <anchor moveWithCells="1">
              <from>
                <xdr:col>33</xdr:col>
                <xdr:colOff>0</xdr:colOff>
                <xdr:row>1017</xdr:row>
                <xdr:rowOff>28575</xdr:rowOff>
              </from>
              <to>
                <xdr:col>36</xdr:col>
                <xdr:colOff>152400</xdr:colOff>
                <xdr:row>1020</xdr:row>
                <xdr:rowOff>28575</xdr:rowOff>
              </to>
            </anchor>
          </objectPr>
        </oleObject>
      </mc:Choice>
      <mc:Fallback>
        <oleObject progId="Equation.3" shapeId="3220" r:id="rId67"/>
      </mc:Fallback>
    </mc:AlternateContent>
    <mc:AlternateContent xmlns:mc="http://schemas.openxmlformats.org/markup-compatibility/2006">
      <mc:Choice Requires="x14">
        <oleObject progId="Equation.3" shapeId="3222" r:id="rId69">
          <objectPr defaultSize="0" autoPict="0" r:id="rId70">
            <anchor moveWithCells="1">
              <from>
                <xdr:col>33</xdr:col>
                <xdr:colOff>0</xdr:colOff>
                <xdr:row>1014</xdr:row>
                <xdr:rowOff>0</xdr:rowOff>
              </from>
              <to>
                <xdr:col>36</xdr:col>
                <xdr:colOff>638175</xdr:colOff>
                <xdr:row>1017</xdr:row>
                <xdr:rowOff>0</xdr:rowOff>
              </to>
            </anchor>
          </objectPr>
        </oleObject>
      </mc:Choice>
      <mc:Fallback>
        <oleObject progId="Equation.3" shapeId="3222" r:id="rId69"/>
      </mc:Fallback>
    </mc:AlternateContent>
    <mc:AlternateContent xmlns:mc="http://schemas.openxmlformats.org/markup-compatibility/2006">
      <mc:Choice Requires="x14">
        <oleObject progId="Equation.3" shapeId="3223" r:id="rId71">
          <objectPr defaultSize="0" autoPict="0" r:id="rId72">
            <anchor moveWithCells="1">
              <from>
                <xdr:col>33</xdr:col>
                <xdr:colOff>0</xdr:colOff>
                <xdr:row>1020</xdr:row>
                <xdr:rowOff>38100</xdr:rowOff>
              </from>
              <to>
                <xdr:col>35</xdr:col>
                <xdr:colOff>123825</xdr:colOff>
                <xdr:row>1023</xdr:row>
                <xdr:rowOff>38100</xdr:rowOff>
              </to>
            </anchor>
          </objectPr>
        </oleObject>
      </mc:Choice>
      <mc:Fallback>
        <oleObject progId="Equation.3" shapeId="3223" r:id="rId71"/>
      </mc:Fallback>
    </mc:AlternateContent>
    <mc:AlternateContent xmlns:mc="http://schemas.openxmlformats.org/markup-compatibility/2006">
      <mc:Choice Requires="x14">
        <oleObject progId="Equation.3" shapeId="3225" r:id="rId73">
          <objectPr defaultSize="0" autoPict="0" r:id="rId74">
            <anchor moveWithCells="1">
              <from>
                <xdr:col>33</xdr:col>
                <xdr:colOff>0</xdr:colOff>
                <xdr:row>1023</xdr:row>
                <xdr:rowOff>66675</xdr:rowOff>
              </from>
              <to>
                <xdr:col>36</xdr:col>
                <xdr:colOff>47625</xdr:colOff>
                <xdr:row>1026</xdr:row>
                <xdr:rowOff>66675</xdr:rowOff>
              </to>
            </anchor>
          </objectPr>
        </oleObject>
      </mc:Choice>
      <mc:Fallback>
        <oleObject progId="Equation.3" shapeId="3225" r:id="rId73"/>
      </mc:Fallback>
    </mc:AlternateContent>
    <mc:AlternateContent xmlns:mc="http://schemas.openxmlformats.org/markup-compatibility/2006">
      <mc:Choice Requires="x14">
        <oleObject progId="Equation.3" shapeId="3281" r:id="rId75">
          <objectPr defaultSize="0" autoPict="0" r:id="rId76">
            <anchor moveWithCells="1">
              <from>
                <xdr:col>19</xdr:col>
                <xdr:colOff>0</xdr:colOff>
                <xdr:row>1048</xdr:row>
                <xdr:rowOff>28575</xdr:rowOff>
              </from>
              <to>
                <xdr:col>34</xdr:col>
                <xdr:colOff>314325</xdr:colOff>
                <xdr:row>1051</xdr:row>
                <xdr:rowOff>76200</xdr:rowOff>
              </to>
            </anchor>
          </objectPr>
        </oleObject>
      </mc:Choice>
      <mc:Fallback>
        <oleObject progId="Equation.3" shapeId="3281" r:id="rId7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82E6-0EC0-2943-A553-339318FFFE97}">
  <sheetPr codeName="Feuil8">
    <pageSetUpPr fitToPage="1"/>
  </sheetPr>
  <dimension ref="A1:M79"/>
  <sheetViews>
    <sheetView showGridLines="0" workbookViewId="0">
      <selection activeCell="B80" sqref="B80"/>
    </sheetView>
  </sheetViews>
  <sheetFormatPr baseColWidth="10" defaultRowHeight="12.75" x14ac:dyDescent="0.2"/>
  <cols>
    <col min="1" max="1" width="2.140625" customWidth="1"/>
    <col min="2" max="2" width="16.28515625" customWidth="1"/>
    <col min="3" max="4" width="11.28515625" customWidth="1"/>
  </cols>
  <sheetData>
    <row r="1" spans="1:13" x14ac:dyDescent="0.2">
      <c r="A1" s="51"/>
      <c r="B1" s="52"/>
      <c r="C1" s="53"/>
      <c r="D1" s="52"/>
      <c r="E1" s="72"/>
      <c r="F1" s="72"/>
      <c r="G1" s="72"/>
      <c r="H1" s="72"/>
      <c r="I1" s="72"/>
      <c r="J1" s="72"/>
      <c r="K1" s="72"/>
      <c r="L1" s="72"/>
      <c r="M1" s="73"/>
    </row>
    <row r="2" spans="1:13" ht="12.75" customHeight="1" x14ac:dyDescent="0.2">
      <c r="A2" s="56"/>
      <c r="B2" s="2"/>
      <c r="C2" s="591" t="s">
        <v>286</v>
      </c>
      <c r="D2" s="591"/>
      <c r="M2" s="75"/>
    </row>
    <row r="3" spans="1:13" ht="12.75" customHeight="1" x14ac:dyDescent="0.2">
      <c r="A3" s="56"/>
      <c r="B3" s="2"/>
      <c r="C3" s="591"/>
      <c r="D3" s="591"/>
      <c r="M3" s="75"/>
    </row>
    <row r="4" spans="1:13" x14ac:dyDescent="0.2">
      <c r="A4" s="56"/>
      <c r="B4" s="2"/>
      <c r="C4" s="595" t="str">
        <f>IF(Lang="Français","Abaques de performance",IF(Lang="English","Performance charts",""))</f>
        <v>Abaques de performance</v>
      </c>
      <c r="D4" s="595"/>
      <c r="M4" s="75"/>
    </row>
    <row r="5" spans="1:13" x14ac:dyDescent="0.2">
      <c r="A5" s="56"/>
      <c r="B5" s="2"/>
      <c r="C5" s="595" t="str">
        <f>IF(Lang="Français","Calcul analytique simple",IF(Lang="English","Analytical computation",""))</f>
        <v>Calcul analytique simple</v>
      </c>
      <c r="D5" s="595"/>
      <c r="M5" s="75"/>
    </row>
    <row r="6" spans="1:13" x14ac:dyDescent="0.2">
      <c r="A6" s="56"/>
      <c r="B6" s="87"/>
      <c r="C6" s="1"/>
      <c r="D6" s="1"/>
      <c r="M6" s="75"/>
    </row>
    <row r="7" spans="1:13" x14ac:dyDescent="0.2">
      <c r="A7" s="59"/>
      <c r="B7" s="6"/>
      <c r="C7" s="592" t="str">
        <f>IF(Lang="Français","Fusée",IF(Lang="English","Rocket",""))</f>
        <v>Fusée</v>
      </c>
      <c r="D7" s="592"/>
      <c r="M7" s="75"/>
    </row>
    <row r="8" spans="1:13" ht="15.75" x14ac:dyDescent="0.25">
      <c r="A8" s="59"/>
      <c r="B8" s="140" t="str">
        <f>IF(Lang="Français","Nom",IF(Lang="English","Name",""))</f>
        <v>Nom</v>
      </c>
      <c r="C8" s="593" t="str">
        <f>Nom</f>
        <v>Ma fusée</v>
      </c>
      <c r="D8" s="593"/>
      <c r="M8" s="75"/>
    </row>
    <row r="9" spans="1:13" ht="15.75" x14ac:dyDescent="0.25">
      <c r="A9" s="59"/>
      <c r="B9" s="140" t="s">
        <v>4</v>
      </c>
      <c r="C9" s="593" t="str">
        <f>Club</f>
        <v>Mon club</v>
      </c>
      <c r="D9" s="593"/>
      <c r="M9" s="75"/>
    </row>
    <row r="10" spans="1:13" x14ac:dyDescent="0.2">
      <c r="A10" s="59"/>
      <c r="B10" s="140" t="str">
        <f>IF(Lang="Français","Masse sans propu",IF(Lang="English","Mass without M",""))</f>
        <v>Masse sans propu</v>
      </c>
      <c r="C10" s="654">
        <f>MasseSans</f>
        <v>7.5</v>
      </c>
      <c r="D10" s="654"/>
      <c r="M10" s="75"/>
    </row>
    <row r="11" spans="1:13" x14ac:dyDescent="0.2">
      <c r="A11" s="59"/>
      <c r="B11" s="140" t="str">
        <f>IF(Lang="Français","Masse totale",IF(Lang="English","Total mass",""))</f>
        <v>Masse totale</v>
      </c>
      <c r="C11" s="657" t="str">
        <f ca="1">MassePlein &amp; " kg ±" &amp; MasseSans &amp; " kg"</f>
        <v>11,011 kg ±7,5 kg</v>
      </c>
      <c r="D11" s="657"/>
      <c r="M11" s="75"/>
    </row>
    <row r="12" spans="1:13" x14ac:dyDescent="0.2">
      <c r="A12" s="59"/>
      <c r="B12" s="227" t="str">
        <f>IF(Lang="Français","Propulseur",IF(Lang="English","Motor",""))</f>
        <v>Propulseur</v>
      </c>
      <c r="C12" s="620" t="str">
        <f>Propu</f>
        <v>Orignal (Pro75-3G)</v>
      </c>
      <c r="D12" s="621"/>
      <c r="M12" s="75"/>
    </row>
    <row r="13" spans="1:13" x14ac:dyDescent="0.2">
      <c r="A13" s="59"/>
      <c r="B13" s="1"/>
      <c r="C13" s="1"/>
      <c r="D13" s="1"/>
      <c r="M13" s="75"/>
    </row>
    <row r="14" spans="1:13" x14ac:dyDescent="0.2">
      <c r="A14" s="74"/>
      <c r="C14" s="592" t="str">
        <f>IF(Lang="Français","Traînée Aérdynamique",IF(Lang="English","Drag",""))</f>
        <v>Traînée Aérdynamique</v>
      </c>
      <c r="D14" s="592"/>
      <c r="M14" s="75"/>
    </row>
    <row r="15" spans="1:13" x14ac:dyDescent="0.2">
      <c r="A15" s="74"/>
      <c r="B15" s="139" t="str">
        <f>IF(Lang="Français","Diamètre Ø",IF(Lang="English","Diameter Ø",""))</f>
        <v>Diamètre Ø</v>
      </c>
      <c r="C15" s="655">
        <f>D_ref</f>
        <v>104</v>
      </c>
      <c r="D15" s="655"/>
      <c r="M15" s="75"/>
    </row>
    <row r="16" spans="1:13" x14ac:dyDescent="0.2">
      <c r="A16" s="74"/>
      <c r="B16" s="140" t="s">
        <v>5</v>
      </c>
      <c r="C16" s="656">
        <f>Cx</f>
        <v>0.5</v>
      </c>
      <c r="D16" s="656"/>
      <c r="M16" s="75"/>
    </row>
    <row r="17" spans="1:13" x14ac:dyDescent="0.2">
      <c r="A17" s="74"/>
      <c r="M17" s="75"/>
    </row>
    <row r="18" spans="1:13" x14ac:dyDescent="0.2">
      <c r="A18" s="74"/>
      <c r="M18" s="75"/>
    </row>
    <row r="19" spans="1:13" x14ac:dyDescent="0.2">
      <c r="A19" s="74"/>
      <c r="M19" s="75"/>
    </row>
    <row r="20" spans="1:13" x14ac:dyDescent="0.2">
      <c r="A20" s="74"/>
      <c r="M20" s="75"/>
    </row>
    <row r="21" spans="1:13" x14ac:dyDescent="0.2">
      <c r="A21" s="74"/>
      <c r="M21" s="75"/>
    </row>
    <row r="22" spans="1:13" x14ac:dyDescent="0.2">
      <c r="A22" s="74"/>
      <c r="M22" s="75"/>
    </row>
    <row r="23" spans="1:13" x14ac:dyDescent="0.2">
      <c r="A23" s="74"/>
      <c r="M23" s="75"/>
    </row>
    <row r="24" spans="1:13" x14ac:dyDescent="0.2">
      <c r="A24" s="74"/>
      <c r="M24" s="75"/>
    </row>
    <row r="25" spans="1:13" x14ac:dyDescent="0.2">
      <c r="A25" s="74"/>
      <c r="M25" s="75"/>
    </row>
    <row r="26" spans="1:13" x14ac:dyDescent="0.2">
      <c r="A26" s="74"/>
      <c r="M26" s="75"/>
    </row>
    <row r="27" spans="1:13" x14ac:dyDescent="0.2">
      <c r="A27" s="74"/>
      <c r="M27" s="75"/>
    </row>
    <row r="28" spans="1:13" x14ac:dyDescent="0.2">
      <c r="A28" s="74"/>
      <c r="M28" s="75"/>
    </row>
    <row r="29" spans="1:13" x14ac:dyDescent="0.2">
      <c r="A29" s="74"/>
      <c r="M29" s="75"/>
    </row>
    <row r="30" spans="1:13" x14ac:dyDescent="0.2">
      <c r="A30" s="74"/>
      <c r="M30" s="75"/>
    </row>
    <row r="31" spans="1:13" x14ac:dyDescent="0.2">
      <c r="A31" s="74"/>
      <c r="M31" s="75"/>
    </row>
    <row r="32" spans="1:13" x14ac:dyDescent="0.2">
      <c r="A32" s="74"/>
      <c r="M32" s="75"/>
    </row>
    <row r="33" spans="1:13" x14ac:dyDescent="0.2">
      <c r="A33" s="74"/>
      <c r="M33" s="75"/>
    </row>
    <row r="34" spans="1:13" x14ac:dyDescent="0.2">
      <c r="A34" s="74"/>
      <c r="M34" s="75"/>
    </row>
    <row r="35" spans="1:13" ht="13.5" thickBot="1" x14ac:dyDescent="0.25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9"/>
    </row>
    <row r="39" spans="1:13" x14ac:dyDescent="0.2">
      <c r="B39" s="419" t="s">
        <v>64</v>
      </c>
      <c r="C39" s="170" t="s">
        <v>290</v>
      </c>
      <c r="D39" s="134" t="s">
        <v>287</v>
      </c>
      <c r="E39" s="134" t="s">
        <v>291</v>
      </c>
      <c r="F39" s="134" t="s">
        <v>292</v>
      </c>
      <c r="G39" s="134" t="s">
        <v>13</v>
      </c>
      <c r="H39" s="134" t="s">
        <v>288</v>
      </c>
      <c r="I39" s="134" t="s">
        <v>289</v>
      </c>
      <c r="J39" s="134" t="s">
        <v>304</v>
      </c>
      <c r="K39" s="134" t="s">
        <v>305</v>
      </c>
      <c r="L39" s="134" t="s">
        <v>307</v>
      </c>
      <c r="M39" s="134" t="s">
        <v>295</v>
      </c>
    </row>
    <row r="40" spans="1:13" x14ac:dyDescent="0.2">
      <c r="B40" s="420" t="s">
        <v>296</v>
      </c>
      <c r="C40" s="170" t="s">
        <v>297</v>
      </c>
      <c r="D40" s="134" t="s">
        <v>298</v>
      </c>
      <c r="E40" s="134" t="s">
        <v>299</v>
      </c>
      <c r="F40" s="134" t="s">
        <v>300</v>
      </c>
      <c r="G40" s="134" t="s">
        <v>301</v>
      </c>
      <c r="H40" s="134" t="s">
        <v>302</v>
      </c>
      <c r="I40" s="134" t="s">
        <v>303</v>
      </c>
      <c r="J40" s="134" t="s">
        <v>293</v>
      </c>
      <c r="K40" s="134" t="s">
        <v>294</v>
      </c>
      <c r="L40" s="134"/>
      <c r="M40" s="134"/>
    </row>
    <row r="41" spans="1:13" x14ac:dyDescent="0.2">
      <c r="B41" s="425">
        <f t="shared" ref="B41:B49" ca="1" si="0">MAX(D_ref*0.5, Diam_propu)</f>
        <v>75</v>
      </c>
      <c r="C41" s="403">
        <f t="shared" ref="C41:C67" ca="1" si="1">1/2*Rho_moyen*PI()*D_var^2/4*Cx/10^6</f>
        <v>1.3529710549151357E-3</v>
      </c>
      <c r="D41" s="400">
        <f ca="1">MpropuPlein+0*MasseSans</f>
        <v>3.5110000000000001</v>
      </c>
      <c r="E41" s="400">
        <f t="shared" ref="E41:E67" ca="1" si="2">m_var - 0.5*m_poudre</f>
        <v>2.5745</v>
      </c>
      <c r="F41" s="400">
        <f t="shared" ref="F41:F67" ca="1" si="3">m_var - m_poudre</f>
        <v>1.6379999999999999</v>
      </c>
      <c r="G41" s="407">
        <f t="shared" ref="G41:G67" ca="1" si="4">MAX(0, (I_total/Temps_fin_propu)/m_prop-g)</f>
        <v>300.51733100610352</v>
      </c>
      <c r="H41" s="406">
        <f t="shared" ref="H41:H67" ca="1" si="5">Q_var/m_prop</f>
        <v>5.2552769660716087E-4</v>
      </c>
      <c r="I41" s="403">
        <f t="shared" ref="I41:I67" ca="1" si="6">Q_var/m_bal</f>
        <v>8.2598965501534541E-4</v>
      </c>
      <c r="J41" s="403">
        <f t="shared" ref="J41:J67" ca="1" si="7">1/(2*b_prop)*LN(  ((EXP(2*SQRT(a_prop*b_prop)*Temps_fin_propu)+1)^2)  /  (((1+1)^2)*EXP(2*SQRT(a_prop*b_prop)*Temps_fin_propu)))</f>
        <v>2265.6407110585924</v>
      </c>
      <c r="K41" s="410">
        <f t="shared" ref="K41:K67" ca="1" si="8">SQRT(a_prop/b_prop)  *  (EXP(2*SQRT(a_prop*b_prop)*Temps_fin_propu)-1)/(EXP(2*SQRT(a_prop*b_prop)*Temps_fin_propu)+1)</f>
        <v>720.40587937186433</v>
      </c>
      <c r="L41" s="413">
        <f t="shared" ref="L41:L67" ca="1" si="9">alt_prop + 1/(2*b_bal) * LN(1+b_bal/g*V_prop^2)</f>
        <v>4565.8665325686015</v>
      </c>
      <c r="M41" s="416">
        <f t="shared" ref="M41:M67" ca="1" si="10">Temps_fin_propu + ATAN(SQRT(b_bal/g)*V_prop)/SQRT(b_bal*g)</f>
        <v>20.462214926687707</v>
      </c>
    </row>
    <row r="42" spans="1:13" x14ac:dyDescent="0.2">
      <c r="B42" s="426">
        <f t="shared" ca="1" si="0"/>
        <v>75</v>
      </c>
      <c r="C42" s="404">
        <f t="shared" ca="1" si="1"/>
        <v>1.3529710549151357E-3</v>
      </c>
      <c r="D42" s="401">
        <f ca="1">MpropuPlein+0.25*MasseSans</f>
        <v>5.3860000000000001</v>
      </c>
      <c r="E42" s="401">
        <f t="shared" ca="1" si="2"/>
        <v>4.4495000000000005</v>
      </c>
      <c r="F42" s="401">
        <f t="shared" ca="1" si="3"/>
        <v>3.5129999999999999</v>
      </c>
      <c r="G42" s="408">
        <f t="shared" ca="1" si="4"/>
        <v>169.74673978541711</v>
      </c>
      <c r="H42" s="404">
        <f t="shared" ca="1" si="5"/>
        <v>3.0407260476798191E-4</v>
      </c>
      <c r="I42" s="404">
        <f t="shared" ca="1" si="6"/>
        <v>3.851326657885385E-4</v>
      </c>
      <c r="J42" s="404">
        <f t="shared" ca="1" si="7"/>
        <v>1587.6630582641419</v>
      </c>
      <c r="K42" s="411">
        <f t="shared" ca="1" si="8"/>
        <v>587.94141297585895</v>
      </c>
      <c r="L42" s="414">
        <f t="shared" ca="1" si="9"/>
        <v>5065.7218495341622</v>
      </c>
      <c r="M42" s="417">
        <f t="shared" ca="1" si="10"/>
        <v>25.922900598286283</v>
      </c>
    </row>
    <row r="43" spans="1:13" x14ac:dyDescent="0.2">
      <c r="B43" s="426">
        <f t="shared" ca="1" si="0"/>
        <v>75</v>
      </c>
      <c r="C43" s="404">
        <f t="shared" ca="1" si="1"/>
        <v>1.3529710549151357E-3</v>
      </c>
      <c r="D43" s="401">
        <f ca="1">MpropuPlein+0.5*MasseSans</f>
        <v>7.2610000000000001</v>
      </c>
      <c r="E43" s="401">
        <f t="shared" ca="1" si="2"/>
        <v>6.3245000000000005</v>
      </c>
      <c r="F43" s="401">
        <f t="shared" ca="1" si="3"/>
        <v>5.3879999999999999</v>
      </c>
      <c r="G43" s="408">
        <f t="shared" ca="1" si="4"/>
        <v>116.51424913830556</v>
      </c>
      <c r="H43" s="404">
        <f t="shared" ca="1" si="5"/>
        <v>2.1392537827735563E-4</v>
      </c>
      <c r="I43" s="404">
        <f t="shared" ca="1" si="6"/>
        <v>2.5110821360711501E-4</v>
      </c>
      <c r="J43" s="404">
        <f t="shared" ca="1" si="7"/>
        <v>1174.392713979594</v>
      </c>
      <c r="K43" s="411">
        <f t="shared" ca="1" si="8"/>
        <v>463.80592066014958</v>
      </c>
      <c r="L43" s="414">
        <f t="shared" ca="1" si="9"/>
        <v>4903.4223440397263</v>
      </c>
      <c r="M43" s="417">
        <f t="shared" ca="1" si="10"/>
        <v>28.211976975324788</v>
      </c>
    </row>
    <row r="44" spans="1:13" x14ac:dyDescent="0.2">
      <c r="B44" s="426">
        <f t="shared" ca="1" si="0"/>
        <v>75</v>
      </c>
      <c r="C44" s="404">
        <f t="shared" ca="1" si="1"/>
        <v>1.3529710549151357E-3</v>
      </c>
      <c r="D44" s="401">
        <f ca="1">MpropuPlein+0.75*MasseSans</f>
        <v>9.1359999999999992</v>
      </c>
      <c r="E44" s="401">
        <f t="shared" ca="1" si="2"/>
        <v>8.1994999999999987</v>
      </c>
      <c r="F44" s="401">
        <f t="shared" ca="1" si="3"/>
        <v>7.262999999999999</v>
      </c>
      <c r="G44" s="408">
        <f t="shared" ca="1" si="4"/>
        <v>87.627369800013867</v>
      </c>
      <c r="H44" s="404">
        <f t="shared" ca="1" si="5"/>
        <v>1.6500653148547299E-4</v>
      </c>
      <c r="I44" s="404">
        <f t="shared" ca="1" si="6"/>
        <v>1.8628267312613739E-4</v>
      </c>
      <c r="J44" s="404">
        <f t="shared" ca="1" si="7"/>
        <v>912.8788240221844</v>
      </c>
      <c r="K44" s="411">
        <f t="shared" ca="1" si="8"/>
        <v>371.66605697710401</v>
      </c>
      <c r="L44" s="414">
        <f t="shared" ca="1" si="9"/>
        <v>4368.1671435496546</v>
      </c>
      <c r="M44" s="417">
        <f t="shared" ca="1" si="10"/>
        <v>28.48555128429313</v>
      </c>
    </row>
    <row r="45" spans="1:13" x14ac:dyDescent="0.2">
      <c r="B45" s="426">
        <f t="shared" ca="1" si="0"/>
        <v>75</v>
      </c>
      <c r="C45" s="404">
        <f t="shared" ca="1" si="1"/>
        <v>1.3529710549151357E-3</v>
      </c>
      <c r="D45" s="401">
        <f ca="1">MpropuPlein+1*MasseSans</f>
        <v>11.010999999999999</v>
      </c>
      <c r="E45" s="401">
        <f t="shared" ca="1" si="2"/>
        <v>10.074499999999999</v>
      </c>
      <c r="F45" s="401">
        <f t="shared" ca="1" si="3"/>
        <v>9.1379999999999981</v>
      </c>
      <c r="G45" s="408">
        <f t="shared" ca="1" si="4"/>
        <v>69.492964283608487</v>
      </c>
      <c r="H45" s="404">
        <f t="shared" ca="1" si="5"/>
        <v>1.3429659585241312E-4</v>
      </c>
      <c r="I45" s="404">
        <f t="shared" ca="1" si="6"/>
        <v>1.4805986593512103E-4</v>
      </c>
      <c r="J45" s="404">
        <f t="shared" ca="1" si="7"/>
        <v>736.43553398063386</v>
      </c>
      <c r="K45" s="411">
        <f t="shared" ca="1" si="8"/>
        <v>304.74082272403933</v>
      </c>
      <c r="L45" s="414">
        <f t="shared" ca="1" si="9"/>
        <v>3695.1799703649112</v>
      </c>
      <c r="M45" s="417">
        <f t="shared" ca="1" si="10"/>
        <v>27.492343102643513</v>
      </c>
    </row>
    <row r="46" spans="1:13" x14ac:dyDescent="0.2">
      <c r="B46" s="426">
        <f t="shared" ca="1" si="0"/>
        <v>75</v>
      </c>
      <c r="C46" s="404">
        <f t="shared" ca="1" si="1"/>
        <v>1.3529710549151357E-3</v>
      </c>
      <c r="D46" s="401">
        <f ca="1">MpropuPlein+1.25*MasseSans</f>
        <v>12.885999999999999</v>
      </c>
      <c r="E46" s="401">
        <f t="shared" ca="1" si="2"/>
        <v>11.949499999999999</v>
      </c>
      <c r="F46" s="401">
        <f t="shared" ca="1" si="3"/>
        <v>11.012999999999998</v>
      </c>
      <c r="G46" s="408">
        <f t="shared" ca="1" si="4"/>
        <v>57.049509910474384</v>
      </c>
      <c r="H46" s="404">
        <f t="shared" ca="1" si="5"/>
        <v>1.1322407254823515E-4</v>
      </c>
      <c r="I46" s="404">
        <f t="shared" ca="1" si="6"/>
        <v>1.2285217968901625E-4</v>
      </c>
      <c r="J46" s="404">
        <f t="shared" ca="1" si="7"/>
        <v>610.56211405911756</v>
      </c>
      <c r="K46" s="411">
        <f t="shared" ca="1" si="8"/>
        <v>255.07468153225415</v>
      </c>
      <c r="L46" s="414">
        <f t="shared" ca="1" si="9"/>
        <v>3036.1305171124577</v>
      </c>
      <c r="M46" s="417">
        <f t="shared" ca="1" si="10"/>
        <v>25.831319222018191</v>
      </c>
    </row>
    <row r="47" spans="1:13" x14ac:dyDescent="0.2">
      <c r="B47" s="426">
        <f t="shared" ca="1" si="0"/>
        <v>75</v>
      </c>
      <c r="C47" s="404">
        <f t="shared" ca="1" si="1"/>
        <v>1.3529710549151357E-3</v>
      </c>
      <c r="D47" s="401">
        <f ca="1">MpropuPlein+1.5*MasseSans</f>
        <v>14.760999999999999</v>
      </c>
      <c r="E47" s="401">
        <f t="shared" ca="1" si="2"/>
        <v>13.824499999999999</v>
      </c>
      <c r="F47" s="401">
        <f t="shared" ca="1" si="3"/>
        <v>12.887999999999998</v>
      </c>
      <c r="G47" s="408">
        <f t="shared" ca="1" si="4"/>
        <v>47.981436484155928</v>
      </c>
      <c r="H47" s="404">
        <f t="shared" ca="1" si="5"/>
        <v>9.78676302879045E-5</v>
      </c>
      <c r="I47" s="404">
        <f t="shared" ca="1" si="6"/>
        <v>1.049791321318386E-4</v>
      </c>
      <c r="J47" s="404">
        <f t="shared" ca="1" si="7"/>
        <v>516.68672191425139</v>
      </c>
      <c r="K47" s="411">
        <f t="shared" ca="1" si="8"/>
        <v>217.15875383438348</v>
      </c>
      <c r="L47" s="414">
        <f t="shared" ca="1" si="9"/>
        <v>2462.5927775537448</v>
      </c>
      <c r="M47" s="417">
        <f t="shared" ca="1" si="10"/>
        <v>23.927094298470699</v>
      </c>
    </row>
    <row r="48" spans="1:13" x14ac:dyDescent="0.2">
      <c r="B48" s="426">
        <f t="shared" ca="1" si="0"/>
        <v>75</v>
      </c>
      <c r="C48" s="404">
        <f t="shared" ca="1" si="1"/>
        <v>1.3529710549151357E-3</v>
      </c>
      <c r="D48" s="401">
        <f ca="1">MpropuPlein+1.75*MasseSans</f>
        <v>16.635999999999999</v>
      </c>
      <c r="E48" s="401">
        <f t="shared" ca="1" si="2"/>
        <v>15.699499999999999</v>
      </c>
      <c r="F48" s="401">
        <f t="shared" ca="1" si="3"/>
        <v>14.762999999999998</v>
      </c>
      <c r="G48" s="408">
        <f t="shared" ca="1" si="4"/>
        <v>41.079373144062778</v>
      </c>
      <c r="H48" s="404">
        <f t="shared" ca="1" si="5"/>
        <v>8.6179244875004676E-5</v>
      </c>
      <c r="I48" s="404">
        <f t="shared" ca="1" si="6"/>
        <v>9.1646078365856254E-5</v>
      </c>
      <c r="J48" s="404">
        <f t="shared" ca="1" si="7"/>
        <v>444.17218262200049</v>
      </c>
      <c r="K48" s="411">
        <f t="shared" ca="1" si="8"/>
        <v>187.43191914175162</v>
      </c>
      <c r="L48" s="414">
        <f t="shared" ca="1" si="9"/>
        <v>1992.6339129528174</v>
      </c>
      <c r="M48" s="417">
        <f t="shared" ca="1" si="10"/>
        <v>22.03057529467247</v>
      </c>
    </row>
    <row r="49" spans="2:13" x14ac:dyDescent="0.2">
      <c r="B49" s="427">
        <f t="shared" ca="1" si="0"/>
        <v>75</v>
      </c>
      <c r="C49" s="405">
        <f t="shared" ca="1" si="1"/>
        <v>1.3529710549151357E-3</v>
      </c>
      <c r="D49" s="402">
        <f ca="1">MpropuPlein+2*MasseSans</f>
        <v>18.510999999999999</v>
      </c>
      <c r="E49" s="402">
        <f t="shared" ca="1" si="2"/>
        <v>17.5745</v>
      </c>
      <c r="F49" s="402">
        <f t="shared" ca="1" si="3"/>
        <v>16.637999999999998</v>
      </c>
      <c r="G49" s="409">
        <f t="shared" ca="1" si="4"/>
        <v>35.650053695707619</v>
      </c>
      <c r="H49" s="405">
        <f t="shared" ca="1" si="5"/>
        <v>7.6984896009282523E-5</v>
      </c>
      <c r="I49" s="405">
        <f t="shared" ca="1" si="6"/>
        <v>8.1318130479332603E-5</v>
      </c>
      <c r="J49" s="405">
        <f t="shared" ca="1" si="7"/>
        <v>386.56108131550729</v>
      </c>
      <c r="K49" s="412">
        <f t="shared" ca="1" si="8"/>
        <v>163.57767929638004</v>
      </c>
      <c r="L49" s="415">
        <f t="shared" ca="1" si="9"/>
        <v>1618.3112284851968</v>
      </c>
      <c r="M49" s="418">
        <f t="shared" ca="1" si="10"/>
        <v>20.2636347210419</v>
      </c>
    </row>
    <row r="50" spans="2:13" x14ac:dyDescent="0.2">
      <c r="B50" s="425">
        <f t="shared" ref="B50:B58" si="11">D_ref</f>
        <v>104</v>
      </c>
      <c r="C50" s="403">
        <f t="shared" si="1"/>
        <v>2.601552876437708E-3</v>
      </c>
      <c r="D50" s="400">
        <f ca="1">MpropuPlein+0*MasseSans</f>
        <v>3.5110000000000001</v>
      </c>
      <c r="E50" s="400">
        <f t="shared" ca="1" si="2"/>
        <v>2.5745</v>
      </c>
      <c r="F50" s="400">
        <f t="shared" ca="1" si="3"/>
        <v>1.6379999999999999</v>
      </c>
      <c r="G50" s="407">
        <f t="shared" ca="1" si="4"/>
        <v>300.51733100610352</v>
      </c>
      <c r="H50" s="403">
        <f t="shared" ca="1" si="5"/>
        <v>1.0105080118227648E-3</v>
      </c>
      <c r="I50" s="403">
        <f t="shared" ca="1" si="6"/>
        <v>1.5882496193148402E-3</v>
      </c>
      <c r="J50" s="403">
        <f t="shared" ca="1" si="7"/>
        <v>1871.9144564516239</v>
      </c>
      <c r="K50" s="410">
        <f t="shared" ca="1" si="8"/>
        <v>539.09786790963688</v>
      </c>
      <c r="L50" s="413">
        <f t="shared" ca="1" si="9"/>
        <v>3090.9606477392999</v>
      </c>
      <c r="M50" s="416">
        <f t="shared" ca="1" si="10"/>
        <v>16.104459543837429</v>
      </c>
    </row>
    <row r="51" spans="2:13" x14ac:dyDescent="0.2">
      <c r="B51" s="426">
        <f t="shared" si="11"/>
        <v>104</v>
      </c>
      <c r="C51" s="404">
        <f t="shared" si="1"/>
        <v>2.601552876437708E-3</v>
      </c>
      <c r="D51" s="401">
        <f ca="1">MpropuPlein+0.25*MasseSans</f>
        <v>5.3860000000000001</v>
      </c>
      <c r="E51" s="401">
        <f t="shared" ca="1" si="2"/>
        <v>4.4495000000000005</v>
      </c>
      <c r="F51" s="401">
        <f t="shared" ca="1" si="3"/>
        <v>3.5129999999999999</v>
      </c>
      <c r="G51" s="408">
        <f t="shared" ca="1" si="4"/>
        <v>169.74673978541711</v>
      </c>
      <c r="H51" s="404">
        <f t="shared" ca="1" si="5"/>
        <v>5.8468431878586536E-4</v>
      </c>
      <c r="I51" s="404">
        <f t="shared" ca="1" si="6"/>
        <v>7.405502067855702E-4</v>
      </c>
      <c r="J51" s="404">
        <f t="shared" ca="1" si="7"/>
        <v>1423.510013769923</v>
      </c>
      <c r="K51" s="411">
        <f t="shared" ca="1" si="8"/>
        <v>485.15387138839668</v>
      </c>
      <c r="L51" s="414">
        <f t="shared" ca="1" si="9"/>
        <v>3403.2314770044113</v>
      </c>
      <c r="M51" s="417">
        <f t="shared" ca="1" si="10"/>
        <v>20.376451457974124</v>
      </c>
    </row>
    <row r="52" spans="2:13" x14ac:dyDescent="0.2">
      <c r="B52" s="426">
        <f t="shared" si="11"/>
        <v>104</v>
      </c>
      <c r="C52" s="404">
        <f t="shared" si="1"/>
        <v>2.601552876437708E-3</v>
      </c>
      <c r="D52" s="401">
        <f ca="1">MpropuPlein+0.5*MasseSans</f>
        <v>7.2610000000000001</v>
      </c>
      <c r="E52" s="401">
        <f t="shared" ca="1" si="2"/>
        <v>6.3245000000000005</v>
      </c>
      <c r="F52" s="401">
        <f t="shared" ca="1" si="3"/>
        <v>5.3879999999999999</v>
      </c>
      <c r="G52" s="408">
        <f t="shared" ca="1" si="4"/>
        <v>116.51424913830556</v>
      </c>
      <c r="H52" s="404">
        <f t="shared" ca="1" si="5"/>
        <v>4.113452251462895E-4</v>
      </c>
      <c r="I52" s="404">
        <f t="shared" ca="1" si="6"/>
        <v>4.8284203348880996E-4</v>
      </c>
      <c r="J52" s="404">
        <f t="shared" ca="1" si="7"/>
        <v>1100.3236355611216</v>
      </c>
      <c r="K52" s="411">
        <f t="shared" ca="1" si="8"/>
        <v>410.71938060933371</v>
      </c>
      <c r="L52" s="414">
        <f t="shared" ca="1" si="9"/>
        <v>3409.8981308918692</v>
      </c>
      <c r="M52" s="417">
        <f t="shared" ca="1" si="10"/>
        <v>22.649951217794172</v>
      </c>
    </row>
    <row r="53" spans="2:13" x14ac:dyDescent="0.2">
      <c r="B53" s="426">
        <f t="shared" si="11"/>
        <v>104</v>
      </c>
      <c r="C53" s="404">
        <f t="shared" si="1"/>
        <v>2.601552876437708E-3</v>
      </c>
      <c r="D53" s="401">
        <f ca="1">MpropuPlein+0.75*MasseSans</f>
        <v>9.1359999999999992</v>
      </c>
      <c r="E53" s="401">
        <f t="shared" ca="1" si="2"/>
        <v>8.1994999999999987</v>
      </c>
      <c r="F53" s="401">
        <f t="shared" ca="1" si="3"/>
        <v>7.262999999999999</v>
      </c>
      <c r="G53" s="408">
        <f t="shared" ca="1" si="4"/>
        <v>87.627369800013867</v>
      </c>
      <c r="H53" s="404">
        <f t="shared" ca="1" si="5"/>
        <v>3.1728189236388909E-4</v>
      </c>
      <c r="I53" s="404">
        <f t="shared" ca="1" si="6"/>
        <v>3.5819260311685368E-4</v>
      </c>
      <c r="J53" s="404">
        <f t="shared" ca="1" si="7"/>
        <v>875.60269173719234</v>
      </c>
      <c r="K53" s="411">
        <f t="shared" ca="1" si="8"/>
        <v>343.12172444476033</v>
      </c>
      <c r="L53" s="414">
        <f t="shared" ca="1" si="9"/>
        <v>3203.2252929622373</v>
      </c>
      <c r="M53" s="417">
        <f t="shared" ca="1" si="10"/>
        <v>23.597658347332974</v>
      </c>
    </row>
    <row r="54" spans="2:13" x14ac:dyDescent="0.2">
      <c r="B54" s="426">
        <f t="shared" si="11"/>
        <v>104</v>
      </c>
      <c r="C54" s="404">
        <f t="shared" si="1"/>
        <v>2.601552876437708E-3</v>
      </c>
      <c r="D54" s="401">
        <f ca="1">MpropuPlein+1*MasseSans</f>
        <v>11.010999999999999</v>
      </c>
      <c r="E54" s="401">
        <f t="shared" ca="1" si="2"/>
        <v>10.074499999999999</v>
      </c>
      <c r="F54" s="401">
        <f t="shared" ca="1" si="3"/>
        <v>9.1379999999999981</v>
      </c>
      <c r="G54" s="408">
        <f t="shared" ca="1" si="4"/>
        <v>69.492964283608487</v>
      </c>
      <c r="H54" s="404">
        <f t="shared" ca="1" si="5"/>
        <v>2.5823146324261336E-4</v>
      </c>
      <c r="I54" s="404">
        <f t="shared" ca="1" si="6"/>
        <v>2.8469609065853675E-4</v>
      </c>
      <c r="J54" s="404">
        <f t="shared" ca="1" si="7"/>
        <v>715.85006388724889</v>
      </c>
      <c r="K54" s="411">
        <f t="shared" ca="1" si="8"/>
        <v>288.39716899977691</v>
      </c>
      <c r="L54" s="414">
        <f t="shared" ca="1" si="9"/>
        <v>2872.2108431839879</v>
      </c>
      <c r="M54" s="417">
        <f t="shared" ca="1" si="10"/>
        <v>23.581424880659544</v>
      </c>
    </row>
    <row r="55" spans="2:13" x14ac:dyDescent="0.2">
      <c r="B55" s="426">
        <f t="shared" si="11"/>
        <v>104</v>
      </c>
      <c r="C55" s="404">
        <f t="shared" si="1"/>
        <v>2.601552876437708E-3</v>
      </c>
      <c r="D55" s="401">
        <f ca="1">MpropuPlein+1.25*MasseSans</f>
        <v>12.885999999999999</v>
      </c>
      <c r="E55" s="401">
        <f t="shared" ca="1" si="2"/>
        <v>11.949499999999999</v>
      </c>
      <c r="F55" s="401">
        <f t="shared" ca="1" si="3"/>
        <v>11.012999999999998</v>
      </c>
      <c r="G55" s="408">
        <f t="shared" ca="1" si="4"/>
        <v>57.049509910474384</v>
      </c>
      <c r="H55" s="404">
        <f t="shared" ca="1" si="5"/>
        <v>2.1771227887674868E-4</v>
      </c>
      <c r="I55" s="404">
        <f t="shared" ca="1" si="6"/>
        <v>2.3622563120291552E-4</v>
      </c>
      <c r="J55" s="404">
        <f t="shared" ca="1" si="7"/>
        <v>598.33323549806528</v>
      </c>
      <c r="K55" s="411">
        <f t="shared" ca="1" si="8"/>
        <v>245.15441621184036</v>
      </c>
      <c r="L55" s="414">
        <f t="shared" ca="1" si="9"/>
        <v>2492.6167365313854</v>
      </c>
      <c r="M55" s="417">
        <f t="shared" ca="1" si="10"/>
        <v>22.904045760956699</v>
      </c>
    </row>
    <row r="56" spans="2:13" x14ac:dyDescent="0.2">
      <c r="B56" s="426">
        <f t="shared" si="11"/>
        <v>104</v>
      </c>
      <c r="C56" s="404">
        <f t="shared" si="1"/>
        <v>2.601552876437708E-3</v>
      </c>
      <c r="D56" s="401">
        <f ca="1">MpropuPlein+1.5*MasseSans</f>
        <v>14.760999999999999</v>
      </c>
      <c r="E56" s="401">
        <f t="shared" ca="1" si="2"/>
        <v>13.824499999999999</v>
      </c>
      <c r="F56" s="401">
        <f t="shared" ca="1" si="3"/>
        <v>12.887999999999998</v>
      </c>
      <c r="G56" s="408">
        <f t="shared" ca="1" si="4"/>
        <v>47.981436484155928</v>
      </c>
      <c r="H56" s="404">
        <f t="shared" ca="1" si="5"/>
        <v>1.8818422919004003E-4</v>
      </c>
      <c r="I56" s="404">
        <f t="shared" ca="1" si="6"/>
        <v>2.0185854100230512E-4</v>
      </c>
      <c r="J56" s="404">
        <f t="shared" ca="1" si="7"/>
        <v>508.99678065820046</v>
      </c>
      <c r="K56" s="411">
        <f t="shared" ca="1" si="8"/>
        <v>210.83446165343074</v>
      </c>
      <c r="L56" s="414">
        <f t="shared" ca="1" si="9"/>
        <v>2117.9003615756319</v>
      </c>
      <c r="M56" s="417">
        <f t="shared" ca="1" si="10"/>
        <v>21.828521109772094</v>
      </c>
    </row>
    <row r="57" spans="2:13" x14ac:dyDescent="0.2">
      <c r="B57" s="426">
        <f t="shared" si="11"/>
        <v>104</v>
      </c>
      <c r="C57" s="404">
        <f t="shared" si="1"/>
        <v>2.601552876437708E-3</v>
      </c>
      <c r="D57" s="401">
        <f ca="1">MpropuPlein+1.75*MasseSans</f>
        <v>16.635999999999999</v>
      </c>
      <c r="E57" s="401">
        <f t="shared" ca="1" si="2"/>
        <v>15.699499999999999</v>
      </c>
      <c r="F57" s="401">
        <f t="shared" ca="1" si="3"/>
        <v>14.762999999999998</v>
      </c>
      <c r="G57" s="408">
        <f t="shared" ca="1" si="4"/>
        <v>41.079373144062778</v>
      </c>
      <c r="H57" s="404">
        <f t="shared" ca="1" si="5"/>
        <v>1.6570928223432008E-4</v>
      </c>
      <c r="I57" s="404">
        <f t="shared" ca="1" si="6"/>
        <v>1.7622115264090689E-4</v>
      </c>
      <c r="J57" s="404">
        <f t="shared" ca="1" si="7"/>
        <v>439.11485854745786</v>
      </c>
      <c r="K57" s="411">
        <f t="shared" ca="1" si="8"/>
        <v>183.23429101009421</v>
      </c>
      <c r="L57" s="414">
        <f t="shared" ca="1" si="9"/>
        <v>1778.2012491864557</v>
      </c>
      <c r="M57" s="417">
        <f t="shared" ca="1" si="10"/>
        <v>20.56131566957853</v>
      </c>
    </row>
    <row r="58" spans="2:13" x14ac:dyDescent="0.2">
      <c r="B58" s="427">
        <f t="shared" si="11"/>
        <v>104</v>
      </c>
      <c r="C58" s="405">
        <f t="shared" si="1"/>
        <v>2.601552876437708E-3</v>
      </c>
      <c r="D58" s="402">
        <f ca="1">MpropuPlein+2*MasseSans</f>
        <v>18.510999999999999</v>
      </c>
      <c r="E58" s="402">
        <f t="shared" ca="1" si="2"/>
        <v>17.5745</v>
      </c>
      <c r="F58" s="402">
        <f t="shared" ca="1" si="3"/>
        <v>16.637999999999998</v>
      </c>
      <c r="G58" s="409">
        <f t="shared" ca="1" si="4"/>
        <v>35.650053695707619</v>
      </c>
      <c r="H58" s="405">
        <f t="shared" ca="1" si="5"/>
        <v>1.4802997959758218E-4</v>
      </c>
      <c r="I58" s="405">
        <f t="shared" ca="1" si="6"/>
        <v>1.5636211542479315E-4</v>
      </c>
      <c r="J58" s="405">
        <f t="shared" ca="1" si="7"/>
        <v>383.11390119585184</v>
      </c>
      <c r="K58" s="412">
        <f t="shared" ca="1" si="8"/>
        <v>160.69801320747735</v>
      </c>
      <c r="L58" s="415">
        <f t="shared" ca="1" si="9"/>
        <v>1485.4567003542115</v>
      </c>
      <c r="M58" s="418">
        <f t="shared" ca="1" si="10"/>
        <v>19.244560045970562</v>
      </c>
    </row>
    <row r="59" spans="2:13" x14ac:dyDescent="0.2">
      <c r="B59" s="425">
        <f t="shared" ref="B59:B67" si="12">D_ref*1.5</f>
        <v>156</v>
      </c>
      <c r="C59" s="403">
        <f t="shared" si="1"/>
        <v>5.8534939719848429E-3</v>
      </c>
      <c r="D59" s="400">
        <f ca="1">MpropuPlein+0*MasseSans</f>
        <v>3.5110000000000001</v>
      </c>
      <c r="E59" s="400">
        <f t="shared" ca="1" si="2"/>
        <v>2.5745</v>
      </c>
      <c r="F59" s="400">
        <f t="shared" ca="1" si="3"/>
        <v>1.6379999999999999</v>
      </c>
      <c r="G59" s="407">
        <f t="shared" ca="1" si="4"/>
        <v>300.51733100610352</v>
      </c>
      <c r="H59" s="403">
        <f t="shared" ca="1" si="5"/>
        <v>2.2736430266012209E-3</v>
      </c>
      <c r="I59" s="403">
        <f t="shared" ca="1" si="6"/>
        <v>3.5735616434583901E-3</v>
      </c>
      <c r="J59" s="403">
        <f t="shared" ca="1" si="7"/>
        <v>1396.7810814027123</v>
      </c>
      <c r="K59" s="410">
        <f t="shared" ca="1" si="8"/>
        <v>363.24076561679539</v>
      </c>
      <c r="L59" s="413">
        <f t="shared" ca="1" si="9"/>
        <v>1941.4938071543661</v>
      </c>
      <c r="M59" s="416">
        <f t="shared" ca="1" si="10"/>
        <v>12.304372550295348</v>
      </c>
    </row>
    <row r="60" spans="2:13" x14ac:dyDescent="0.2">
      <c r="B60" s="426">
        <f t="shared" si="12"/>
        <v>156</v>
      </c>
      <c r="C60" s="404">
        <f t="shared" si="1"/>
        <v>5.8534939719848429E-3</v>
      </c>
      <c r="D60" s="401">
        <f ca="1">MpropuPlein+0.25*MasseSans</f>
        <v>5.3860000000000001</v>
      </c>
      <c r="E60" s="401">
        <f t="shared" ca="1" si="2"/>
        <v>4.4495000000000005</v>
      </c>
      <c r="F60" s="401">
        <f t="shared" ca="1" si="3"/>
        <v>3.5129999999999999</v>
      </c>
      <c r="G60" s="408">
        <f t="shared" ca="1" si="4"/>
        <v>169.74673978541711</v>
      </c>
      <c r="H60" s="404">
        <f t="shared" ca="1" si="5"/>
        <v>1.315539717268197E-3</v>
      </c>
      <c r="I60" s="404">
        <f t="shared" ca="1" si="6"/>
        <v>1.6662379652675329E-3</v>
      </c>
      <c r="J60" s="404">
        <f t="shared" ca="1" si="7"/>
        <v>1163.2771756625443</v>
      </c>
      <c r="K60" s="411">
        <f t="shared" ca="1" si="8"/>
        <v>350.6937138774266</v>
      </c>
      <c r="L60" s="414">
        <f t="shared" ca="1" si="9"/>
        <v>2089.3148135941342</v>
      </c>
      <c r="M60" s="417">
        <f t="shared" ca="1" si="10"/>
        <v>15.281394270358486</v>
      </c>
    </row>
    <row r="61" spans="2:13" x14ac:dyDescent="0.2">
      <c r="B61" s="426">
        <f t="shared" si="12"/>
        <v>156</v>
      </c>
      <c r="C61" s="404">
        <f t="shared" si="1"/>
        <v>5.8534939719848429E-3</v>
      </c>
      <c r="D61" s="401">
        <f ca="1">MpropuPlein+0.5*MasseSans</f>
        <v>7.2610000000000001</v>
      </c>
      <c r="E61" s="401">
        <f t="shared" ca="1" si="2"/>
        <v>6.3245000000000005</v>
      </c>
      <c r="F61" s="401">
        <f t="shared" ca="1" si="3"/>
        <v>5.3879999999999999</v>
      </c>
      <c r="G61" s="408">
        <f t="shared" ca="1" si="4"/>
        <v>116.51424913830556</v>
      </c>
      <c r="H61" s="404">
        <f t="shared" ca="1" si="5"/>
        <v>9.255267565791513E-4</v>
      </c>
      <c r="I61" s="404">
        <f t="shared" ca="1" si="6"/>
        <v>1.0863945753498223E-3</v>
      </c>
      <c r="J61" s="404">
        <f t="shared" ca="1" si="7"/>
        <v>960.43648736089972</v>
      </c>
      <c r="K61" s="411">
        <f t="shared" ca="1" si="8"/>
        <v>323.44012699757161</v>
      </c>
      <c r="L61" s="414">
        <f t="shared" ca="1" si="9"/>
        <v>2126.0017452414368</v>
      </c>
      <c r="M61" s="417">
        <f t="shared" ca="1" si="10"/>
        <v>17.127681660562828</v>
      </c>
    </row>
    <row r="62" spans="2:13" x14ac:dyDescent="0.2">
      <c r="B62" s="426">
        <f t="shared" si="12"/>
        <v>156</v>
      </c>
      <c r="C62" s="404">
        <f t="shared" si="1"/>
        <v>5.8534939719848429E-3</v>
      </c>
      <c r="D62" s="401">
        <f ca="1">MpropuPlein+0.75*MasseSans</f>
        <v>9.1359999999999992</v>
      </c>
      <c r="E62" s="401">
        <f t="shared" ca="1" si="2"/>
        <v>8.1994999999999987</v>
      </c>
      <c r="F62" s="401">
        <f t="shared" ca="1" si="3"/>
        <v>7.262999999999999</v>
      </c>
      <c r="G62" s="408">
        <f t="shared" ca="1" si="4"/>
        <v>87.627369800013867</v>
      </c>
      <c r="H62" s="404">
        <f t="shared" ca="1" si="5"/>
        <v>7.1388425781875042E-4</v>
      </c>
      <c r="I62" s="404">
        <f t="shared" ca="1" si="6"/>
        <v>8.0593335701292074E-4</v>
      </c>
      <c r="J62" s="404">
        <f t="shared" ca="1" si="7"/>
        <v>797.39726858227846</v>
      </c>
      <c r="K62" s="411">
        <f t="shared" ca="1" si="8"/>
        <v>288.84494611143788</v>
      </c>
      <c r="L62" s="414">
        <f t="shared" ca="1" si="9"/>
        <v>2076.0726236962578</v>
      </c>
      <c r="M62" s="417">
        <f t="shared" ca="1" si="10"/>
        <v>18.242513663567937</v>
      </c>
    </row>
    <row r="63" spans="2:13" x14ac:dyDescent="0.2">
      <c r="B63" s="426">
        <f t="shared" si="12"/>
        <v>156</v>
      </c>
      <c r="C63" s="404">
        <f t="shared" si="1"/>
        <v>5.8534939719848429E-3</v>
      </c>
      <c r="D63" s="401">
        <f ca="1">MpropuPlein+1*MasseSans</f>
        <v>11.010999999999999</v>
      </c>
      <c r="E63" s="401">
        <f t="shared" ca="1" si="2"/>
        <v>10.074499999999999</v>
      </c>
      <c r="F63" s="401">
        <f t="shared" ca="1" si="3"/>
        <v>9.1379999999999981</v>
      </c>
      <c r="G63" s="408">
        <f t="shared" ca="1" si="4"/>
        <v>69.492964283608487</v>
      </c>
      <c r="H63" s="404">
        <f t="shared" ca="1" si="5"/>
        <v>5.8102079229588007E-4</v>
      </c>
      <c r="I63" s="404">
        <f t="shared" ca="1" si="6"/>
        <v>6.4056620398170758E-4</v>
      </c>
      <c r="J63" s="404">
        <f t="shared" ca="1" si="7"/>
        <v>669.78292559497856</v>
      </c>
      <c r="K63" s="411">
        <f t="shared" ca="1" si="8"/>
        <v>254.33225217999922</v>
      </c>
      <c r="L63" s="414">
        <f t="shared" ca="1" si="9"/>
        <v>1960.2154645338896</v>
      </c>
      <c r="M63" s="417">
        <f t="shared" ca="1" si="10"/>
        <v>18.78275551062454</v>
      </c>
    </row>
    <row r="64" spans="2:13" x14ac:dyDescent="0.2">
      <c r="B64" s="426">
        <f t="shared" si="12"/>
        <v>156</v>
      </c>
      <c r="C64" s="404">
        <f t="shared" si="1"/>
        <v>5.8534939719848429E-3</v>
      </c>
      <c r="D64" s="401">
        <f ca="1">MpropuPlein+1.25*MasseSans</f>
        <v>12.885999999999999</v>
      </c>
      <c r="E64" s="401">
        <f t="shared" ca="1" si="2"/>
        <v>11.949499999999999</v>
      </c>
      <c r="F64" s="401">
        <f t="shared" ca="1" si="3"/>
        <v>11.012999999999998</v>
      </c>
      <c r="G64" s="408">
        <f t="shared" ca="1" si="4"/>
        <v>57.049509910474384</v>
      </c>
      <c r="H64" s="404">
        <f t="shared" ca="1" si="5"/>
        <v>4.8985262747268453E-4</v>
      </c>
      <c r="I64" s="404">
        <f t="shared" ca="1" si="6"/>
        <v>5.3150767020655992E-4</v>
      </c>
      <c r="J64" s="404">
        <f t="shared" ca="1" si="7"/>
        <v>569.81450525658204</v>
      </c>
      <c r="K64" s="411">
        <f t="shared" ca="1" si="8"/>
        <v>223.20753694671095</v>
      </c>
      <c r="L64" s="414">
        <f t="shared" ca="1" si="9"/>
        <v>1800.4228189140445</v>
      </c>
      <c r="M64" s="417">
        <f t="shared" ca="1" si="10"/>
        <v>18.861643891683713</v>
      </c>
    </row>
    <row r="65" spans="2:13" x14ac:dyDescent="0.2">
      <c r="B65" s="426">
        <f t="shared" si="12"/>
        <v>156</v>
      </c>
      <c r="C65" s="404">
        <f t="shared" si="1"/>
        <v>5.8534939719848429E-3</v>
      </c>
      <c r="D65" s="401">
        <f ca="1">MpropuPlein+1.5*MasseSans</f>
        <v>14.760999999999999</v>
      </c>
      <c r="E65" s="401">
        <f t="shared" ca="1" si="2"/>
        <v>13.824499999999999</v>
      </c>
      <c r="F65" s="401">
        <f t="shared" ca="1" si="3"/>
        <v>12.887999999999998</v>
      </c>
      <c r="G65" s="408">
        <f t="shared" ca="1" si="4"/>
        <v>47.981436484155928</v>
      </c>
      <c r="H65" s="404">
        <f t="shared" ca="1" si="5"/>
        <v>4.2341451567759003E-4</v>
      </c>
      <c r="I65" s="404">
        <f t="shared" ca="1" si="6"/>
        <v>4.5418171725518651E-4</v>
      </c>
      <c r="J65" s="404">
        <f t="shared" ca="1" si="7"/>
        <v>490.56346415576564</v>
      </c>
      <c r="K65" s="411">
        <f t="shared" ca="1" si="8"/>
        <v>196.27021550750464</v>
      </c>
      <c r="L65" s="414">
        <f t="shared" ca="1" si="9"/>
        <v>1617.5393735491994</v>
      </c>
      <c r="M65" s="417">
        <f t="shared" ca="1" si="10"/>
        <v>18.583646812013605</v>
      </c>
    </row>
    <row r="66" spans="2:13" x14ac:dyDescent="0.2">
      <c r="B66" s="426">
        <f t="shared" si="12"/>
        <v>156</v>
      </c>
      <c r="C66" s="404">
        <f t="shared" si="1"/>
        <v>5.8534939719848429E-3</v>
      </c>
      <c r="D66" s="401">
        <f ca="1">MpropuPlein+1.75*MasseSans</f>
        <v>16.635999999999999</v>
      </c>
      <c r="E66" s="401">
        <f t="shared" ca="1" si="2"/>
        <v>15.699499999999999</v>
      </c>
      <c r="F66" s="401">
        <f t="shared" ca="1" si="3"/>
        <v>14.762999999999998</v>
      </c>
      <c r="G66" s="408">
        <f t="shared" ca="1" si="4"/>
        <v>41.079373144062778</v>
      </c>
      <c r="H66" s="404">
        <f t="shared" ca="1" si="5"/>
        <v>3.728458850272202E-4</v>
      </c>
      <c r="I66" s="404">
        <f t="shared" ca="1" si="6"/>
        <v>3.9649759344204046E-4</v>
      </c>
      <c r="J66" s="404">
        <f t="shared" ca="1" si="7"/>
        <v>426.75935246197793</v>
      </c>
      <c r="K66" s="411">
        <f t="shared" ca="1" si="8"/>
        <v>173.29356964192101</v>
      </c>
      <c r="L66" s="414">
        <f t="shared" ca="1" si="9"/>
        <v>1428.9054110346774</v>
      </c>
      <c r="M66" s="417">
        <f t="shared" ca="1" si="10"/>
        <v>18.048537358641809</v>
      </c>
    </row>
    <row r="67" spans="2:13" x14ac:dyDescent="0.2">
      <c r="B67" s="427">
        <f t="shared" si="12"/>
        <v>156</v>
      </c>
      <c r="C67" s="405">
        <f t="shared" si="1"/>
        <v>5.8534939719848429E-3</v>
      </c>
      <c r="D67" s="402">
        <f ca="1">MpropuPlein+2*MasseSans</f>
        <v>18.510999999999999</v>
      </c>
      <c r="E67" s="402">
        <f t="shared" ca="1" si="2"/>
        <v>17.5745</v>
      </c>
      <c r="F67" s="402">
        <f t="shared" ca="1" si="3"/>
        <v>16.637999999999998</v>
      </c>
      <c r="G67" s="409">
        <f t="shared" ca="1" si="4"/>
        <v>35.650053695707619</v>
      </c>
      <c r="H67" s="405">
        <f t="shared" ca="1" si="5"/>
        <v>3.330674540945599E-4</v>
      </c>
      <c r="I67" s="405">
        <f t="shared" ca="1" si="6"/>
        <v>3.5181475970578454E-4</v>
      </c>
      <c r="J67" s="405">
        <f t="shared" ca="1" si="7"/>
        <v>374.57684583780667</v>
      </c>
      <c r="K67" s="412">
        <f t="shared" ca="1" si="8"/>
        <v>153.74019463544306</v>
      </c>
      <c r="L67" s="415">
        <f t="shared" ca="1" si="9"/>
        <v>1247.0787338716461</v>
      </c>
      <c r="M67" s="418">
        <f t="shared" ca="1" si="10"/>
        <v>17.346436853393065</v>
      </c>
    </row>
    <row r="71" spans="2:13" x14ac:dyDescent="0.2">
      <c r="B71" s="24" t="str">
        <f>IF(Lang="Français","Textes pour les graphiques :","Texts for graphics :")</f>
        <v>Textes pour les graphiques :</v>
      </c>
    </row>
    <row r="73" spans="2:13" x14ac:dyDescent="0.2">
      <c r="B73" t="str">
        <f>IF(Lang="Français","Masse totale",IF(Lang="English","Total Mass",""))</f>
        <v>Masse totale</v>
      </c>
    </row>
    <row r="74" spans="2:13" x14ac:dyDescent="0.2">
      <c r="B74" t="str">
        <f>IF(Lang="Français","Vitesse max",IF(Lang="English","Max Velocity",""))</f>
        <v>Vitesse max</v>
      </c>
    </row>
    <row r="75" spans="2:13" x14ac:dyDescent="0.2">
      <c r="B75" t="str">
        <f>Abaco!$B$74 &amp; " / " &amp; Abaco!$B$73</f>
        <v>Vitesse max / Masse totale</v>
      </c>
    </row>
    <row r="76" spans="2:13" x14ac:dyDescent="0.2">
      <c r="B76" t="str">
        <f>IF(Lang="Français","Altitude max",IF(Lang="English","Max Altitude",""))</f>
        <v>Altitude max</v>
      </c>
    </row>
    <row r="77" spans="2:13" x14ac:dyDescent="0.2">
      <c r="B77" t="str">
        <f>Abaco!$B$76 &amp; " / " &amp; Abaco!$B$73</f>
        <v>Altitude max / Masse totale</v>
      </c>
    </row>
    <row r="78" spans="2:13" x14ac:dyDescent="0.2">
      <c r="B78" t="str">
        <f>IF(Lang="Français","Temps de culmination",IF(Lang="English","Apogee time",""))</f>
        <v>Temps de culmination</v>
      </c>
    </row>
    <row r="79" spans="2:13" x14ac:dyDescent="0.2">
      <c r="B79" t="str">
        <f>Abaco!$B$78 &amp; " / " &amp; Abaco!$B$73</f>
        <v>Temps de culmination / Masse totale</v>
      </c>
    </row>
  </sheetData>
  <sheetProtection password="C6AC" sheet="1"/>
  <mergeCells count="12">
    <mergeCell ref="C9:D9"/>
    <mergeCell ref="C2:D3"/>
    <mergeCell ref="C4:D4"/>
    <mergeCell ref="C5:D5"/>
    <mergeCell ref="C7:D7"/>
    <mergeCell ref="C8:D8"/>
    <mergeCell ref="C10:D10"/>
    <mergeCell ref="C12:D12"/>
    <mergeCell ref="C14:D14"/>
    <mergeCell ref="C15:D15"/>
    <mergeCell ref="C16:D16"/>
    <mergeCell ref="C11:D11"/>
  </mergeCells>
  <dataValidations count="3">
    <dataValidation type="decimal" errorStyle="warning" showErrorMessage="1" errorTitle="Cx" error="Le Cx est souvent compris entre 0 et 1._x000a_Cx may be between 0 &amp; 1." sqref="C16:D16" xr:uid="{D81E4ED2-9261-B642-B15E-49553D6C8983}">
      <formula1>0</formula1>
      <formula2>1</formula2>
    </dataValidation>
    <dataValidation operator="greaterThanOrEqual" sqref="C10:D11" xr:uid="{1C08AD22-3102-FB4A-9961-C2D98C3A3BF9}"/>
    <dataValidation sqref="C12:D12" xr:uid="{03A46D1E-7CC5-4549-87C5-1195B5F980EC}"/>
  </dataValidations>
  <hyperlinks>
    <hyperlink ref="B12" location="Stabilito!C17" display="Stabilito!C17" xr:uid="{65AA46A2-0591-9244-969E-2AE41021F0B8}"/>
  </hyperlinks>
  <pageMargins left="0.70866141732283472" right="0.70866141732283472" top="0.74803149606299213" bottom="0.74803149606299213" header="0.31496062992125984" footer="0.31496062992125984"/>
  <pageSetup paperSize="9" scale="92" orientation="landscape"/>
  <drawing r:id="rId1"/>
  <legacyDrawing r:id="rId2"/>
  <oleObjects>
    <mc:AlternateContent xmlns:mc="http://schemas.openxmlformats.org/markup-compatibility/2006">
      <mc:Choice Requires="x14">
        <oleObject progId="Equation.3" shapeId="2604101" r:id="rId3">
          <objectPr defaultSize="0" autoPict="0" r:id="rId4">
            <anchor moveWithCells="1">
              <from>
                <xdr:col>8</xdr:col>
                <xdr:colOff>352425</xdr:colOff>
                <xdr:row>68</xdr:row>
                <xdr:rowOff>28575</xdr:rowOff>
              </from>
              <to>
                <xdr:col>12</xdr:col>
                <xdr:colOff>809625</xdr:colOff>
                <xdr:row>85</xdr:row>
                <xdr:rowOff>9525</xdr:rowOff>
              </to>
            </anchor>
          </objectPr>
        </oleObject>
      </mc:Choice>
      <mc:Fallback>
        <oleObject progId="Equation.3" shapeId="2604101" r:id="rId3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04063" r:id="rId5" name="Spinner 31">
              <controlPr defaultSize="0" print="0" autoPict="0">
                <anchor moveWithCells="1" sizeWithCells="1">
                  <from>
                    <xdr:col>3</xdr:col>
                    <xdr:colOff>695325</xdr:colOff>
                    <xdr:row>9</xdr:row>
                    <xdr:rowOff>9525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202" r:id="rId6" name="Spinner 170">
              <controlPr defaultSize="0" print="0" autoPict="0">
                <anchor moveWithCells="1" sizeWithCells="1">
                  <from>
                    <xdr:col>3</xdr:col>
                    <xdr:colOff>695325</xdr:colOff>
                    <xdr:row>10</xdr:row>
                    <xdr:rowOff>9525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ED20-6AF7-5A4A-8744-07EF8F441747}">
  <sheetPr codeName="Feuil6">
    <pageSetUpPr fitToPage="1"/>
  </sheetPr>
  <dimension ref="C2:H58"/>
  <sheetViews>
    <sheetView showGridLines="0" workbookViewId="0">
      <selection activeCell="H5" sqref="H5"/>
    </sheetView>
  </sheetViews>
  <sheetFormatPr baseColWidth="10" defaultRowHeight="12.75" x14ac:dyDescent="0.2"/>
  <cols>
    <col min="1" max="1" width="2.140625" customWidth="1"/>
    <col min="2" max="2" width="16.28515625" customWidth="1"/>
    <col min="3" max="4" width="13.7109375" customWidth="1"/>
  </cols>
  <sheetData>
    <row r="2" spans="3:8" x14ac:dyDescent="0.2">
      <c r="C2" s="591" t="s">
        <v>183</v>
      </c>
      <c r="D2" s="591"/>
    </row>
    <row r="3" spans="3:8" x14ac:dyDescent="0.2">
      <c r="C3" s="591"/>
      <c r="D3" s="591"/>
    </row>
    <row r="5" spans="3:8" x14ac:dyDescent="0.2">
      <c r="C5" s="13" t="str">
        <f>IF(Lang="Français","Stabilité de fusée à ailerons","Stability of finned rocket")</f>
        <v>Stabilité de fusée à ailerons</v>
      </c>
    </row>
    <row r="6" spans="3:8" x14ac:dyDescent="0.2">
      <c r="C6" s="2" t="str">
        <f>IF(Lang="Français","Calculs de Stabilité basés sur les équations de Barrowman","Stability calculs are based on Barrowman equations")</f>
        <v>Calculs de Stabilité basés sur les équations de Barrowman</v>
      </c>
    </row>
    <row r="7" spans="3:8" x14ac:dyDescent="0.2">
      <c r="C7" s="13" t="str">
        <f>IF(Lang="Français","Trajectographie de fusée","Rocket Trajectography")</f>
        <v>Trajectographie de fusée</v>
      </c>
    </row>
    <row r="8" spans="3:8" x14ac:dyDescent="0.2">
      <c r="C8" s="2" t="str">
        <f>IF(Lang="Français","Trajectoire dans un plan par calcul pas à pas","Trajectory in a plane, step by step computation")</f>
        <v>Trajectoire dans un plan par calcul pas à pas</v>
      </c>
    </row>
    <row r="9" spans="3:8" x14ac:dyDescent="0.2">
      <c r="C9" s="2"/>
    </row>
    <row r="10" spans="3:8" x14ac:dyDescent="0.2">
      <c r="C10" s="14" t="str">
        <f>IF(Lang="Français","Documentation et équations :","Documentation and equations are aviable in french:")</f>
        <v>Documentation et équations :</v>
      </c>
    </row>
    <row r="11" spans="3:8" x14ac:dyDescent="0.2">
      <c r="C11" t="str">
        <f>IF(Lang="Français","voir le dossier technique Planète-Sciences ''Le Vol de la Fusée, Stabilité &amp; Trajectographie''","dossier technique Planète-Sciences ''Le Vol de la Fusée, Stabilité &amp; Trajectographie''")</f>
        <v>voir le dossier technique Planète-Sciences ''Le Vol de la Fusée, Stabilité &amp; Trajectographie''</v>
      </c>
    </row>
    <row r="12" spans="3:8" x14ac:dyDescent="0.2">
      <c r="C12" t="str">
        <f>IF(Lang="Français","Néanmoins, les équations d'intégration du mouvement utilisées sont légèrement différentes !","")</f>
        <v>Néanmoins, les équations d'intégration du mouvement utilisées sont légèrement différentes !</v>
      </c>
    </row>
    <row r="13" spans="3:8" x14ac:dyDescent="0.2">
      <c r="C13" t="str">
        <f>IF(Lang="Français","Logiciels et dossier technique téléchargeables sur :","Softwares and french documentation can be downloaded at:")</f>
        <v>Logiciels et dossier technique téléchargeables sur :</v>
      </c>
      <c r="H13" s="15" t="s">
        <v>40</v>
      </c>
    </row>
    <row r="15" spans="3:8" x14ac:dyDescent="0.2">
      <c r="C15" s="14" t="str">
        <f>IF(Lang="Français","Pour les experts :","For experts:")</f>
        <v>Pour les experts :</v>
      </c>
    </row>
    <row r="16" spans="3:8" x14ac:dyDescent="0.2">
      <c r="C16" t="str">
        <f>IF(Lang="Français","Pour les curieux et les experts, vous pouvez déprotéger les feuilles de calcul (mot de passe : anstj),","Curious people can unlock excel sheets with this password : anstj")</f>
        <v>Pour les curieux et les experts, vous pouvez déprotéger les feuilles de calcul (mot de passe : anstj),</v>
      </c>
    </row>
    <row r="17" spans="3:8" x14ac:dyDescent="0.2">
      <c r="C17" t="str">
        <f>IF(Lang="Français","et faire vos modifications personnelles (ajout de moteur...).","and do your personal modification (adding a motor...)")</f>
        <v>et faire vos modifications personnelles (ajout de moteur...).</v>
      </c>
    </row>
    <row r="18" spans="3:8" x14ac:dyDescent="0.2">
      <c r="C18" t="s">
        <v>425</v>
      </c>
    </row>
    <row r="19" spans="3:8" x14ac:dyDescent="0.2">
      <c r="C19" t="str">
        <f>IF(Lang="Français","Merci néanmoins de diffuser uniquement la version officielle protégée (fichier initial).","Please avoid distributing unlocked version.")</f>
        <v>Merci néanmoins de diffuser uniquement la version officielle protégée (fichier initial).</v>
      </c>
    </row>
    <row r="20" spans="3:8" x14ac:dyDescent="0.2">
      <c r="C20" t="str">
        <f>IF(Lang="Français","Aucune Macro. Mise en forme conditionnelle, Noms de zone.","No macro. Conditionnal formating, named zones.")</f>
        <v>Aucune Macro. Mise en forme conditionnelle, Noms de zone.</v>
      </c>
    </row>
    <row r="21" spans="3:8" x14ac:dyDescent="0.2">
      <c r="C21" s="48" t="str">
        <f>IF(Lang="Français","Pour changer les choix des menus déroulants et les restrictions des cellules jaunes, cf. Données&gt; Validations…", "To change choices menu &amp; yellow cells restrictions, go to data validation.")</f>
        <v>Pour changer les choix des menus déroulants et les restrictions des cellules jaunes, cf. Données&gt; Validations…</v>
      </c>
    </row>
    <row r="22" spans="3:8" x14ac:dyDescent="0.2">
      <c r="C22" s="48" t="str">
        <f>IF(Lang="Français","Les unités sont réglés dans le Format de la cellule.","Units are set in cell number Format")</f>
        <v>Les unités sont réglés dans le Format de la cellule.</v>
      </c>
      <c r="H22" s="15" t="s">
        <v>38</v>
      </c>
    </row>
    <row r="23" spans="3:8" x14ac:dyDescent="0.2">
      <c r="C23" t="str">
        <f>IF(Lang="Français","Vous pouvez proposer vos améliorations en envoyant votre fichier à : ","Send all remarks and improvements proposals to:")</f>
        <v xml:space="preserve">Vous pouvez proposer vos améliorations en envoyant votre fichier à : </v>
      </c>
      <c r="H23" s="15"/>
    </row>
    <row r="25" spans="3:8" x14ac:dyDescent="0.2">
      <c r="C25" s="14" t="str">
        <f>IF(Lang="Français","Licence :","License:")</f>
        <v>Licence :</v>
      </c>
      <c r="D25" s="16"/>
    </row>
    <row r="26" spans="3:8" x14ac:dyDescent="0.2">
      <c r="C26" t="str">
        <f>IF(Lang="Français","Ce logiciel est placé sous la licence Creative Commons BY-SA","This software is placed under Creative Commons licence BY-SA")</f>
        <v>Ce logiciel est placé sous la licence Creative Commons BY-SA</v>
      </c>
      <c r="H26" s="68" t="s">
        <v>125</v>
      </c>
    </row>
    <row r="28" spans="3:8" x14ac:dyDescent="0.2">
      <c r="C28" s="14" t="str">
        <f>IF(Lang="Français","Compatibilité :","Compatibility:")</f>
        <v>Compatibilité :</v>
      </c>
    </row>
    <row r="29" spans="3:8" x14ac:dyDescent="0.2">
      <c r="C29" t="s">
        <v>155</v>
      </c>
    </row>
    <row r="30" spans="3:8" x14ac:dyDescent="0.2">
      <c r="C30" t="s">
        <v>306</v>
      </c>
    </row>
    <row r="31" spans="3:8" x14ac:dyDescent="0.2">
      <c r="C31" s="49" t="s">
        <v>113</v>
      </c>
    </row>
    <row r="33" spans="3:6" x14ac:dyDescent="0.2">
      <c r="C33" s="14" t="str">
        <f>IF(Lang="Français","Historique :","History:")</f>
        <v>Historique :</v>
      </c>
    </row>
    <row r="34" spans="3:6" x14ac:dyDescent="0.2">
      <c r="C34" t="s">
        <v>105</v>
      </c>
      <c r="D34" t="s">
        <v>43</v>
      </c>
      <c r="E34" s="47" t="s">
        <v>104</v>
      </c>
      <c r="F34" t="str">
        <f>IF(Lang="Français","Essais personnels, héritage d'une feuille de calcul de Vincent Girard, ESO","Personnel tests")</f>
        <v>Essais personnels, héritage d'une feuille de calcul de Vincent Girard, ESO</v>
      </c>
    </row>
    <row r="35" spans="3:6" x14ac:dyDescent="0.2">
      <c r="C35" t="s">
        <v>106</v>
      </c>
      <c r="D35" t="s">
        <v>43</v>
      </c>
      <c r="E35" s="16">
        <v>39483</v>
      </c>
      <c r="F35" t="str">
        <f>IF(Lang="Français","Equations de Barrowman généralisées (D_ref), masquage inter-ailerons, bilingue fr-en","Generalized Barrowman equations (D_ref), fin-fin interaction, english translation")</f>
        <v>Equations de Barrowman généralisées (D_ref), masquage inter-ailerons, bilingue fr-en</v>
      </c>
    </row>
    <row r="36" spans="3:6" x14ac:dyDescent="0.2">
      <c r="C36" t="s">
        <v>107</v>
      </c>
      <c r="D36" t="s">
        <v>43</v>
      </c>
      <c r="E36" s="16">
        <v>39507</v>
      </c>
      <c r="F36" t="str">
        <f>IF(Lang="Français","Schéma de la fusée, estimation analytique de la trajecto, diagramme des critères","Rocket schematic, analytical trajecto, criterions diagram")</f>
        <v>Schéma de la fusée, estimation analytique de la trajecto, diagramme des critères</v>
      </c>
    </row>
    <row r="37" spans="3:6" x14ac:dyDescent="0.2">
      <c r="C37" t="s">
        <v>108</v>
      </c>
      <c r="D37" t="s">
        <v>43</v>
      </c>
      <c r="E37" s="16">
        <v>39694</v>
      </c>
      <c r="F37" t="str">
        <f>IF(Lang="Français","Mise en forme","Formatting")</f>
        <v>Mise en forme</v>
      </c>
    </row>
    <row r="38" spans="3:6" x14ac:dyDescent="0.2">
      <c r="C38" t="s">
        <v>109</v>
      </c>
      <c r="D38" t="s">
        <v>43</v>
      </c>
      <c r="E38" s="16">
        <v>39643</v>
      </c>
      <c r="F38" t="str">
        <f>IF(Lang="Français","Essais personnels, héritage d'une feuille de calcul de Félicien Roux, ESO","Personal tests")</f>
        <v>Essais personnels, héritage d'une feuille de calcul de Félicien Roux, ESO</v>
      </c>
    </row>
    <row r="39" spans="3:6" x14ac:dyDescent="0.2">
      <c r="C39" t="s">
        <v>110</v>
      </c>
      <c r="D39" t="s">
        <v>43</v>
      </c>
      <c r="E39" s="16">
        <v>39755</v>
      </c>
      <c r="F39" t="str">
        <f>IF(Lang="Français","Réécriture équations, traduction, érgonomie","Equations, traduction, ergonomy")</f>
        <v>Réécriture équations, traduction, érgonomie</v>
      </c>
    </row>
    <row r="40" spans="3:6" x14ac:dyDescent="0.2">
      <c r="C40" t="s">
        <v>111</v>
      </c>
      <c r="D40" t="s">
        <v>43</v>
      </c>
      <c r="E40" s="16">
        <v>39756</v>
      </c>
      <c r="F40" t="str">
        <f>IF(Lang="Français","Conditions Initiales pour vol 2e étage, 1ère publication","Initial Conditions, 1st publication")</f>
        <v>Conditions Initiales pour vol 2e étage, 1ère publication</v>
      </c>
    </row>
    <row r="41" spans="3:6" x14ac:dyDescent="0.2">
      <c r="C41" t="s">
        <v>112</v>
      </c>
      <c r="D41" t="s">
        <v>43</v>
      </c>
      <c r="E41" s="16">
        <v>40658</v>
      </c>
      <c r="F41" t="s">
        <v>55</v>
      </c>
    </row>
    <row r="42" spans="3:6" x14ac:dyDescent="0.2">
      <c r="C42" t="s">
        <v>184</v>
      </c>
      <c r="D42" t="s">
        <v>43</v>
      </c>
      <c r="E42" s="16">
        <v>40868</v>
      </c>
      <c r="F42" t="str">
        <f>IF(Lang="Français","Fusion Stabilito+Trajecto, mise en forme, Ctrl, RC, H2O, Abaco","Merge Stabilito+Trajecto, formatting, Ctrl, RC, H2O, Abaco")</f>
        <v>Fusion Stabilito+Trajecto, mise en forme, Ctrl, RC, H2O, Abaco</v>
      </c>
    </row>
    <row r="43" spans="3:6" x14ac:dyDescent="0.2">
      <c r="C43" t="s">
        <v>333</v>
      </c>
      <c r="D43" t="s">
        <v>43</v>
      </c>
      <c r="E43" s="16">
        <v>41194</v>
      </c>
      <c r="F43" t="s">
        <v>337</v>
      </c>
    </row>
    <row r="44" spans="3:6" x14ac:dyDescent="0.2">
      <c r="C44" t="s">
        <v>334</v>
      </c>
      <c r="D44" t="s">
        <v>43</v>
      </c>
      <c r="E44" s="16">
        <v>41329</v>
      </c>
      <c r="F44" t="s">
        <v>338</v>
      </c>
    </row>
    <row r="45" spans="3:6" x14ac:dyDescent="0.2">
      <c r="C45" t="s">
        <v>422</v>
      </c>
      <c r="D45" t="s">
        <v>401</v>
      </c>
      <c r="E45" s="16">
        <v>41947</v>
      </c>
      <c r="F45" t="s">
        <v>421</v>
      </c>
    </row>
    <row r="46" spans="3:6" x14ac:dyDescent="0.2">
      <c r="C46" t="s">
        <v>426</v>
      </c>
      <c r="D46" t="s">
        <v>401</v>
      </c>
      <c r="E46" s="16">
        <v>41965</v>
      </c>
      <c r="F46" t="s">
        <v>424</v>
      </c>
    </row>
    <row r="47" spans="3:6" x14ac:dyDescent="0.2">
      <c r="C47" t="s">
        <v>550</v>
      </c>
      <c r="D47" t="s">
        <v>401</v>
      </c>
      <c r="E47" s="16">
        <v>43098</v>
      </c>
      <c r="F47" t="s">
        <v>551</v>
      </c>
    </row>
    <row r="48" spans="3:6" x14ac:dyDescent="0.2">
      <c r="E48" s="16"/>
    </row>
    <row r="50" spans="3:6" x14ac:dyDescent="0.2">
      <c r="C50" s="14" t="str">
        <f>IF(Lang="Français","Paramètres de référence :","Reference parameters:")</f>
        <v>Paramètres de référence :</v>
      </c>
    </row>
    <row r="51" spans="3:6" x14ac:dyDescent="0.2">
      <c r="C51" s="62" t="str">
        <f>IF(Lang="Français","Gravité g :","Gravity g")</f>
        <v>Gravité g :</v>
      </c>
      <c r="E51" s="62">
        <v>9.81</v>
      </c>
      <c r="F51" s="62" t="s">
        <v>7</v>
      </c>
    </row>
    <row r="52" spans="3:6" x14ac:dyDescent="0.2">
      <c r="C52" s="62" t="str">
        <f>IF(Lang="Français","Masse volumique de l'air ρ :","Air density ρ")</f>
        <v>Masse volumique de l'air ρ :</v>
      </c>
      <c r="E52" s="63">
        <v>1.2250000000000001</v>
      </c>
      <c r="F52" s="62" t="s">
        <v>8</v>
      </c>
    </row>
    <row r="53" spans="3:6" x14ac:dyDescent="0.2">
      <c r="C53" s="48"/>
    </row>
    <row r="54" spans="3:6" x14ac:dyDescent="0.2">
      <c r="C54" s="48"/>
    </row>
    <row r="55" spans="3:6" x14ac:dyDescent="0.2">
      <c r="C55" s="48"/>
    </row>
    <row r="56" spans="3:6" x14ac:dyDescent="0.2">
      <c r="C56" s="48"/>
    </row>
    <row r="57" spans="3:6" x14ac:dyDescent="0.2">
      <c r="C57" s="48"/>
    </row>
    <row r="58" spans="3:6" x14ac:dyDescent="0.2">
      <c r="C58" s="48"/>
    </row>
  </sheetData>
  <sheetProtection password="C6AC" sheet="1"/>
  <mergeCells count="1">
    <mergeCell ref="C2:D3"/>
  </mergeCells>
  <phoneticPr fontId="8" type="noConversion"/>
  <hyperlinks>
    <hyperlink ref="H13" r:id="rId1" xr:uid="{C21D9BE1-9F32-2C4F-A087-D3FD3C5F4521}"/>
    <hyperlink ref="H22" r:id="rId2" xr:uid="{033D3A05-292D-7049-9601-C28B3800BA92}"/>
    <hyperlink ref="H26" r:id="rId3" xr:uid="{DA2C0B5F-6759-474D-A1E0-B5D3D0575ABF}"/>
  </hyperlinks>
  <pageMargins left="0.39370078740157483" right="0.39370078740157483" top="0.39370078740157483" bottom="0.39370078740157483" header="0" footer="0"/>
  <pageSetup scale="73" firstPageNumber="0" orientation="portrait" horizontalDpi="300" verticalDpi="300"/>
  <headerFooter alignWithMargins="0"/>
  <drawing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C7DD-F435-3347-A629-22FA6CA8D978}">
  <sheetPr codeName="Feuil7">
    <pageSetUpPr fitToPage="1"/>
  </sheetPr>
  <dimension ref="B1:U134"/>
  <sheetViews>
    <sheetView showGridLines="0" topLeftCell="D1" zoomScaleNormal="100" workbookViewId="0">
      <selection activeCell="H4" sqref="H4"/>
    </sheetView>
  </sheetViews>
  <sheetFormatPr baseColWidth="10" defaultColWidth="11.7109375" defaultRowHeight="12.75" x14ac:dyDescent="0.2"/>
  <cols>
    <col min="1" max="2" width="2.140625" customWidth="1"/>
    <col min="3" max="3" width="12.7109375" customWidth="1"/>
    <col min="4" max="4" width="21" customWidth="1"/>
    <col min="7" max="7" width="26.7109375" customWidth="1"/>
    <col min="8" max="9" width="6.7109375" customWidth="1"/>
    <col min="10" max="10" width="10" customWidth="1"/>
    <col min="11" max="11" width="13" customWidth="1"/>
    <col min="12" max="12" width="21.28515625" customWidth="1"/>
    <col min="14" max="14" width="2.140625" customWidth="1"/>
    <col min="18" max="19" width="16.28515625" customWidth="1"/>
  </cols>
  <sheetData>
    <row r="1" spans="2:21" ht="13.5" thickBot="1" x14ac:dyDescent="0.25">
      <c r="O1" s="6"/>
      <c r="P1" s="48"/>
      <c r="Q1" s="48"/>
      <c r="R1" s="48"/>
      <c r="S1" s="48"/>
      <c r="T1" s="48"/>
      <c r="U1" s="48"/>
    </row>
    <row r="2" spans="2:21" ht="13.5" thickBot="1" x14ac:dyDescent="0.25"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6"/>
      <c r="P2" s="48"/>
      <c r="Q2" s="48"/>
      <c r="R2" s="48"/>
      <c r="S2" s="48"/>
      <c r="T2" s="48"/>
      <c r="U2" s="48"/>
    </row>
    <row r="3" spans="2:21" ht="15.75" customHeight="1" thickBot="1" x14ac:dyDescent="0.25">
      <c r="B3" s="74"/>
      <c r="D3" s="2" t="s">
        <v>435</v>
      </c>
      <c r="N3" s="75"/>
      <c r="O3" s="6"/>
      <c r="P3" s="273" t="s">
        <v>346</v>
      </c>
      <c r="Q3" s="441">
        <f>Long_ogive</f>
        <v>275</v>
      </c>
      <c r="R3" s="48"/>
      <c r="S3" s="48"/>
      <c r="T3" s="48"/>
      <c r="U3" s="48"/>
    </row>
    <row r="4" spans="2:21" ht="15.75" customHeight="1" x14ac:dyDescent="0.2">
      <c r="B4" s="74"/>
      <c r="D4" s="2"/>
      <c r="N4" s="75"/>
      <c r="O4" s="6"/>
      <c r="P4" s="273"/>
      <c r="Q4" s="436"/>
      <c r="R4" s="48"/>
      <c r="S4" s="48"/>
      <c r="T4" s="48"/>
      <c r="U4" s="48"/>
    </row>
    <row r="5" spans="2:21" ht="15.75" customHeight="1" x14ac:dyDescent="0.2">
      <c r="B5" s="74"/>
      <c r="D5" t="s">
        <v>468</v>
      </c>
      <c r="E5" t="str">
        <f>Propu</f>
        <v>Orignal (Pro75-3G)</v>
      </c>
      <c r="G5" t="s">
        <v>465</v>
      </c>
      <c r="H5">
        <f>MasseSans</f>
        <v>7.5</v>
      </c>
      <c r="N5" s="75"/>
      <c r="O5" s="6"/>
      <c r="P5" s="273"/>
      <c r="Q5" s="436"/>
      <c r="R5" s="48"/>
      <c r="S5" s="48"/>
      <c r="T5" s="48"/>
      <c r="U5" s="48"/>
    </row>
    <row r="6" spans="2:21" x14ac:dyDescent="0.2">
      <c r="B6" s="74"/>
      <c r="D6" t="s">
        <v>461</v>
      </c>
      <c r="E6" s="2" t="str">
        <f>Trajecto!H32</f>
        <v>Brun/Orange…</v>
      </c>
      <c r="G6" t="s">
        <v>466</v>
      </c>
      <c r="H6">
        <f>D_ref</f>
        <v>104</v>
      </c>
      <c r="N6" s="75"/>
      <c r="O6" s="6"/>
      <c r="P6" s="273"/>
      <c r="Q6" s="436"/>
      <c r="R6" s="48"/>
      <c r="S6" s="48"/>
      <c r="T6" s="48"/>
      <c r="U6" s="48"/>
    </row>
    <row r="7" spans="2:21" x14ac:dyDescent="0.2">
      <c r="B7" s="74"/>
      <c r="D7" t="s">
        <v>463</v>
      </c>
      <c r="E7" s="2" t="str">
        <f>Trajecto!H33</f>
        <v>Rouge…</v>
      </c>
      <c r="G7" t="s">
        <v>5</v>
      </c>
      <c r="H7">
        <f>Cx</f>
        <v>0.5</v>
      </c>
      <c r="N7" s="75"/>
      <c r="O7" s="6"/>
      <c r="P7" s="273"/>
      <c r="Q7" s="436"/>
      <c r="R7" s="48"/>
      <c r="S7" s="48"/>
      <c r="T7" s="48"/>
      <c r="U7" s="48"/>
    </row>
    <row r="8" spans="2:21" x14ac:dyDescent="0.2">
      <c r="B8" s="74"/>
      <c r="D8" t="s">
        <v>464</v>
      </c>
      <c r="E8" s="2">
        <f>S_para</f>
        <v>1.5070049999999999</v>
      </c>
      <c r="G8" t="s">
        <v>467</v>
      </c>
      <c r="H8">
        <f>L_rampe</f>
        <v>4</v>
      </c>
      <c r="N8" s="75"/>
      <c r="O8" s="6"/>
      <c r="P8" s="273"/>
      <c r="Q8" s="436"/>
      <c r="R8" s="48"/>
      <c r="S8" s="48"/>
      <c r="T8" s="48"/>
      <c r="U8" s="48"/>
    </row>
    <row r="9" spans="2:21" x14ac:dyDescent="0.2">
      <c r="B9" s="74"/>
      <c r="D9" t="s">
        <v>462</v>
      </c>
      <c r="E9" s="2"/>
      <c r="G9" t="s">
        <v>149</v>
      </c>
      <c r="H9" s="534" t="str">
        <f>Forme_ogive</f>
        <v>Conique (droite)</v>
      </c>
      <c r="N9" s="75"/>
      <c r="O9" s="6"/>
      <c r="P9" s="273"/>
      <c r="Q9" s="436"/>
      <c r="R9" s="48"/>
      <c r="S9" s="48"/>
      <c r="T9" s="48"/>
      <c r="U9" s="48"/>
    </row>
    <row r="10" spans="2:21" x14ac:dyDescent="0.2">
      <c r="B10" s="74"/>
      <c r="F10" s="3"/>
      <c r="G10" s="6"/>
      <c r="N10" s="75"/>
      <c r="O10" s="523"/>
      <c r="P10" s="48"/>
      <c r="Q10" s="436"/>
      <c r="R10" s="48"/>
      <c r="S10" s="48"/>
      <c r="T10" s="48"/>
      <c r="U10" s="48"/>
    </row>
    <row r="11" spans="2:21" ht="13.5" thickBot="1" x14ac:dyDescent="0.25">
      <c r="B11" s="74"/>
      <c r="C11" s="12"/>
      <c r="D11" s="275" t="s">
        <v>460</v>
      </c>
      <c r="E11" s="243">
        <f>MasseSans</f>
        <v>7.5</v>
      </c>
      <c r="F11" s="246" t="s">
        <v>126</v>
      </c>
      <c r="G11" s="246" t="s">
        <v>128</v>
      </c>
      <c r="H11" s="666">
        <f ca="1">Vsortie_de_rampe</f>
        <v>26.775581609448828</v>
      </c>
      <c r="I11" s="667"/>
      <c r="J11" s="76"/>
      <c r="N11" s="75"/>
      <c r="P11" s="48"/>
      <c r="Q11" s="436"/>
      <c r="R11" s="48"/>
      <c r="S11" s="48"/>
      <c r="T11" s="48"/>
      <c r="U11" s="440">
        <f>IF(RIGHT(Nb_diam,1)=",", "", X_j)</f>
        <v>1035</v>
      </c>
    </row>
    <row r="12" spans="2:21" ht="13.5" thickBot="1" x14ac:dyDescent="0.25">
      <c r="B12" s="74"/>
      <c r="C12" s="12"/>
      <c r="D12" s="276"/>
      <c r="E12" s="244"/>
      <c r="F12" s="6" t="s">
        <v>126</v>
      </c>
      <c r="G12" s="6" t="s">
        <v>129</v>
      </c>
      <c r="H12" s="668">
        <f>Finesse</f>
        <v>19.153846153846153</v>
      </c>
      <c r="I12" s="669"/>
      <c r="J12" s="76"/>
      <c r="N12" s="75"/>
      <c r="O12" s="6"/>
      <c r="P12" s="273" t="s">
        <v>347</v>
      </c>
      <c r="Q12" s="441">
        <f>D_og</f>
        <v>84</v>
      </c>
      <c r="R12" s="48"/>
      <c r="S12" s="48"/>
      <c r="T12" s="48"/>
      <c r="U12" s="436"/>
    </row>
    <row r="13" spans="2:21" x14ac:dyDescent="0.2">
      <c r="B13" s="74"/>
      <c r="C13" s="12"/>
      <c r="D13" s="276" t="s">
        <v>5</v>
      </c>
      <c r="E13" s="244">
        <f>Cx</f>
        <v>0.5</v>
      </c>
      <c r="F13" s="6" t="s">
        <v>126</v>
      </c>
      <c r="G13" s="6" t="s">
        <v>439</v>
      </c>
      <c r="H13" s="668">
        <f>Cn</f>
        <v>22.460524395797002</v>
      </c>
      <c r="I13" s="669"/>
      <c r="J13" s="76"/>
      <c r="N13" s="75"/>
      <c r="O13" s="6"/>
      <c r="P13" s="48"/>
      <c r="Q13" s="436"/>
      <c r="R13" s="48"/>
      <c r="S13" s="48"/>
      <c r="T13" s="48"/>
      <c r="U13" s="440">
        <f>IF(RIGHT(Nb_diam,1)=",", "", X_r)</f>
        <v>1942</v>
      </c>
    </row>
    <row r="14" spans="2:21" x14ac:dyDescent="0.2">
      <c r="B14" s="74"/>
      <c r="C14" s="12"/>
      <c r="D14" s="276" t="s">
        <v>146</v>
      </c>
      <c r="E14" s="244">
        <f>L_rampe</f>
        <v>4</v>
      </c>
      <c r="F14" s="6" t="s">
        <v>126</v>
      </c>
      <c r="G14" s="6" t="s">
        <v>130</v>
      </c>
      <c r="H14" s="247">
        <f ca="1">MS_min</f>
        <v>2.5410118900859575</v>
      </c>
      <c r="I14" s="254">
        <f ca="1">MS_max</f>
        <v>3.7357639603987804</v>
      </c>
      <c r="J14" s="76"/>
      <c r="K14" s="76"/>
      <c r="N14" s="75"/>
      <c r="P14" s="48"/>
      <c r="Q14" s="436"/>
      <c r="R14" s="48"/>
      <c r="S14" s="48"/>
      <c r="T14" s="48"/>
      <c r="U14" s="436"/>
    </row>
    <row r="15" spans="2:21" x14ac:dyDescent="0.2">
      <c r="B15" s="74"/>
      <c r="C15" s="12"/>
      <c r="D15" s="276" t="s">
        <v>147</v>
      </c>
      <c r="E15" s="244">
        <f>ep_ail</f>
        <v>4</v>
      </c>
      <c r="F15" s="6" t="s">
        <v>126</v>
      </c>
      <c r="G15" s="6" t="s">
        <v>127</v>
      </c>
      <c r="H15" s="247">
        <f ca="1">MS_Cn_min</f>
        <v>57.072459547285895</v>
      </c>
      <c r="I15" s="254">
        <f ca="1">MS_Cn_max</f>
        <v>83.907217569476032</v>
      </c>
      <c r="J15" s="76"/>
      <c r="K15" s="76"/>
      <c r="N15" s="75"/>
      <c r="P15" s="48"/>
      <c r="Q15" s="436"/>
      <c r="R15" s="48"/>
      <c r="S15" s="48"/>
      <c r="T15" s="48"/>
    </row>
    <row r="16" spans="2:21" x14ac:dyDescent="0.2">
      <c r="B16" s="74"/>
      <c r="C16" s="12"/>
      <c r="D16" s="276" t="s">
        <v>148</v>
      </c>
      <c r="E16" s="244">
        <f>Q_ail</f>
        <v>4</v>
      </c>
      <c r="F16" s="6" t="s">
        <v>131</v>
      </c>
      <c r="G16" s="6" t="s">
        <v>132</v>
      </c>
      <c r="H16" s="247">
        <f ca="1">V_para</f>
        <v>9.8548424916681761</v>
      </c>
      <c r="I16" s="253">
        <f>V_satellite</f>
        <v>12.655562623057198</v>
      </c>
      <c r="J16" s="76"/>
      <c r="N16" s="75"/>
      <c r="P16" s="48"/>
      <c r="Q16" s="436"/>
      <c r="R16" s="48"/>
      <c r="S16" s="48"/>
      <c r="T16" s="48"/>
      <c r="U16" s="440">
        <f>IF(RIGHT(Nb_diam,1)=",", "", l_j)</f>
        <v>75</v>
      </c>
    </row>
    <row r="17" spans="2:21" x14ac:dyDescent="0.2">
      <c r="B17" s="74"/>
      <c r="C17" s="12"/>
      <c r="D17" s="276" t="s">
        <v>149</v>
      </c>
      <c r="E17" s="272" t="str">
        <f>Forme_ogive</f>
        <v>Conique (droite)</v>
      </c>
      <c r="F17" s="6" t="s">
        <v>133</v>
      </c>
      <c r="G17" s="6" t="s">
        <v>134</v>
      </c>
      <c r="H17" s="668">
        <f>T_para</f>
        <v>22</v>
      </c>
      <c r="I17" s="669"/>
      <c r="J17" s="258"/>
      <c r="N17" s="75"/>
      <c r="P17" s="434" t="s">
        <v>348</v>
      </c>
      <c r="Q17" s="440">
        <f>IF(RIGHT(Nb_diam,1)=",", "", D2j)</f>
        <v>104</v>
      </c>
      <c r="R17" s="48"/>
      <c r="S17" s="48"/>
      <c r="T17" s="48"/>
      <c r="U17" s="436"/>
    </row>
    <row r="18" spans="2:21" x14ac:dyDescent="0.2">
      <c r="B18" s="74"/>
      <c r="C18" s="12"/>
      <c r="D18" s="276" t="s">
        <v>151</v>
      </c>
      <c r="E18" s="244">
        <f ca="1">XpropuRef-Long_propu</f>
        <v>1506</v>
      </c>
      <c r="F18" s="12" t="s">
        <v>133</v>
      </c>
      <c r="G18" s="12" t="s">
        <v>433</v>
      </c>
      <c r="H18" s="594">
        <f ca="1">T_para-Combustion-Depotage</f>
        <v>22</v>
      </c>
      <c r="I18" s="670"/>
      <c r="N18" s="75"/>
      <c r="P18" s="48"/>
      <c r="Q18" s="436"/>
      <c r="R18" s="48"/>
      <c r="S18" s="48"/>
    </row>
    <row r="19" spans="2:21" x14ac:dyDescent="0.2">
      <c r="B19" s="74"/>
      <c r="C19" s="533"/>
      <c r="D19" s="269"/>
      <c r="E19" s="271"/>
      <c r="F19" s="521" t="s">
        <v>135</v>
      </c>
      <c r="G19" s="274" t="s">
        <v>432</v>
      </c>
      <c r="H19" s="671">
        <f ca="1">Portee_balistique</f>
        <v>848.56910463170368</v>
      </c>
      <c r="I19" s="672"/>
      <c r="N19" s="75"/>
      <c r="P19" s="48"/>
      <c r="Q19" s="436"/>
      <c r="R19" s="48"/>
      <c r="S19" s="48"/>
      <c r="T19" s="48"/>
    </row>
    <row r="20" spans="2:21" x14ac:dyDescent="0.2">
      <c r="B20" s="74"/>
      <c r="C20" s="12"/>
      <c r="D20" s="6"/>
      <c r="E20" s="6"/>
      <c r="H20" s="520"/>
      <c r="I20" s="520"/>
      <c r="N20" s="75"/>
      <c r="P20" s="48"/>
      <c r="Q20" s="436"/>
      <c r="R20" s="48"/>
      <c r="S20" s="48"/>
      <c r="T20" s="48"/>
      <c r="U20" s="440">
        <f>IF(RIGHT(Nb_diam,1)=",", "", l_r)</f>
        <v>50</v>
      </c>
    </row>
    <row r="21" spans="2:21" x14ac:dyDescent="0.2">
      <c r="B21" s="74"/>
      <c r="C21" s="12"/>
      <c r="D21" s="6"/>
      <c r="E21" s="263"/>
      <c r="F21" s="3"/>
      <c r="G21" s="6"/>
      <c r="H21" s="520"/>
      <c r="I21" s="520"/>
      <c r="N21" s="75"/>
      <c r="O21" s="273"/>
      <c r="P21" s="436"/>
      <c r="Q21" s="48"/>
      <c r="R21" s="48"/>
      <c r="S21" s="48"/>
      <c r="T21" s="226"/>
      <c r="U21" s="436"/>
    </row>
    <row r="22" spans="2:21" x14ac:dyDescent="0.2">
      <c r="B22" s="74"/>
      <c r="C22" s="528" t="s">
        <v>459</v>
      </c>
      <c r="D22" s="528" t="s">
        <v>443</v>
      </c>
      <c r="E22" s="529"/>
      <c r="F22" s="530" t="s">
        <v>448</v>
      </c>
      <c r="G22" s="528" t="s">
        <v>453</v>
      </c>
      <c r="I22" s="531"/>
      <c r="J22" s="532" t="s">
        <v>159</v>
      </c>
      <c r="K22" s="528" t="s">
        <v>160</v>
      </c>
      <c r="N22" s="75"/>
      <c r="O22" s="273"/>
      <c r="P22" s="436"/>
      <c r="Q22" s="48"/>
      <c r="R22" s="48"/>
      <c r="S22" s="48"/>
      <c r="T22" s="226"/>
      <c r="U22" s="436"/>
    </row>
    <row r="23" spans="2:21" x14ac:dyDescent="0.2">
      <c r="B23" s="74"/>
      <c r="C23" s="528" t="s">
        <v>458</v>
      </c>
      <c r="D23" s="529">
        <f>XcgSans</f>
        <v>859</v>
      </c>
      <c r="E23" s="529" t="s">
        <v>39</v>
      </c>
      <c r="F23" s="530">
        <f>m_ail</f>
        <v>190</v>
      </c>
      <c r="G23" s="528">
        <f>m_can</f>
        <v>190</v>
      </c>
      <c r="I23" s="531" t="s">
        <v>454</v>
      </c>
      <c r="J23" s="530">
        <f>l_j</f>
        <v>75</v>
      </c>
      <c r="K23" s="528">
        <f>l_r</f>
        <v>50</v>
      </c>
      <c r="N23" s="75"/>
      <c r="O23" s="273"/>
      <c r="P23" s="436"/>
      <c r="Q23" s="48"/>
      <c r="R23" s="48"/>
      <c r="S23" s="48"/>
      <c r="T23" s="226"/>
      <c r="U23" s="436"/>
    </row>
    <row r="24" spans="2:21" x14ac:dyDescent="0.2">
      <c r="B24" s="74"/>
      <c r="C24" s="528" t="s">
        <v>446</v>
      </c>
      <c r="D24" s="528">
        <f>Long_tot</f>
        <v>1992</v>
      </c>
      <c r="E24" s="529" t="s">
        <v>449</v>
      </c>
      <c r="F24" s="530">
        <f>n_ail</f>
        <v>60</v>
      </c>
      <c r="G24" s="528">
        <f>n_can</f>
        <v>60</v>
      </c>
      <c r="I24" s="531" t="s">
        <v>455</v>
      </c>
      <c r="J24" s="530">
        <f>D1j</f>
        <v>84</v>
      </c>
      <c r="K24" s="528">
        <f>D1r</f>
        <v>104</v>
      </c>
      <c r="N24" s="75"/>
      <c r="O24" s="273"/>
      <c r="P24" s="436"/>
      <c r="Q24" s="48"/>
      <c r="R24" s="48"/>
      <c r="S24" s="48"/>
      <c r="T24" s="226"/>
      <c r="U24" s="436"/>
    </row>
    <row r="25" spans="2:21" x14ac:dyDescent="0.2">
      <c r="B25" s="74"/>
      <c r="C25" s="528" t="s">
        <v>447</v>
      </c>
      <c r="D25" s="528">
        <f>XpropuRef</f>
        <v>1992</v>
      </c>
      <c r="E25" s="529" t="s">
        <v>450</v>
      </c>
      <c r="F25" s="530">
        <f>p_ail</f>
        <v>180</v>
      </c>
      <c r="G25" s="528">
        <f>p_can</f>
        <v>180</v>
      </c>
      <c r="I25" s="531" t="s">
        <v>456</v>
      </c>
      <c r="J25" s="530">
        <f>D2j</f>
        <v>104</v>
      </c>
      <c r="K25" s="528">
        <f>D2r</f>
        <v>104</v>
      </c>
      <c r="N25" s="75"/>
      <c r="O25" s="273"/>
      <c r="P25" s="436"/>
      <c r="Q25" s="48"/>
      <c r="R25" s="48"/>
      <c r="S25" s="48"/>
      <c r="T25" s="226"/>
      <c r="U25" s="436"/>
    </row>
    <row r="26" spans="2:21" x14ac:dyDescent="0.2">
      <c r="B26" s="74"/>
      <c r="C26" s="528" t="s">
        <v>444</v>
      </c>
      <c r="D26" s="528">
        <f>D_ref</f>
        <v>104</v>
      </c>
      <c r="E26" s="529" t="s">
        <v>451</v>
      </c>
      <c r="F26" s="530">
        <f>E_ail</f>
        <v>130</v>
      </c>
      <c r="G26" s="528">
        <f>E_can</f>
        <v>130</v>
      </c>
      <c r="I26" s="531" t="s">
        <v>457</v>
      </c>
      <c r="J26" s="530">
        <f>X_j</f>
        <v>1035</v>
      </c>
      <c r="K26" s="528">
        <f>X_r</f>
        <v>1942</v>
      </c>
      <c r="N26" s="75"/>
      <c r="O26" s="273"/>
      <c r="P26" s="436"/>
      <c r="Q26" s="48"/>
      <c r="R26" s="48"/>
      <c r="S26" s="48"/>
      <c r="T26" s="226"/>
      <c r="U26" s="436"/>
    </row>
    <row r="27" spans="2:21" x14ac:dyDescent="0.2">
      <c r="B27" s="74"/>
      <c r="C27" s="528" t="s">
        <v>445</v>
      </c>
      <c r="D27" s="528">
        <f>Long_ogive</f>
        <v>275</v>
      </c>
      <c r="E27" s="529" t="s">
        <v>452</v>
      </c>
      <c r="F27" s="530">
        <f>X_ail</f>
        <v>1972</v>
      </c>
      <c r="G27" s="528">
        <f>X_can</f>
        <v>1035</v>
      </c>
      <c r="H27" s="520"/>
      <c r="I27" s="3"/>
      <c r="J27" s="2"/>
      <c r="N27" s="75"/>
      <c r="O27" s="273"/>
      <c r="P27" s="436"/>
      <c r="Q27" s="48"/>
      <c r="R27" s="48"/>
      <c r="S27" s="48"/>
      <c r="T27" s="226"/>
      <c r="U27" s="436"/>
    </row>
    <row r="28" spans="2:21" ht="13.5" thickBot="1" x14ac:dyDescent="0.25">
      <c r="B28" s="74"/>
      <c r="E28" s="95"/>
      <c r="N28" s="75"/>
      <c r="O28" s="2"/>
      <c r="P28" s="6"/>
      <c r="Q28" s="2"/>
      <c r="R28" s="48"/>
      <c r="S28" s="48"/>
      <c r="T28" s="48"/>
      <c r="U28" s="436"/>
    </row>
    <row r="29" spans="2:21" ht="13.5" thickBot="1" x14ac:dyDescent="0.25">
      <c r="B29" s="74"/>
      <c r="C29" s="659" t="s">
        <v>144</v>
      </c>
      <c r="D29" s="659" t="s">
        <v>136</v>
      </c>
      <c r="E29" s="659" t="s">
        <v>137</v>
      </c>
      <c r="F29" s="659"/>
      <c r="G29" s="659"/>
      <c r="H29" s="660" t="s">
        <v>138</v>
      </c>
      <c r="I29" s="660"/>
      <c r="J29" s="660"/>
      <c r="K29" s="660"/>
      <c r="L29" s="659" t="s">
        <v>139</v>
      </c>
      <c r="M29" s="659" t="s">
        <v>140</v>
      </c>
      <c r="N29" s="75"/>
      <c r="O29" s="273" t="s">
        <v>436</v>
      </c>
      <c r="P29" s="441">
        <f>n_ail</f>
        <v>60</v>
      </c>
      <c r="Q29" s="2"/>
      <c r="R29" s="48"/>
      <c r="S29" s="48"/>
      <c r="T29" s="48"/>
      <c r="U29" s="12" t="s">
        <v>440</v>
      </c>
    </row>
    <row r="30" spans="2:21" ht="13.5" thickBot="1" x14ac:dyDescent="0.25">
      <c r="B30" s="74"/>
      <c r="C30" s="659"/>
      <c r="D30" s="659"/>
      <c r="E30" s="659"/>
      <c r="F30" s="659"/>
      <c r="G30" s="659"/>
      <c r="H30" s="660" t="s">
        <v>141</v>
      </c>
      <c r="I30" s="660"/>
      <c r="J30" s="69" t="s">
        <v>142</v>
      </c>
      <c r="K30" s="70" t="s">
        <v>143</v>
      </c>
      <c r="L30" s="659"/>
      <c r="M30" s="659"/>
      <c r="N30" s="75"/>
      <c r="P30" s="12"/>
      <c r="R30" s="48"/>
      <c r="S30" s="48"/>
      <c r="T30" s="226" t="s">
        <v>438</v>
      </c>
      <c r="U30" s="525">
        <f>[0]!p_can</f>
        <v>180</v>
      </c>
    </row>
    <row r="31" spans="2:21" ht="13.5" thickBot="1" x14ac:dyDescent="0.25">
      <c r="B31" s="74"/>
      <c r="C31" s="83">
        <f>Beta_rampe</f>
        <v>85</v>
      </c>
      <c r="D31" s="84">
        <f ca="1">Portee_balistique</f>
        <v>848.56910463170368</v>
      </c>
      <c r="E31" s="658">
        <f ca="1">T_para+Dt_para</f>
        <v>296.64438047653039</v>
      </c>
      <c r="F31" s="658"/>
      <c r="G31" s="658"/>
      <c r="H31" s="661">
        <f ca="1">Altitude_culmi</f>
        <v>2708.2410082607034</v>
      </c>
      <c r="I31" s="661"/>
      <c r="J31" s="85">
        <f ca="1">Temps_culmi</f>
        <v>22.499999999999989</v>
      </c>
      <c r="K31" s="86">
        <f ca="1">Vit_culmi</f>
        <v>18.010813356428724</v>
      </c>
      <c r="L31" s="84">
        <f ca="1">Acc_max</f>
        <v>106.83241115888697</v>
      </c>
      <c r="M31" s="86">
        <f ca="1">Vit_max</f>
        <v>276.58819608412512</v>
      </c>
      <c r="N31" s="75"/>
      <c r="O31" s="273" t="s">
        <v>442</v>
      </c>
      <c r="P31" s="441">
        <f>ep_ail</f>
        <v>4</v>
      </c>
      <c r="Q31" s="2"/>
      <c r="R31" s="48"/>
      <c r="S31" s="48"/>
      <c r="T31" s="226" t="s">
        <v>350</v>
      </c>
      <c r="U31" s="525">
        <f>[0]!m_can</f>
        <v>190</v>
      </c>
    </row>
    <row r="32" spans="2:21" ht="13.5" thickBot="1" x14ac:dyDescent="0.25">
      <c r="B32" s="74"/>
      <c r="C32" s="522"/>
      <c r="D32" s="242"/>
      <c r="E32" s="247"/>
      <c r="F32" s="247"/>
      <c r="G32" s="247"/>
      <c r="H32" s="283"/>
      <c r="I32" s="283"/>
      <c r="J32" s="247"/>
      <c r="K32" s="248"/>
      <c r="L32" s="242"/>
      <c r="M32" s="248"/>
      <c r="N32" s="75"/>
      <c r="O32" s="273" t="s">
        <v>441</v>
      </c>
      <c r="P32" s="524">
        <f>Q_ail</f>
        <v>4</v>
      </c>
      <c r="Q32" s="2"/>
      <c r="R32" s="48"/>
      <c r="S32" s="48"/>
      <c r="T32" s="226" t="s">
        <v>436</v>
      </c>
      <c r="U32" s="525">
        <f>[0]!n_can</f>
        <v>60</v>
      </c>
    </row>
    <row r="33" spans="2:21" ht="13.5" thickBot="1" x14ac:dyDescent="0.25">
      <c r="B33" s="74"/>
      <c r="D33" s="80"/>
      <c r="E33" s="81"/>
      <c r="F33" s="81"/>
      <c r="G33" s="81"/>
      <c r="H33" s="82"/>
      <c r="I33" s="82"/>
      <c r="J33" s="81"/>
      <c r="K33" s="76"/>
      <c r="L33" s="80"/>
      <c r="M33" s="76"/>
      <c r="N33" s="75"/>
      <c r="O33" s="2"/>
      <c r="Q33" s="2"/>
      <c r="R33" s="48"/>
      <c r="S33" s="48"/>
      <c r="T33" s="226" t="s">
        <v>437</v>
      </c>
      <c r="U33" s="525">
        <f>[0]!E_can</f>
        <v>130</v>
      </c>
    </row>
    <row r="34" spans="2:21" ht="13.5" thickBot="1" x14ac:dyDescent="0.25"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2"/>
      <c r="P34" s="273" t="s">
        <v>437</v>
      </c>
      <c r="Q34" s="441">
        <f>E_ail</f>
        <v>130</v>
      </c>
      <c r="T34" s="226" t="s">
        <v>442</v>
      </c>
      <c r="U34" s="525">
        <f>[0]!ep_can</f>
        <v>3</v>
      </c>
    </row>
    <row r="35" spans="2:21" x14ac:dyDescent="0.2">
      <c r="O35" s="2"/>
      <c r="P35" s="6"/>
      <c r="Q35" s="6"/>
      <c r="T35" s="226" t="s">
        <v>441</v>
      </c>
      <c r="U35" s="525">
        <f>[0]!Q_can</f>
        <v>3</v>
      </c>
    </row>
    <row r="36" spans="2:21" ht="13.5" thickBot="1" x14ac:dyDescent="0.25">
      <c r="T36" s="2"/>
      <c r="U36" s="12"/>
    </row>
    <row r="37" spans="2:21" x14ac:dyDescent="0.2">
      <c r="B37" s="71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3"/>
      <c r="T37" s="2"/>
    </row>
    <row r="38" spans="2:21" x14ac:dyDescent="0.2">
      <c r="B38" s="74"/>
      <c r="D38" s="2" t="s">
        <v>200</v>
      </c>
      <c r="N38" s="75"/>
    </row>
    <row r="39" spans="2:21" x14ac:dyDescent="0.2">
      <c r="B39" s="74"/>
      <c r="D39" s="2"/>
      <c r="N39" s="75"/>
    </row>
    <row r="40" spans="2:21" x14ac:dyDescent="0.2">
      <c r="B40" s="74"/>
      <c r="D40" s="275" t="s">
        <v>152</v>
      </c>
      <c r="E40" s="246">
        <f>D_ref</f>
        <v>104</v>
      </c>
      <c r="F40" s="265"/>
      <c r="G40" s="265"/>
      <c r="H40" s="261" t="s">
        <v>203</v>
      </c>
      <c r="I40" s="261" t="s">
        <v>204</v>
      </c>
      <c r="J40" s="262" t="s">
        <v>205</v>
      </c>
      <c r="N40" s="75"/>
    </row>
    <row r="41" spans="2:21" x14ac:dyDescent="0.2">
      <c r="B41" s="74"/>
      <c r="D41" s="276" t="s">
        <v>150</v>
      </c>
      <c r="E41" s="6">
        <f>Long_ogive</f>
        <v>275</v>
      </c>
      <c r="F41" s="2"/>
      <c r="G41" s="2" t="s">
        <v>206</v>
      </c>
      <c r="H41" s="6">
        <f>MasseSans</f>
        <v>7.5</v>
      </c>
      <c r="I41" s="6">
        <f ca="1">MasseVide</f>
        <v>9.1379999999999999</v>
      </c>
      <c r="J41" s="244">
        <f ca="1">MassePlein</f>
        <v>11.010999999999999</v>
      </c>
      <c r="N41" s="75"/>
    </row>
    <row r="42" spans="2:21" x14ac:dyDescent="0.2">
      <c r="B42" s="74"/>
      <c r="D42" s="276" t="s">
        <v>153</v>
      </c>
      <c r="E42" s="6">
        <f>X_ail-m_ail</f>
        <v>1782</v>
      </c>
      <c r="F42" s="255"/>
      <c r="G42" s="255" t="s">
        <v>223</v>
      </c>
      <c r="H42" s="263">
        <f>XcgSans</f>
        <v>859</v>
      </c>
      <c r="I42" s="263">
        <f ca="1">XcgVide</f>
        <v>1018.5338148391332</v>
      </c>
      <c r="J42" s="245">
        <f ca="1">XcgPlein</f>
        <v>1142.7880301516668</v>
      </c>
      <c r="N42" s="75"/>
    </row>
    <row r="43" spans="2:21" x14ac:dyDescent="0.2">
      <c r="B43" s="74"/>
      <c r="D43" s="276" t="str">
        <f>IF(Lang="Français","Emplanture 'm'",IF(Lang="English","Root edge  'm'",""))</f>
        <v>Emplanture 'm'</v>
      </c>
      <c r="E43" s="244">
        <f>m_ail</f>
        <v>190</v>
      </c>
      <c r="N43" s="75"/>
    </row>
    <row r="44" spans="2:21" x14ac:dyDescent="0.2">
      <c r="B44" s="74"/>
      <c r="D44" s="276" t="str">
        <f>IF(Lang="Français","Saumon      'n'",IF(Lang="English","Tip edge    'n'",""))</f>
        <v>Saumon      'n'</v>
      </c>
      <c r="E44" s="244">
        <f>n_ail</f>
        <v>60</v>
      </c>
      <c r="F44" s="246" t="s">
        <v>207</v>
      </c>
      <c r="G44" s="246" t="s">
        <v>212</v>
      </c>
      <c r="H44" s="666">
        <f ca="1">Vsortie_de_rampe</f>
        <v>26.775581609448828</v>
      </c>
      <c r="I44" s="667"/>
      <c r="N44" s="75"/>
    </row>
    <row r="45" spans="2:21" x14ac:dyDescent="0.2">
      <c r="B45" s="74"/>
      <c r="D45" s="276" t="str">
        <f>IF(Lang="Français","Flèche        'p'",IF(Lang="English","Offset         'p'",""))</f>
        <v>Flèche        'p'</v>
      </c>
      <c r="E45" s="244">
        <f>p_ail</f>
        <v>180</v>
      </c>
      <c r="F45" s="6" t="s">
        <v>208</v>
      </c>
      <c r="G45" s="6" t="s">
        <v>213</v>
      </c>
      <c r="H45" s="668">
        <f>Finesse</f>
        <v>19.153846153846153</v>
      </c>
      <c r="I45" s="669"/>
      <c r="N45" s="75"/>
    </row>
    <row r="46" spans="2:21" x14ac:dyDescent="0.2">
      <c r="B46" s="74"/>
      <c r="D46" s="276" t="str">
        <f>IF(Lang="Français","Envergure   'E'",IF(Lang="English","Span          'E'",""))</f>
        <v>Envergure   'E'</v>
      </c>
      <c r="E46" s="244">
        <f>E_ail</f>
        <v>130</v>
      </c>
      <c r="F46" s="6" t="s">
        <v>209</v>
      </c>
      <c r="G46" s="6" t="s">
        <v>214</v>
      </c>
      <c r="H46" s="668">
        <f>Cn</f>
        <v>22.460524395797002</v>
      </c>
      <c r="I46" s="669"/>
      <c r="N46" s="75"/>
    </row>
    <row r="47" spans="2:21" x14ac:dyDescent="0.2">
      <c r="B47" s="74"/>
      <c r="D47" s="276" t="s">
        <v>147</v>
      </c>
      <c r="E47" s="244">
        <f>ep_ail</f>
        <v>4</v>
      </c>
      <c r="F47" s="6" t="s">
        <v>210</v>
      </c>
      <c r="G47" s="6" t="s">
        <v>215</v>
      </c>
      <c r="H47" s="247">
        <f ca="1">MS_min</f>
        <v>2.5410118900859575</v>
      </c>
      <c r="I47" s="254">
        <f ca="1">MS_max</f>
        <v>3.7357639603987804</v>
      </c>
      <c r="N47" s="75"/>
    </row>
    <row r="48" spans="2:21" x14ac:dyDescent="0.2">
      <c r="B48" s="74"/>
      <c r="D48" s="276" t="s">
        <v>148</v>
      </c>
      <c r="E48" s="244">
        <f>Q_ail</f>
        <v>4</v>
      </c>
      <c r="F48" s="274" t="s">
        <v>211</v>
      </c>
      <c r="G48" s="274" t="s">
        <v>216</v>
      </c>
      <c r="H48" s="256">
        <f ca="1">MS_Cn_min</f>
        <v>57.072459547285895</v>
      </c>
      <c r="I48" s="264">
        <f ca="1">MS_Cn_max</f>
        <v>83.907217569476032</v>
      </c>
      <c r="N48" s="75"/>
    </row>
    <row r="49" spans="2:14" x14ac:dyDescent="0.2">
      <c r="B49" s="74"/>
      <c r="D49" s="276" t="s">
        <v>151</v>
      </c>
      <c r="E49" s="244">
        <f ca="1">XpropuRef-Long_propu</f>
        <v>1506</v>
      </c>
      <c r="N49" s="75"/>
    </row>
    <row r="50" spans="2:14" x14ac:dyDescent="0.2">
      <c r="B50" s="74"/>
      <c r="D50" s="276" t="s">
        <v>149</v>
      </c>
      <c r="E50" s="272" t="str">
        <f>Forme_ogive</f>
        <v>Conique (droite)</v>
      </c>
      <c r="F50" s="273" t="s">
        <v>188</v>
      </c>
      <c r="G50" s="275" t="s">
        <v>5</v>
      </c>
      <c r="H50" s="246">
        <f>Cx</f>
        <v>0.5</v>
      </c>
      <c r="I50" s="265"/>
      <c r="J50" s="266"/>
      <c r="N50" s="75"/>
    </row>
    <row r="51" spans="2:14" x14ac:dyDescent="0.2">
      <c r="B51" s="74"/>
      <c r="D51" s="276" t="s">
        <v>145</v>
      </c>
      <c r="E51" s="244">
        <f>Long_tot</f>
        <v>1992</v>
      </c>
      <c r="G51" s="276" t="s">
        <v>217</v>
      </c>
      <c r="H51" s="6">
        <f>Sref</f>
        <v>1.0574866535306801E-2</v>
      </c>
      <c r="J51" s="267"/>
      <c r="N51" s="75"/>
    </row>
    <row r="52" spans="2:14" x14ac:dyDescent="0.2">
      <c r="B52" s="74"/>
      <c r="D52" s="276" t="s">
        <v>201</v>
      </c>
      <c r="E52" s="244">
        <f>MAX(D_ref,D_ail,D_og,(RIGHT(Nb_diam,1)=",")*MAX(D1j,D1r,D2j,D2r))</f>
        <v>104</v>
      </c>
      <c r="G52" s="276" t="s">
        <v>218</v>
      </c>
      <c r="H52" s="6">
        <f>Beta_rampe</f>
        <v>85</v>
      </c>
      <c r="I52" s="6">
        <v>80</v>
      </c>
      <c r="J52" s="244">
        <v>90</v>
      </c>
      <c r="N52" s="75"/>
    </row>
    <row r="53" spans="2:14" x14ac:dyDescent="0.2">
      <c r="B53" s="74"/>
      <c r="D53" s="277" t="s">
        <v>202</v>
      </c>
      <c r="E53" s="260">
        <f>E_ail*2+D_ail</f>
        <v>364</v>
      </c>
      <c r="G53" s="278" t="s">
        <v>220</v>
      </c>
      <c r="H53" s="247">
        <f ca="1">Temps_culmi</f>
        <v>22.499999999999989</v>
      </c>
      <c r="I53" s="259"/>
      <c r="J53" s="268"/>
      <c r="N53" s="75"/>
    </row>
    <row r="54" spans="2:14" x14ac:dyDescent="0.2">
      <c r="B54" s="74"/>
      <c r="G54" s="278" t="s">
        <v>221</v>
      </c>
      <c r="H54" s="242">
        <f ca="1">Altitude_culmi</f>
        <v>2708.2410082607034</v>
      </c>
      <c r="I54" s="259"/>
      <c r="J54" s="268"/>
      <c r="N54" s="75"/>
    </row>
    <row r="55" spans="2:14" x14ac:dyDescent="0.2">
      <c r="B55" s="74"/>
      <c r="C55" s="275" t="s">
        <v>238</v>
      </c>
      <c r="D55" s="249" t="s">
        <v>63</v>
      </c>
      <c r="E55" s="243">
        <f>Long_tot</f>
        <v>1992</v>
      </c>
      <c r="G55" s="278" t="s">
        <v>222</v>
      </c>
      <c r="H55" s="248">
        <f ca="1">Vit_culmi</f>
        <v>18.010813356428724</v>
      </c>
      <c r="I55" s="259"/>
      <c r="J55" s="268"/>
      <c r="N55" s="75"/>
    </row>
    <row r="56" spans="2:14" x14ac:dyDescent="0.2">
      <c r="B56" s="74"/>
      <c r="C56" s="276"/>
      <c r="D56" s="2" t="s">
        <v>224</v>
      </c>
      <c r="E56" s="244">
        <f>MAX(D_ref,D_ail,D_og,(RIGHT(Nb_diam,1)=",")*MAX(D1j,D1r,D2j,D2r))</f>
        <v>104</v>
      </c>
      <c r="G56" s="278" t="s">
        <v>136</v>
      </c>
      <c r="H56" s="242">
        <f ca="1">Portee_balistique</f>
        <v>848.56910463170368</v>
      </c>
      <c r="I56" s="259"/>
      <c r="J56" s="268"/>
      <c r="N56" s="75"/>
    </row>
    <row r="57" spans="2:14" x14ac:dyDescent="0.2">
      <c r="B57" s="74"/>
      <c r="C57" s="276"/>
      <c r="D57" s="2" t="s">
        <v>225</v>
      </c>
      <c r="E57" s="244">
        <f>E_ail*2+D_ail</f>
        <v>364</v>
      </c>
      <c r="G57" s="278" t="s">
        <v>219</v>
      </c>
      <c r="H57" s="242">
        <f ca="1">T_balistique</f>
        <v>49.500000000000369</v>
      </c>
      <c r="I57" s="259"/>
      <c r="J57" s="268"/>
      <c r="N57" s="75"/>
    </row>
    <row r="58" spans="2:14" x14ac:dyDescent="0.2">
      <c r="B58" s="74"/>
      <c r="C58" s="276"/>
      <c r="D58" s="2" t="s">
        <v>226</v>
      </c>
      <c r="E58" s="244">
        <f ca="1">MassePlein</f>
        <v>11.010999999999999</v>
      </c>
      <c r="G58" s="278" t="s">
        <v>140</v>
      </c>
      <c r="H58" s="248">
        <f ca="1">Vit_max</f>
        <v>276.58819608412512</v>
      </c>
      <c r="I58" s="259"/>
      <c r="J58" s="268"/>
      <c r="N58" s="75"/>
    </row>
    <row r="59" spans="2:14" x14ac:dyDescent="0.2">
      <c r="B59" s="74"/>
      <c r="C59" s="277" t="s">
        <v>239</v>
      </c>
      <c r="D59" s="255" t="s">
        <v>148</v>
      </c>
      <c r="E59" s="260">
        <f>Q_ail</f>
        <v>4</v>
      </c>
      <c r="G59" s="278" t="s">
        <v>139</v>
      </c>
      <c r="H59" s="242">
        <f ca="1">Acc_max</f>
        <v>106.83241115888697</v>
      </c>
      <c r="I59" s="259"/>
      <c r="J59" s="268"/>
      <c r="N59" s="75"/>
    </row>
    <row r="60" spans="2:14" x14ac:dyDescent="0.2">
      <c r="B60" s="74"/>
      <c r="C60" s="12"/>
      <c r="G60" s="269" t="s">
        <v>227</v>
      </c>
      <c r="H60" s="270"/>
      <c r="I60" s="270"/>
      <c r="J60" s="271"/>
      <c r="N60" s="75"/>
    </row>
    <row r="61" spans="2:14" x14ac:dyDescent="0.2">
      <c r="B61" s="74"/>
      <c r="C61" s="275"/>
      <c r="D61" s="249"/>
      <c r="E61" s="246" t="s">
        <v>231</v>
      </c>
      <c r="F61" s="243" t="s">
        <v>232</v>
      </c>
      <c r="G61" s="2"/>
      <c r="H61" s="2"/>
      <c r="I61" s="2"/>
      <c r="J61" s="2"/>
      <c r="K61" s="2"/>
      <c r="N61" s="75"/>
    </row>
    <row r="62" spans="2:14" x14ac:dyDescent="0.2">
      <c r="B62" s="74"/>
      <c r="C62" s="276" t="s">
        <v>240</v>
      </c>
      <c r="D62" s="2" t="s">
        <v>230</v>
      </c>
      <c r="E62" s="242">
        <f ca="1">2*Acc_max*MassePlein</f>
        <v>2352.6633585410086</v>
      </c>
      <c r="F62" s="280">
        <f ca="1">E62/9.81</f>
        <v>239.82297232833929</v>
      </c>
      <c r="H62" s="2"/>
      <c r="I62" s="2"/>
      <c r="J62" s="2"/>
      <c r="K62" s="2"/>
      <c r="N62" s="75"/>
    </row>
    <row r="63" spans="2:14" x14ac:dyDescent="0.2">
      <c r="B63" s="74"/>
      <c r="C63" s="276"/>
      <c r="D63" s="2" t="s">
        <v>228</v>
      </c>
      <c r="E63" s="242">
        <f ca="1">2*Acc_max*Masse_ail</f>
        <v>27.776426901310614</v>
      </c>
      <c r="F63" s="248">
        <f ca="1">E63/9.81</f>
        <v>2.8314400511019993</v>
      </c>
      <c r="G63" s="246" t="s">
        <v>234</v>
      </c>
      <c r="H63" s="288">
        <f>S_ail*(ep_ail/1000)*2000</f>
        <v>0.13</v>
      </c>
      <c r="I63" s="2"/>
      <c r="J63" s="2"/>
      <c r="K63" s="2"/>
      <c r="N63" s="75"/>
    </row>
    <row r="64" spans="2:14" x14ac:dyDescent="0.2">
      <c r="B64" s="74"/>
      <c r="C64" s="277"/>
      <c r="D64" s="255" t="s">
        <v>229</v>
      </c>
      <c r="E64" s="263">
        <f ca="1">0.104*S_ail*Vit_max^2</f>
        <v>129.28674106008904</v>
      </c>
      <c r="F64" s="281">
        <f ca="1">E64/9.81</f>
        <v>13.179076560661471</v>
      </c>
      <c r="G64" s="274" t="s">
        <v>233</v>
      </c>
      <c r="H64" s="289">
        <f>(E_ail*(m_ail+n_ail)/2)/10^6</f>
        <v>1.6250000000000001E-2</v>
      </c>
      <c r="I64" s="2"/>
      <c r="J64" s="2"/>
      <c r="K64" s="2"/>
      <c r="N64" s="75"/>
    </row>
    <row r="65" spans="2:14" x14ac:dyDescent="0.2">
      <c r="B65" s="74"/>
      <c r="C65" s="282" t="s">
        <v>247</v>
      </c>
      <c r="D65" s="285" t="s">
        <v>245</v>
      </c>
      <c r="E65" s="286">
        <f ca="1">2*Acc_max*H65</f>
        <v>1176.3316792705043</v>
      </c>
      <c r="F65" s="286">
        <f ca="1">E65/9.81</f>
        <v>119.91148616416965</v>
      </c>
      <c r="G65" s="287" t="s">
        <v>246</v>
      </c>
      <c r="H65" s="279">
        <f ca="1">E58/2</f>
        <v>5.5054999999999996</v>
      </c>
      <c r="I65" s="2"/>
      <c r="J65" s="2"/>
      <c r="K65" s="2"/>
      <c r="N65" s="75"/>
    </row>
    <row r="66" spans="2:14" x14ac:dyDescent="0.2">
      <c r="B66" s="74"/>
      <c r="C66" s="6"/>
      <c r="D66" s="2"/>
      <c r="E66" s="2"/>
      <c r="F66" s="2"/>
      <c r="G66" s="2"/>
      <c r="H66" s="2"/>
      <c r="I66" s="2"/>
      <c r="J66" s="2"/>
      <c r="K66" s="2"/>
      <c r="N66" s="75"/>
    </row>
    <row r="67" spans="2:14" x14ac:dyDescent="0.2">
      <c r="B67" s="74"/>
      <c r="F67" s="275" t="s">
        <v>237</v>
      </c>
      <c r="G67" s="249" t="s">
        <v>235</v>
      </c>
      <c r="H67" s="250">
        <f>T_para</f>
        <v>22</v>
      </c>
      <c r="I67" s="251">
        <f ca="1">Temps_culmi</f>
        <v>22.499999999999989</v>
      </c>
      <c r="J67" s="2"/>
      <c r="K67" s="2"/>
      <c r="N67" s="75"/>
    </row>
    <row r="68" spans="2:14" x14ac:dyDescent="0.2">
      <c r="B68" s="74"/>
      <c r="C68" s="6"/>
      <c r="D68" s="2"/>
      <c r="E68" s="2"/>
      <c r="F68" s="275" t="s">
        <v>236</v>
      </c>
      <c r="G68" s="249" t="s">
        <v>132</v>
      </c>
      <c r="H68" s="250">
        <f ca="1">V_para</f>
        <v>9.8548424916681761</v>
      </c>
      <c r="I68" s="251">
        <f>V_satellite</f>
        <v>12.655562623057198</v>
      </c>
      <c r="J68" s="2"/>
      <c r="K68" s="2"/>
      <c r="N68" s="75"/>
    </row>
    <row r="69" spans="2:14" x14ac:dyDescent="0.2">
      <c r="B69" s="74"/>
      <c r="C69" s="6"/>
      <c r="D69" s="2"/>
      <c r="E69" s="2"/>
      <c r="F69" s="276"/>
      <c r="G69" s="2" t="s">
        <v>242</v>
      </c>
      <c r="H69" s="247">
        <f>S_para</f>
        <v>1.5070049999999999</v>
      </c>
      <c r="I69" s="253">
        <f>S_satellite</f>
        <v>0.1</v>
      </c>
      <c r="J69" s="2"/>
      <c r="K69" s="2"/>
      <c r="N69" s="75"/>
    </row>
    <row r="70" spans="2:14" x14ac:dyDescent="0.2">
      <c r="B70" s="74"/>
      <c r="C70" s="226"/>
      <c r="D70" s="2"/>
      <c r="F70" s="276"/>
      <c r="G70" s="2" t="s">
        <v>241</v>
      </c>
      <c r="H70" s="247">
        <f ca="1">V_ouverture</f>
        <v>18.940070843692595</v>
      </c>
      <c r="I70" s="253">
        <f ca="1">V_ouv_sat</f>
        <v>249.53003686750165</v>
      </c>
      <c r="N70" s="75"/>
    </row>
    <row r="71" spans="2:14" x14ac:dyDescent="0.2">
      <c r="B71" s="74"/>
      <c r="C71" s="226"/>
      <c r="F71" s="276"/>
      <c r="G71" s="2" t="s">
        <v>206</v>
      </c>
      <c r="H71" s="247">
        <f ca="1">m_vide</f>
        <v>9.1379999999999999</v>
      </c>
      <c r="I71" s="253">
        <f>m_satellite</f>
        <v>1</v>
      </c>
      <c r="N71" s="75"/>
    </row>
    <row r="72" spans="2:14" x14ac:dyDescent="0.2">
      <c r="B72" s="74"/>
      <c r="C72" s="226"/>
      <c r="F72" s="276"/>
      <c r="G72" s="2" t="s">
        <v>243</v>
      </c>
      <c r="H72" s="283">
        <f ca="1">1/2*Rho_moyen*S_para*V_ouverture^2</f>
        <v>331.11891056453612</v>
      </c>
      <c r="I72" s="284">
        <f ca="1">1/2*Rho_moyen*S_satellite*V_ouv_sat^2</f>
        <v>3813.7459070696755</v>
      </c>
      <c r="N72" s="75"/>
    </row>
    <row r="73" spans="2:14" x14ac:dyDescent="0.2">
      <c r="B73" s="74"/>
      <c r="D73" s="2"/>
      <c r="F73" s="277"/>
      <c r="G73" s="255" t="s">
        <v>244</v>
      </c>
      <c r="H73" s="256">
        <f ca="1">H72/9.81</f>
        <v>33.753201892409386</v>
      </c>
      <c r="I73" s="257">
        <f ca="1">I72/9.81</f>
        <v>388.76105066969166</v>
      </c>
      <c r="N73" s="75"/>
    </row>
    <row r="74" spans="2:14" ht="13.5" thickBot="1" x14ac:dyDescent="0.25">
      <c r="B74" s="77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9"/>
    </row>
    <row r="76" spans="2:14" ht="13.5" thickBot="1" x14ac:dyDescent="0.25"/>
    <row r="77" spans="2:14" x14ac:dyDescent="0.2">
      <c r="B77" s="71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3"/>
    </row>
    <row r="78" spans="2:14" x14ac:dyDescent="0.2">
      <c r="B78" s="74"/>
      <c r="D78" s="2" t="s">
        <v>339</v>
      </c>
      <c r="N78" s="75"/>
    </row>
    <row r="79" spans="2:14" ht="12.75" customHeight="1" x14ac:dyDescent="0.25">
      <c r="B79" s="74"/>
      <c r="E79" s="48"/>
      <c r="F79" s="48"/>
      <c r="G79" s="435" t="s">
        <v>345</v>
      </c>
      <c r="I79" s="448"/>
      <c r="J79" s="48"/>
      <c r="K79" s="48"/>
      <c r="N79" s="75"/>
    </row>
    <row r="80" spans="2:14" x14ac:dyDescent="0.2">
      <c r="B80" s="74"/>
      <c r="C80" s="275" t="s">
        <v>340</v>
      </c>
      <c r="D80" s="243" t="str">
        <f>Nom</f>
        <v>Ma fusée</v>
      </c>
      <c r="E80" s="48"/>
      <c r="F80" s="48"/>
      <c r="G80" s="48"/>
      <c r="H80" s="48"/>
      <c r="I80" s="48"/>
      <c r="J80" s="48"/>
      <c r="K80" s="48"/>
      <c r="N80" s="75"/>
    </row>
    <row r="81" spans="2:14" ht="13.5" thickBot="1" x14ac:dyDescent="0.25">
      <c r="B81" s="74"/>
      <c r="C81" s="276" t="s">
        <v>4</v>
      </c>
      <c r="D81" s="244" t="str">
        <f>Club</f>
        <v>Mon club</v>
      </c>
      <c r="E81" s="48"/>
      <c r="F81" s="48"/>
      <c r="G81" s="48"/>
      <c r="H81" s="48"/>
      <c r="I81" s="48"/>
      <c r="J81" s="48"/>
      <c r="K81" s="48"/>
      <c r="N81" s="75"/>
    </row>
    <row r="82" spans="2:14" ht="13.5" thickBot="1" x14ac:dyDescent="0.25">
      <c r="B82" s="74"/>
      <c r="C82" s="432" t="s">
        <v>341</v>
      </c>
      <c r="D82" s="244" t="s">
        <v>14</v>
      </c>
      <c r="E82" s="273" t="s">
        <v>346</v>
      </c>
      <c r="F82" s="441">
        <f>Long_ogive</f>
        <v>275</v>
      </c>
      <c r="G82" s="48"/>
      <c r="H82" s="48"/>
      <c r="I82" s="48"/>
      <c r="J82" s="48"/>
      <c r="K82" s="48"/>
      <c r="N82" s="75"/>
    </row>
    <row r="83" spans="2:14" x14ac:dyDescent="0.2">
      <c r="B83" s="74"/>
      <c r="C83" s="277" t="s">
        <v>342</v>
      </c>
      <c r="D83" s="433">
        <f ca="1">TODAY()</f>
        <v>45778</v>
      </c>
      <c r="E83" s="48"/>
      <c r="F83" s="436"/>
      <c r="G83" s="48"/>
      <c r="H83" s="48"/>
      <c r="I83" s="48"/>
      <c r="J83" s="48"/>
      <c r="K83" s="48"/>
      <c r="N83" s="75"/>
    </row>
    <row r="84" spans="2:14" ht="13.5" thickBot="1" x14ac:dyDescent="0.25">
      <c r="B84" s="74"/>
      <c r="E84" s="48"/>
      <c r="F84" s="436"/>
      <c r="G84" s="48"/>
      <c r="H84" s="48"/>
      <c r="I84" s="48"/>
      <c r="J84" s="440">
        <f>IF(RIGHT(Nb_diam,1)=",", "", X_j)</f>
        <v>1035</v>
      </c>
      <c r="K84" s="48"/>
      <c r="N84" s="75"/>
    </row>
    <row r="85" spans="2:14" ht="13.5" thickBot="1" x14ac:dyDescent="0.25">
      <c r="B85" s="74"/>
      <c r="C85" s="275" t="s">
        <v>343</v>
      </c>
      <c r="D85" s="243" t="str">
        <f>Propu</f>
        <v>Orignal (Pro75-3G)</v>
      </c>
      <c r="E85" s="273" t="s">
        <v>347</v>
      </c>
      <c r="F85" s="441">
        <f>D_og</f>
        <v>84</v>
      </c>
      <c r="G85" s="48"/>
      <c r="H85" s="48"/>
      <c r="I85" s="48"/>
      <c r="J85" s="436"/>
      <c r="K85" s="48"/>
      <c r="N85" s="75"/>
    </row>
    <row r="86" spans="2:14" x14ac:dyDescent="0.2">
      <c r="B86" s="74"/>
      <c r="C86" s="277" t="s">
        <v>344</v>
      </c>
      <c r="D86" s="260" t="s">
        <v>14</v>
      </c>
      <c r="E86" s="48"/>
      <c r="F86" s="436"/>
      <c r="G86" s="48"/>
      <c r="H86" s="48"/>
      <c r="I86" s="48"/>
      <c r="J86" s="440">
        <f>IF(RIGHT(Nb_diam,1)=",", "", X_r)</f>
        <v>1942</v>
      </c>
      <c r="K86" s="48"/>
      <c r="N86" s="75"/>
    </row>
    <row r="87" spans="2:14" x14ac:dyDescent="0.2">
      <c r="B87" s="74"/>
      <c r="E87" s="48"/>
      <c r="F87" s="436"/>
      <c r="G87" s="48"/>
      <c r="H87" s="48"/>
      <c r="I87" s="48"/>
      <c r="J87" s="436"/>
      <c r="K87" s="48"/>
      <c r="N87" s="75"/>
    </row>
    <row r="88" spans="2:14" x14ac:dyDescent="0.2">
      <c r="B88" s="74"/>
      <c r="E88" s="48"/>
      <c r="F88" s="436"/>
      <c r="G88" s="48"/>
      <c r="H88" s="48"/>
      <c r="I88" s="48"/>
      <c r="J88" s="440">
        <f>IF(RIGHT(Nb_diam,1)=",", "", l_j)</f>
        <v>75</v>
      </c>
      <c r="K88" s="48"/>
      <c r="N88" s="75"/>
    </row>
    <row r="89" spans="2:14" ht="13.5" thickBot="1" x14ac:dyDescent="0.25">
      <c r="B89" s="74"/>
      <c r="E89" s="48"/>
      <c r="F89" s="436"/>
      <c r="G89" s="48"/>
      <c r="H89" s="48"/>
      <c r="I89" s="48"/>
      <c r="J89" s="436"/>
      <c r="K89" s="48"/>
      <c r="N89" s="75"/>
    </row>
    <row r="90" spans="2:14" ht="13.5" thickBot="1" x14ac:dyDescent="0.25">
      <c r="B90" s="74"/>
      <c r="E90" s="434" t="s">
        <v>348</v>
      </c>
      <c r="F90" s="440">
        <f>IF(RIGHT(Nb_diam,1)=",", "", D2j)</f>
        <v>104</v>
      </c>
      <c r="G90" s="48"/>
      <c r="H90" s="48"/>
      <c r="I90" s="48"/>
      <c r="J90" s="441">
        <f>X_ail-m_ail</f>
        <v>1782</v>
      </c>
      <c r="K90" s="2"/>
      <c r="N90" s="75"/>
    </row>
    <row r="91" spans="2:14" x14ac:dyDescent="0.2">
      <c r="B91" s="74"/>
      <c r="E91" s="48"/>
      <c r="F91" s="436"/>
      <c r="G91" s="48"/>
      <c r="H91" s="48"/>
      <c r="I91" s="48"/>
      <c r="J91" s="436"/>
      <c r="K91" s="48"/>
      <c r="N91" s="75"/>
    </row>
    <row r="92" spans="2:14" x14ac:dyDescent="0.2">
      <c r="B92" s="74"/>
      <c r="E92" s="48"/>
      <c r="F92" s="436"/>
      <c r="G92" s="48"/>
      <c r="H92" s="48"/>
      <c r="I92" s="48"/>
      <c r="J92" s="440">
        <f>IF(RIGHT(Nb_diam,1)=",", "", l_r)</f>
        <v>50</v>
      </c>
      <c r="K92" s="48"/>
      <c r="N92" s="75"/>
    </row>
    <row r="93" spans="2:14" x14ac:dyDescent="0.2">
      <c r="B93" s="74"/>
      <c r="E93" s="48"/>
      <c r="F93" s="436"/>
      <c r="G93" s="48"/>
      <c r="H93" s="48"/>
      <c r="I93" s="48"/>
      <c r="J93" s="436"/>
      <c r="K93" s="48"/>
      <c r="N93" s="75"/>
    </row>
    <row r="94" spans="2:14" x14ac:dyDescent="0.2">
      <c r="B94" s="74"/>
      <c r="E94" s="434" t="s">
        <v>349</v>
      </c>
      <c r="F94" s="440">
        <f>IF(RIGHT(Nb_diam,1)=",", "", D2r)</f>
        <v>104</v>
      </c>
      <c r="G94" s="48"/>
      <c r="H94" s="48"/>
      <c r="I94" s="48"/>
      <c r="J94" s="436"/>
      <c r="K94" s="48"/>
      <c r="N94" s="75"/>
    </row>
    <row r="95" spans="2:14" x14ac:dyDescent="0.2">
      <c r="B95" s="74"/>
      <c r="E95" s="48"/>
      <c r="F95" s="436"/>
      <c r="G95" s="48"/>
      <c r="H95" s="48"/>
      <c r="I95" s="48"/>
      <c r="J95" s="436"/>
      <c r="K95" s="48"/>
      <c r="N95" s="75"/>
    </row>
    <row r="96" spans="2:14" ht="13.5" thickBot="1" x14ac:dyDescent="0.25">
      <c r="B96" s="74"/>
      <c r="E96" s="48"/>
      <c r="F96" s="436"/>
      <c r="G96" s="48"/>
      <c r="H96" s="48"/>
      <c r="I96" s="48"/>
      <c r="J96" s="436"/>
      <c r="K96" s="48"/>
      <c r="N96" s="75"/>
    </row>
    <row r="97" spans="2:14" ht="13.5" thickBot="1" x14ac:dyDescent="0.25">
      <c r="B97" s="74"/>
      <c r="E97" s="273" t="s">
        <v>350</v>
      </c>
      <c r="F97" s="441">
        <f>m_ail</f>
        <v>190</v>
      </c>
      <c r="G97" s="48"/>
      <c r="H97" s="48"/>
      <c r="I97" s="48"/>
      <c r="J97" s="441">
        <f>p_ail</f>
        <v>180</v>
      </c>
      <c r="K97" s="2"/>
      <c r="N97" s="75"/>
    </row>
    <row r="98" spans="2:14" x14ac:dyDescent="0.2">
      <c r="B98" s="74"/>
      <c r="E98" s="48"/>
      <c r="F98" s="48"/>
      <c r="G98" s="48"/>
      <c r="H98" s="48"/>
      <c r="I98" s="48"/>
      <c r="J98" s="436"/>
      <c r="K98" s="48"/>
      <c r="N98" s="75"/>
    </row>
    <row r="99" spans="2:14" x14ac:dyDescent="0.2">
      <c r="B99" s="74"/>
      <c r="E99" s="48"/>
      <c r="F99" s="48"/>
      <c r="G99" s="48"/>
      <c r="H99" s="48"/>
      <c r="I99" s="48"/>
      <c r="J99" s="436"/>
      <c r="K99" s="48"/>
      <c r="N99" s="75"/>
    </row>
    <row r="100" spans="2:14" ht="13.5" thickBot="1" x14ac:dyDescent="0.25">
      <c r="B100" s="74"/>
      <c r="D100" s="429" t="s">
        <v>352</v>
      </c>
      <c r="E100" s="246">
        <f>Q_ail</f>
        <v>4</v>
      </c>
      <c r="F100" s="430"/>
      <c r="G100" s="48"/>
      <c r="H100" s="48"/>
      <c r="I100" s="48"/>
      <c r="J100" s="436"/>
      <c r="K100" s="48"/>
      <c r="N100" s="75"/>
    </row>
    <row r="101" spans="2:14" ht="13.5" thickBot="1" x14ac:dyDescent="0.25">
      <c r="B101" s="74"/>
      <c r="D101" s="437" t="s">
        <v>356</v>
      </c>
      <c r="E101" s="6">
        <f ca="1">XpropuRef-Long_propu</f>
        <v>1506</v>
      </c>
      <c r="F101" s="252"/>
      <c r="G101" s="48"/>
      <c r="H101" s="48"/>
      <c r="I101" s="48"/>
      <c r="J101" s="441">
        <f>n_ail</f>
        <v>60</v>
      </c>
      <c r="K101" s="2"/>
      <c r="N101" s="75"/>
    </row>
    <row r="102" spans="2:14" x14ac:dyDescent="0.2">
      <c r="B102" s="74"/>
      <c r="D102" s="437" t="s">
        <v>353</v>
      </c>
      <c r="E102" s="6">
        <f>IF(LEFT(Forme_ogive,4)="Ogiv",1,0)</f>
        <v>0</v>
      </c>
      <c r="F102" s="252" t="s">
        <v>354</v>
      </c>
      <c r="G102" s="48"/>
      <c r="H102" s="48"/>
      <c r="I102" s="48"/>
      <c r="J102" s="436"/>
      <c r="K102" s="48"/>
      <c r="N102" s="75"/>
    </row>
    <row r="103" spans="2:14" x14ac:dyDescent="0.2">
      <c r="B103" s="74"/>
      <c r="D103" s="437"/>
      <c r="E103" s="6">
        <f>IF(LEFT(Forme_ogive,3)="Con",1,0)</f>
        <v>1</v>
      </c>
      <c r="F103" s="252" t="s">
        <v>163</v>
      </c>
      <c r="G103" s="48"/>
      <c r="H103" s="48"/>
      <c r="I103" s="48"/>
      <c r="J103" s="436"/>
      <c r="K103" s="48"/>
      <c r="N103" s="75"/>
    </row>
    <row r="104" spans="2:14" ht="13.5" thickBot="1" x14ac:dyDescent="0.25">
      <c r="B104" s="74"/>
      <c r="D104" s="431"/>
      <c r="E104" s="274">
        <f>IF(LEFT(Forme_ogive,5)="Parab",1,0)</f>
        <v>0</v>
      </c>
      <c r="F104" s="289" t="s">
        <v>355</v>
      </c>
      <c r="G104" s="48"/>
      <c r="H104" s="48"/>
      <c r="I104" s="48"/>
      <c r="J104" s="12" t="s">
        <v>351</v>
      </c>
      <c r="K104" s="48"/>
      <c r="N104" s="75"/>
    </row>
    <row r="105" spans="2:14" ht="13.5" thickBot="1" x14ac:dyDescent="0.25">
      <c r="B105" s="74"/>
      <c r="D105" s="2"/>
      <c r="E105" s="2"/>
      <c r="F105" s="2"/>
      <c r="G105" s="273"/>
      <c r="H105" s="441">
        <f>E_ail</f>
        <v>130</v>
      </c>
      <c r="I105" s="273"/>
      <c r="J105" s="441">
        <f>ep_ail</f>
        <v>4</v>
      </c>
      <c r="K105" s="48"/>
      <c r="N105" s="75"/>
    </row>
    <row r="106" spans="2:14" x14ac:dyDescent="0.2">
      <c r="B106" s="74"/>
      <c r="D106" s="429"/>
      <c r="E106" s="246" t="s">
        <v>360</v>
      </c>
      <c r="F106" s="243" t="s">
        <v>359</v>
      </c>
      <c r="N106" s="75"/>
    </row>
    <row r="107" spans="2:14" x14ac:dyDescent="0.2">
      <c r="B107" s="74"/>
      <c r="D107" s="437" t="s">
        <v>357</v>
      </c>
      <c r="E107" s="6">
        <f>MasseSans</f>
        <v>7.5</v>
      </c>
      <c r="F107" s="244">
        <f ca="1">MassePlein</f>
        <v>11.010999999999999</v>
      </c>
      <c r="N107" s="75"/>
    </row>
    <row r="108" spans="2:14" x14ac:dyDescent="0.2">
      <c r="B108" s="74"/>
      <c r="D108" s="431" t="s">
        <v>358</v>
      </c>
      <c r="E108" s="274">
        <f>XcgSans</f>
        <v>859</v>
      </c>
      <c r="F108" s="260">
        <f ca="1">XcgPlein</f>
        <v>1142.7880301516668</v>
      </c>
      <c r="N108" s="75"/>
    </row>
    <row r="109" spans="2:14" x14ac:dyDescent="0.2">
      <c r="B109" s="74"/>
      <c r="N109" s="75"/>
    </row>
    <row r="110" spans="2:14" x14ac:dyDescent="0.2">
      <c r="B110" s="74"/>
      <c r="D110" s="438" t="s">
        <v>361</v>
      </c>
      <c r="E110" s="439">
        <f ca="1">MasseVide</f>
        <v>9.1379999999999999</v>
      </c>
      <c r="G110" s="429" t="s">
        <v>362</v>
      </c>
      <c r="H110" s="265"/>
      <c r="I110" s="265"/>
      <c r="J110" s="266"/>
      <c r="N110" s="75"/>
    </row>
    <row r="111" spans="2:14" x14ac:dyDescent="0.2">
      <c r="B111" s="74"/>
      <c r="G111" s="276" t="s">
        <v>218</v>
      </c>
      <c r="H111" s="6">
        <f>Beta_rampe</f>
        <v>85</v>
      </c>
      <c r="I111" s="6">
        <v>80</v>
      </c>
      <c r="J111" s="244">
        <v>90</v>
      </c>
      <c r="N111" s="75"/>
    </row>
    <row r="112" spans="2:14" x14ac:dyDescent="0.2">
      <c r="B112" s="74"/>
      <c r="G112" s="278" t="s">
        <v>220</v>
      </c>
      <c r="H112" s="247">
        <f ca="1">Temps_culmi</f>
        <v>22.499999999999989</v>
      </c>
      <c r="I112" s="259"/>
      <c r="J112" s="268"/>
      <c r="N112" s="75"/>
    </row>
    <row r="113" spans="2:14" ht="12.75" customHeight="1" x14ac:dyDescent="0.25">
      <c r="B113" s="74"/>
      <c r="D113" s="435" t="s">
        <v>363</v>
      </c>
      <c r="E113" s="48"/>
      <c r="G113" s="278" t="s">
        <v>221</v>
      </c>
      <c r="H113" s="242">
        <f ca="1">Altitude_culmi</f>
        <v>2708.2410082607034</v>
      </c>
      <c r="I113" s="259"/>
      <c r="J113" s="268"/>
      <c r="N113" s="75"/>
    </row>
    <row r="114" spans="2:14" ht="12.75" customHeight="1" x14ac:dyDescent="0.25">
      <c r="B114" s="74"/>
      <c r="D114" s="48"/>
      <c r="E114" s="48"/>
      <c r="F114" s="435"/>
      <c r="G114" s="278" t="s">
        <v>222</v>
      </c>
      <c r="H114" s="248">
        <f ca="1">Vit_culmi</f>
        <v>18.010813356428724</v>
      </c>
      <c r="I114" s="259"/>
      <c r="J114" s="268"/>
      <c r="N114" s="75"/>
    </row>
    <row r="115" spans="2:14" x14ac:dyDescent="0.2">
      <c r="B115" s="74"/>
      <c r="C115" s="429" t="s">
        <v>364</v>
      </c>
      <c r="D115" s="249"/>
      <c r="E115" s="446">
        <v>0.1</v>
      </c>
      <c r="G115" s="278" t="s">
        <v>136</v>
      </c>
      <c r="H115" s="242">
        <f ca="1">Portee_balistique</f>
        <v>848.56910463170368</v>
      </c>
      <c r="I115" s="259"/>
      <c r="J115" s="268"/>
      <c r="N115" s="75"/>
    </row>
    <row r="116" spans="2:14" ht="12.75" customHeight="1" x14ac:dyDescent="0.2">
      <c r="B116" s="74"/>
      <c r="C116" s="431" t="s">
        <v>365</v>
      </c>
      <c r="D116" s="255"/>
      <c r="E116" s="447">
        <f>E_ail*(m_ail+n_ail)/2</f>
        <v>16250</v>
      </c>
      <c r="G116" s="278" t="s">
        <v>140</v>
      </c>
      <c r="H116" s="248">
        <f ca="1">Vit_max</f>
        <v>276.58819608412512</v>
      </c>
      <c r="I116" s="259"/>
      <c r="J116" s="268"/>
      <c r="N116" s="75"/>
    </row>
    <row r="117" spans="2:14" ht="12.75" customHeight="1" x14ac:dyDescent="0.2">
      <c r="B117" s="74"/>
      <c r="D117" s="48"/>
      <c r="E117" s="48"/>
      <c r="F117" s="48"/>
      <c r="G117" s="278" t="s">
        <v>139</v>
      </c>
      <c r="H117" s="242">
        <f ca="1">Acc_max</f>
        <v>106.83241115888697</v>
      </c>
      <c r="I117" s="259"/>
      <c r="J117" s="268"/>
      <c r="N117" s="75"/>
    </row>
    <row r="118" spans="2:14" x14ac:dyDescent="0.2">
      <c r="B118" s="74"/>
      <c r="C118" s="429" t="s">
        <v>366</v>
      </c>
      <c r="D118" s="249"/>
      <c r="E118" s="457"/>
      <c r="F118" s="458">
        <f>J90/100</f>
        <v>17.82</v>
      </c>
      <c r="G118" s="276" t="s">
        <v>5</v>
      </c>
      <c r="H118" s="6">
        <f>Cx</f>
        <v>0.5</v>
      </c>
      <c r="I118" s="259"/>
      <c r="J118" s="268"/>
      <c r="N118" s="75"/>
    </row>
    <row r="119" spans="2:14" x14ac:dyDescent="0.2">
      <c r="B119" s="74"/>
      <c r="C119" s="437" t="s">
        <v>367</v>
      </c>
      <c r="D119" s="2"/>
      <c r="E119" s="459">
        <f ca="1">2*Acc_max*MasseSans</f>
        <v>1602.4861673833045</v>
      </c>
      <c r="F119" s="460">
        <f ca="1">E119/g</f>
        <v>163.35231064049995</v>
      </c>
      <c r="G119" s="269" t="s">
        <v>227</v>
      </c>
      <c r="H119" s="270"/>
      <c r="I119" s="270"/>
      <c r="J119" s="271"/>
      <c r="N119" s="75"/>
    </row>
    <row r="120" spans="2:14" x14ac:dyDescent="0.2">
      <c r="B120" s="74"/>
      <c r="C120" s="437" t="s">
        <v>368</v>
      </c>
      <c r="D120" s="2"/>
      <c r="E120" s="459">
        <f ca="1">2*Acc_max*E115</f>
        <v>21.366482231777397</v>
      </c>
      <c r="F120" s="460">
        <f ca="1">E120/g</f>
        <v>2.1780308085399995</v>
      </c>
      <c r="N120" s="75"/>
    </row>
    <row r="121" spans="2:14" x14ac:dyDescent="0.2">
      <c r="B121" s="74"/>
      <c r="C121" s="431" t="s">
        <v>369</v>
      </c>
      <c r="D121" s="255"/>
      <c r="E121" s="452">
        <f ca="1">0.104*E116/1000000*Vit_max^2</f>
        <v>129.28674106008904</v>
      </c>
      <c r="F121" s="453">
        <f ca="1">E121/g</f>
        <v>13.179076560661471</v>
      </c>
      <c r="G121" s="48"/>
      <c r="H121" s="48"/>
      <c r="I121" s="48"/>
      <c r="J121" s="48"/>
      <c r="N121" s="75"/>
    </row>
    <row r="122" spans="2:14" ht="12.75" customHeight="1" x14ac:dyDescent="0.2">
      <c r="B122" s="74"/>
      <c r="H122" s="48"/>
      <c r="I122" s="48"/>
      <c r="J122" s="48"/>
      <c r="N122" s="75"/>
    </row>
    <row r="123" spans="2:14" ht="12.75" customHeight="1" x14ac:dyDescent="0.25">
      <c r="B123" s="74"/>
      <c r="G123" s="435"/>
      <c r="H123" s="435"/>
      <c r="I123" s="435"/>
      <c r="J123" s="48"/>
      <c r="N123" s="75"/>
    </row>
    <row r="124" spans="2:14" ht="12.75" customHeight="1" x14ac:dyDescent="0.25">
      <c r="B124" s="74"/>
      <c r="C124" s="48"/>
      <c r="D124" s="435" t="s">
        <v>370</v>
      </c>
      <c r="E124" s="448"/>
      <c r="J124" s="48"/>
      <c r="K124" s="48"/>
      <c r="N124" s="75"/>
    </row>
    <row r="125" spans="2:14" x14ac:dyDescent="0.2">
      <c r="B125" s="74"/>
      <c r="C125" s="445" t="s">
        <v>371</v>
      </c>
      <c r="J125" s="48"/>
      <c r="K125" s="48"/>
      <c r="N125" s="75"/>
    </row>
    <row r="126" spans="2:14" x14ac:dyDescent="0.2">
      <c r="B126" s="74"/>
      <c r="C126" s="429" t="s">
        <v>372</v>
      </c>
      <c r="D126" s="249"/>
      <c r="E126" s="449">
        <v>4</v>
      </c>
      <c r="G126" s="48"/>
      <c r="J126" s="48"/>
      <c r="N126" s="75"/>
    </row>
    <row r="127" spans="2:14" x14ac:dyDescent="0.2">
      <c r="B127" s="74"/>
      <c r="C127" s="431" t="s">
        <v>373</v>
      </c>
      <c r="D127" s="255"/>
      <c r="E127" s="456">
        <f>S_para</f>
        <v>1.5070049999999999</v>
      </c>
      <c r="G127" s="48"/>
      <c r="J127" s="48"/>
      <c r="N127" s="75"/>
    </row>
    <row r="128" spans="2:14" x14ac:dyDescent="0.2">
      <c r="B128" s="74"/>
      <c r="C128" s="664" t="s">
        <v>374</v>
      </c>
      <c r="D128" s="665"/>
      <c r="E128" s="450">
        <f ca="1">0.5*Rho_moyen*S_para*Vit_culmi^2</f>
        <v>299.4245721775294</v>
      </c>
      <c r="F128" s="451">
        <f ca="1">E128/g</f>
        <v>30.522382484967316</v>
      </c>
      <c r="H128" s="48"/>
      <c r="I128" s="48"/>
      <c r="J128" s="48"/>
      <c r="K128" s="48"/>
      <c r="N128" s="75"/>
    </row>
    <row r="129" spans="2:14" x14ac:dyDescent="0.2">
      <c r="B129" s="74"/>
      <c r="C129" s="662" t="s">
        <v>375</v>
      </c>
      <c r="D129" s="663"/>
      <c r="E129" s="452">
        <f ca="1">E128/E126*2</f>
        <v>149.7122860887647</v>
      </c>
      <c r="F129" s="453">
        <f ca="1">E129/g</f>
        <v>15.261191242483658</v>
      </c>
      <c r="H129" s="48"/>
      <c r="I129" s="48"/>
      <c r="J129" s="48"/>
      <c r="K129" s="48"/>
      <c r="N129" s="75"/>
    </row>
    <row r="130" spans="2:14" x14ac:dyDescent="0.2">
      <c r="B130" s="74"/>
      <c r="C130" s="47"/>
      <c r="D130" s="47"/>
      <c r="E130" s="443"/>
      <c r="F130" s="444"/>
      <c r="H130" s="48"/>
      <c r="I130" s="48"/>
      <c r="J130" s="48"/>
      <c r="K130" s="48"/>
      <c r="N130" s="75"/>
    </row>
    <row r="131" spans="2:14" x14ac:dyDescent="0.2">
      <c r="B131" s="74"/>
      <c r="C131" s="445" t="s">
        <v>376</v>
      </c>
      <c r="D131" s="48"/>
      <c r="E131" s="48"/>
      <c r="F131" s="48"/>
      <c r="G131" s="48"/>
      <c r="H131" s="48"/>
      <c r="I131" s="48"/>
      <c r="J131" s="48"/>
      <c r="K131" s="48"/>
      <c r="N131" s="75"/>
    </row>
    <row r="132" spans="2:14" x14ac:dyDescent="0.2">
      <c r="B132" s="74"/>
      <c r="C132" s="664" t="s">
        <v>377</v>
      </c>
      <c r="D132" s="665"/>
      <c r="E132" s="454">
        <v>1</v>
      </c>
      <c r="F132" s="48"/>
      <c r="G132" s="48"/>
      <c r="H132" s="48"/>
      <c r="I132" s="48"/>
      <c r="J132" s="442"/>
      <c r="K132" s="48"/>
      <c r="N132" s="75"/>
    </row>
    <row r="133" spans="2:14" x14ac:dyDescent="0.2">
      <c r="B133" s="74"/>
      <c r="C133" s="662" t="s">
        <v>378</v>
      </c>
      <c r="D133" s="663"/>
      <c r="E133" s="455">
        <f ca="1">2*E132*Acc_max/g</f>
        <v>21.780308085399994</v>
      </c>
      <c r="F133" s="48"/>
      <c r="G133" s="48"/>
      <c r="H133" s="48"/>
      <c r="I133" s="48"/>
      <c r="J133" s="48"/>
      <c r="K133" s="48"/>
      <c r="N133" s="75"/>
    </row>
    <row r="134" spans="2:14" ht="13.5" thickBot="1" x14ac:dyDescent="0.25">
      <c r="B134" s="77"/>
      <c r="C134" s="461"/>
      <c r="D134" s="461"/>
      <c r="E134" s="461"/>
      <c r="F134" s="461"/>
      <c r="G134" s="461"/>
      <c r="H134" s="461"/>
      <c r="I134" s="461"/>
      <c r="J134" s="461"/>
      <c r="K134" s="461"/>
      <c r="L134" s="78"/>
      <c r="M134" s="78"/>
      <c r="N134" s="79"/>
    </row>
  </sheetData>
  <sheetProtection password="C6AC" sheet="1"/>
  <mergeCells count="22">
    <mergeCell ref="H11:I11"/>
    <mergeCell ref="H12:I12"/>
    <mergeCell ref="H13:I13"/>
    <mergeCell ref="H29:K29"/>
    <mergeCell ref="C29:C30"/>
    <mergeCell ref="D29:D30"/>
    <mergeCell ref="H17:I17"/>
    <mergeCell ref="H18:I18"/>
    <mergeCell ref="H19:I19"/>
    <mergeCell ref="E29:G30"/>
    <mergeCell ref="C133:D133"/>
    <mergeCell ref="C128:D128"/>
    <mergeCell ref="C129:D129"/>
    <mergeCell ref="C132:D132"/>
    <mergeCell ref="H44:I44"/>
    <mergeCell ref="H45:I45"/>
    <mergeCell ref="H46:I46"/>
    <mergeCell ref="E31:G31"/>
    <mergeCell ref="M29:M30"/>
    <mergeCell ref="H30:I30"/>
    <mergeCell ref="L29:L30"/>
    <mergeCell ref="H31:I31"/>
  </mergeCells>
  <phoneticPr fontId="8" type="noConversion"/>
  <conditionalFormatting sqref="D18:E18">
    <cfRule type="expression" dxfId="2" priority="2" stopIfTrue="1">
      <formula>IF(Propu="Cariacou",0,1)</formula>
    </cfRule>
  </conditionalFormatting>
  <conditionalFormatting sqref="F18:I19">
    <cfRule type="expression" dxfId="1" priority="1" stopIfTrue="1">
      <formula>IF(Propu="Cariacou",1,0)</formula>
    </cfRule>
  </conditionalFormatting>
  <conditionalFormatting sqref="I16 I68:I73">
    <cfRule type="expression" dxfId="0" priority="6" stopIfTrue="1">
      <formula>Nb_sat="0 satellite"</formula>
    </cfRule>
  </conditionalFormatting>
  <pageMargins left="0.39370078740157483" right="0.39370078740157483" top="0.39370078740157483" bottom="0.39370078740157483" header="0" footer="0"/>
  <pageSetup paperSize="9" scale="61" orientation="portrait"/>
  <ignoredErrors>
    <ignoredError sqref="H65 H63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214</vt:i4>
      </vt:variant>
    </vt:vector>
  </HeadingPairs>
  <TitlesOfParts>
    <vt:vector size="222" baseType="lpstr">
      <vt:lpstr>Stabilito</vt:lpstr>
      <vt:lpstr>Trajecto</vt:lpstr>
      <vt:lpstr>Courbes</vt:lpstr>
      <vt:lpstr>Propu</vt:lpstr>
      <vt:lpstr>Calculs</vt:lpstr>
      <vt:lpstr>Abaco</vt:lpstr>
      <vt:lpstr>Info</vt:lpstr>
      <vt:lpstr>Controle</vt:lpstr>
      <vt:lpstr>a_prop</vt:lpstr>
      <vt:lpstr>Acc_max</vt:lpstr>
      <vt:lpstr>acc_x</vt:lpstr>
      <vt:lpstr>acc_xz</vt:lpstr>
      <vt:lpstr>acc_z</vt:lpstr>
      <vt:lpstr>Alt_para</vt:lpstr>
      <vt:lpstr>alt_prop</vt:lpstr>
      <vt:lpstr>Alt_rampe</vt:lpstr>
      <vt:lpstr>Alt_sat</vt:lpstr>
      <vt:lpstr>Altitude_culmi</vt:lpstr>
      <vt:lpstr>b_bal</vt:lpstr>
      <vt:lpstr>b_prop</vt:lpstr>
      <vt:lpstr>Beta</vt:lpstr>
      <vt:lpstr>Beta_rampe</vt:lpstr>
      <vt:lpstr>BetaD</vt:lpstr>
      <vt:lpstr>CdP</vt:lpstr>
      <vt:lpstr>CdP_P</vt:lpstr>
      <vt:lpstr>CdP_t</vt:lpstr>
      <vt:lpstr>Club</vt:lpstr>
      <vt:lpstr>Cn</vt:lpstr>
      <vt:lpstr>Cn0</vt:lpstr>
      <vt:lpstr>Stabilito!Cnai</vt:lpstr>
      <vt:lpstr>Cnai0</vt:lpstr>
      <vt:lpstr>Stabilito!Cnail</vt:lpstr>
      <vt:lpstr>Stabilito!Cnc</vt:lpstr>
      <vt:lpstr>Stabilito!Cni</vt:lpstr>
      <vt:lpstr>Cni0</vt:lpstr>
      <vt:lpstr>Stabilito!Cnj</vt:lpstr>
      <vt:lpstr>Stabilito!Cno</vt:lpstr>
      <vt:lpstr>Stabilito!Cnr</vt:lpstr>
      <vt:lpstr>Combustion</vt:lpstr>
      <vt:lpstr>Stabilito!CritCnmax</vt:lpstr>
      <vt:lpstr>Stabilito!CritCnmin</vt:lpstr>
      <vt:lpstr>Stabilito!CritFinessemax</vt:lpstr>
      <vt:lpstr>Stabilito!CritFinessemin</vt:lpstr>
      <vt:lpstr>Stabilito!CritMsCnmax</vt:lpstr>
      <vt:lpstr>Stabilito!CritMsCnmin</vt:lpstr>
      <vt:lpstr>Stabilito!CritMsmax</vt:lpstr>
      <vt:lpstr>Stabilito!CritMsmin</vt:lpstr>
      <vt:lpstr>Cx</vt:lpstr>
      <vt:lpstr>Cx_para</vt:lpstr>
      <vt:lpstr>Cx_satellite</vt:lpstr>
      <vt:lpstr>D_ail</vt:lpstr>
      <vt:lpstr>Stabilito!D_can</vt:lpstr>
      <vt:lpstr>Stabilito!D_int</vt:lpstr>
      <vt:lpstr>D_og</vt:lpstr>
      <vt:lpstr>D_ref</vt:lpstr>
      <vt:lpstr>D_var</vt:lpstr>
      <vt:lpstr>D1j</vt:lpstr>
      <vt:lpstr>D1r</vt:lpstr>
      <vt:lpstr>D2j</vt:lpstr>
      <vt:lpstr>D2r</vt:lpstr>
      <vt:lpstr>Débit</vt:lpstr>
      <vt:lpstr>Depotage</vt:lpstr>
      <vt:lpstr>Diam_propu</vt:lpstr>
      <vt:lpstr>Dt_para</vt:lpstr>
      <vt:lpstr>Dt_satellite</vt:lpstr>
      <vt:lpstr>Dx_para</vt:lpstr>
      <vt:lpstr>Dx_sat</vt:lpstr>
      <vt:lpstr>E_ail</vt:lpstr>
      <vt:lpstr>E_can</vt:lpstr>
      <vt:lpstr>Stabilito!E_int</vt:lpstr>
      <vt:lpstr>ep_ail</vt:lpstr>
      <vt:lpstr>ep_can</vt:lpstr>
      <vt:lpstr>Stabilito!ep_int</vt:lpstr>
      <vt:lpstr>Event</vt:lpstr>
      <vt:lpstr>Event_para</vt:lpstr>
      <vt:lpstr>Event_sat</vt:lpstr>
      <vt:lpstr>Stabilito!f_ail</vt:lpstr>
      <vt:lpstr>Stabilito!f_can</vt:lpstr>
      <vt:lpstr>Stabilito!f_int</vt:lpstr>
      <vt:lpstr>Finesse</vt:lpstr>
      <vt:lpstr>Forme_ogive</vt:lpstr>
      <vt:lpstr>g</vt:lpstr>
      <vt:lpstr>i_P</vt:lpstr>
      <vt:lpstr>I_total</vt:lpstr>
      <vt:lpstr>ISP</vt:lpstr>
      <vt:lpstr>l_j</vt:lpstr>
      <vt:lpstr>l_r</vt:lpstr>
      <vt:lpstr>L_rampe</vt:lpstr>
      <vt:lpstr>Lang</vt:lpstr>
      <vt:lpstr>Liste_µfu</vt:lpstr>
      <vt:lpstr>Liste_fusex</vt:lpstr>
      <vt:lpstr>Liste_H2O</vt:lpstr>
      <vt:lpstr>Liste_minif</vt:lpstr>
      <vt:lpstr>Liste_minifT</vt:lpstr>
      <vt:lpstr>Liste_propu</vt:lpstr>
      <vt:lpstr>Liste_RC</vt:lpstr>
      <vt:lpstr>Long_ogive</vt:lpstr>
      <vt:lpstr>Long_propu</vt:lpstr>
      <vt:lpstr>Long_tot</vt:lpstr>
      <vt:lpstr>m</vt:lpstr>
      <vt:lpstr>m_ail</vt:lpstr>
      <vt:lpstr>m_bal</vt:lpstr>
      <vt:lpstr>m_can</vt:lpstr>
      <vt:lpstr>Stabilito!m_int</vt:lpstr>
      <vt:lpstr>m_poudre</vt:lpstr>
      <vt:lpstr>m_prop</vt:lpstr>
      <vt:lpstr>m_satellite</vt:lpstr>
      <vt:lpstr>m_tot</vt:lpstr>
      <vt:lpstr>m_var</vt:lpstr>
      <vt:lpstr>m_vide</vt:lpstr>
      <vt:lpstr>Masse_ail</vt:lpstr>
      <vt:lpstr>MassePlein</vt:lpstr>
      <vt:lpstr>MasseSans</vt:lpstr>
      <vt:lpstr>MasseVide</vt:lpstr>
      <vt:lpstr>Menu_Empennage</vt:lpstr>
      <vt:lpstr>Menu_Lang</vt:lpstr>
      <vt:lpstr>Menu_Ogive</vt:lpstr>
      <vt:lpstr>Menu_sat</vt:lpstr>
      <vt:lpstr>Menu_Transitions</vt:lpstr>
      <vt:lpstr>Menu_Type</vt:lpstr>
      <vt:lpstr>Menu_with_motor</vt:lpstr>
      <vt:lpstr>MpropuPlein</vt:lpstr>
      <vt:lpstr>MpropuVide</vt:lpstr>
      <vt:lpstr>MS_Cn_max</vt:lpstr>
      <vt:lpstr>MS_Cn_min</vt:lpstr>
      <vt:lpstr>MS_max</vt:lpstr>
      <vt:lpstr>MS_min</vt:lpstr>
      <vt:lpstr>n_ail</vt:lpstr>
      <vt:lpstr>n_can</vt:lpstr>
      <vt:lpstr>Stabilito!n_int</vt:lpstr>
      <vt:lpstr>Nb_diam</vt:lpstr>
      <vt:lpstr>Nb_sat</vt:lpstr>
      <vt:lpstr>Nom</vt:lpstr>
      <vt:lpstr>p_ail</vt:lpstr>
      <vt:lpstr>p_can</vt:lpstr>
      <vt:lpstr>Stabilito!p_int</vt:lpstr>
      <vt:lpstr>pas</vt:lpstr>
      <vt:lpstr>Poids</vt:lpstr>
      <vt:lpstr>Portee_balistique</vt:lpstr>
      <vt:lpstr>pos_x</vt:lpstr>
      <vt:lpstr>pos_xz</vt:lpstr>
      <vt:lpstr>pos_z</vt:lpstr>
      <vt:lpstr>pos_z_montant</vt:lpstr>
      <vt:lpstr>Poussee</vt:lpstr>
      <vt:lpstr>Propu</vt:lpstr>
      <vt:lpstr>Q_ail</vt:lpstr>
      <vt:lpstr>Q_can</vt:lpstr>
      <vt:lpstr>Stabilito!Q_int</vt:lpstr>
      <vt:lpstr>Q_var</vt:lpstr>
      <vt:lpstr>R_rampe</vt:lpstr>
      <vt:lpstr>Rho</vt:lpstr>
      <vt:lpstr>Rho_moyen</vt:lpstr>
      <vt:lpstr>S_ail</vt:lpstr>
      <vt:lpstr>S_para</vt:lpstr>
      <vt:lpstr>S_para_croix</vt:lpstr>
      <vt:lpstr>S_para_rond</vt:lpstr>
      <vt:lpstr>S_satellite</vt:lpstr>
      <vt:lpstr>Sref</vt:lpstr>
      <vt:lpstr>sS</vt:lpstr>
      <vt:lpstr>t</vt:lpstr>
      <vt:lpstr>T_balistique</vt:lpstr>
      <vt:lpstr>T_ini</vt:lpstr>
      <vt:lpstr>T_para</vt:lpstr>
      <vt:lpstr>T_satellite</vt:lpstr>
      <vt:lpstr>Temps_culmi</vt:lpstr>
      <vt:lpstr>Temps_fin_propu</vt:lpstr>
      <vt:lpstr>Trainee</vt:lpstr>
      <vt:lpstr>tT_fus</vt:lpstr>
      <vt:lpstr>tT_sat</vt:lpstr>
      <vt:lpstr>Type_fusee</vt:lpstr>
      <vt:lpstr>Abaco!Type_masquage</vt:lpstr>
      <vt:lpstr>Stabilito!Type_masquage</vt:lpstr>
      <vt:lpstr>Type_propu</vt:lpstr>
      <vt:lpstr>V_ini</vt:lpstr>
      <vt:lpstr>V_ouv_sat</vt:lpstr>
      <vt:lpstr>V_ouverture</vt:lpstr>
      <vt:lpstr>V_para</vt:lpstr>
      <vt:lpstr>V_prop</vt:lpstr>
      <vt:lpstr>V_satellite</vt:lpstr>
      <vt:lpstr>V_vent</vt:lpstr>
      <vt:lpstr>V_vent_sat</vt:lpstr>
      <vt:lpstr>Stabilito!Version</vt:lpstr>
      <vt:lpstr>Trajecto!Version</vt:lpstr>
      <vt:lpstr>Vit_culmi</vt:lpstr>
      <vt:lpstr>Vit_max</vt:lpstr>
      <vt:lpstr>vit_x</vt:lpstr>
      <vt:lpstr>vit_xz</vt:lpstr>
      <vt:lpstr>vit_z</vt:lpstr>
      <vt:lpstr>Vsortie_de_rampe</vt:lpstr>
      <vt:lpstr>X_ail</vt:lpstr>
      <vt:lpstr>X_can</vt:lpstr>
      <vt:lpstr>X_culmi</vt:lpstr>
      <vt:lpstr>X_ini</vt:lpstr>
      <vt:lpstr>Stabilito!X_int</vt:lpstr>
      <vt:lpstr>X_j</vt:lpstr>
      <vt:lpstr>X_para</vt:lpstr>
      <vt:lpstr>X_r</vt:lpstr>
      <vt:lpstr>X_satellite</vt:lpstr>
      <vt:lpstr>XcgPlein</vt:lpstr>
      <vt:lpstr>XcgSans</vt:lpstr>
      <vt:lpstr>XcgVide</vt:lpstr>
      <vt:lpstr>Stabilito!XCp</vt:lpstr>
      <vt:lpstr>XCp0</vt:lpstr>
      <vt:lpstr>Stabilito!XCpa</vt:lpstr>
      <vt:lpstr>Stabilito!XCpai</vt:lpstr>
      <vt:lpstr>XCpai0</vt:lpstr>
      <vt:lpstr>Stabilito!XCpc</vt:lpstr>
      <vt:lpstr>Stabilito!XCpi</vt:lpstr>
      <vt:lpstr>XCpi0</vt:lpstr>
      <vt:lpstr>Stabilito!XCpj</vt:lpstr>
      <vt:lpstr>Stabilito!XCpo</vt:lpstr>
      <vt:lpstr>Stabilito!XCpr</vt:lpstr>
      <vt:lpstr>XpropuPlein</vt:lpstr>
      <vt:lpstr>XpropuRef</vt:lpstr>
      <vt:lpstr>XpropuVide</vt:lpstr>
      <vt:lpstr>Z_ini</vt:lpstr>
      <vt:lpstr>Abaco!Zone_d_impression</vt:lpstr>
      <vt:lpstr>Courbes!Zone_d_impression</vt:lpstr>
      <vt:lpstr>Stabilito!Zone_d_impression</vt:lpstr>
      <vt:lpstr>Trajecto!Zone_d_impression</vt:lpstr>
      <vt:lpstr>zZ_fus</vt:lpstr>
      <vt:lpstr>zZ_sat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StabTraj</dc:title>
  <dc:creator>Léo Côme;Sylvain Besson</dc:creator>
  <cp:lastModifiedBy>Alexis Paillard</cp:lastModifiedBy>
  <cp:lastPrinted>2011-11-08T21:12:34Z</cp:lastPrinted>
  <dcterms:created xsi:type="dcterms:W3CDTF">2008-11-03T20:48:06Z</dcterms:created>
  <dcterms:modified xsi:type="dcterms:W3CDTF">2025-05-01T21:15:43Z</dcterms:modified>
</cp:coreProperties>
</file>